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SA/SA Workbooks/Locked workbooks/"/>
    </mc:Choice>
  </mc:AlternateContent>
  <xr:revisionPtr revIDLastSave="0" documentId="13_ncr:1_{314C739B-A862-7349-A5F4-27924A5400BA}" xr6:coauthVersionLast="47" xr6:coauthVersionMax="47" xr10:uidLastSave="{00000000-0000-0000-0000-000000000000}"/>
  <workbookProtection workbookAlgorithmName="SHA-512" workbookHashValue="ZZa1D30AZTarJ2s/7L4X/Mcc43HE4hpsGFiHaz6bul0KZHWR7/+3OO8ALP0KvavBmRq/ThgX/rKEMbWifNGCjQ==" workbookSaltValue="BjgCzyrpDAbRKnhsxJhgqA==" workbookSpinCount="100000" lockStructure="1"/>
  <bookViews>
    <workbookView xWindow="660" yWindow="1260" windowWidth="44140" windowHeight="22220" tabRatio="500" activeTab="1" xr2:uid="{00000000-000D-0000-FFFF-FFFF00000000}"/>
  </bookViews>
  <sheets>
    <sheet name="Summary" sheetId="1" r:id="rId1"/>
    <sheet name="Bills Jul'23" sheetId="27" r:id="rId2"/>
    <sheet name="Bills Jul'22" sheetId="25" r:id="rId3"/>
    <sheet name="Bills Jul'21" sheetId="23" r:id="rId4"/>
    <sheet name="Bills Jul'20" sheetId="21" r:id="rId5"/>
    <sheet name="Bills Jul'19" sheetId="19" r:id="rId6"/>
    <sheet name="Bills Jul'18" sheetId="17" r:id="rId7"/>
    <sheet name="Bills Jul'17" sheetId="15" r:id="rId8"/>
    <sheet name="Bills Jul'16" sheetId="13" r:id="rId9"/>
    <sheet name="Bills Jul'15" sheetId="10" r:id="rId10"/>
    <sheet name="Bills Jul'14" sheetId="8" r:id="rId11"/>
    <sheet name="Bills Jul'13" sheetId="6" r:id="rId12"/>
    <sheet name="Bills Jan'13" sheetId="7" r:id="rId13"/>
    <sheet name="Bills Jul'12" sheetId="2" r:id="rId14"/>
    <sheet name="Tariff Jul 2023" sheetId="26" state="hidden" r:id="rId15"/>
    <sheet name="Tariff Jul 2022" sheetId="24" state="hidden" r:id="rId16"/>
    <sheet name="Tariff Jul 2021" sheetId="22" state="hidden" r:id="rId17"/>
    <sheet name="Tariff Jul 2020" sheetId="20" state="hidden" r:id="rId18"/>
    <sheet name="Tariff Jul 2019" sheetId="18" state="hidden" r:id="rId19"/>
    <sheet name="Tariff Jul 2018" sheetId="16" state="hidden" r:id="rId20"/>
    <sheet name="Tariff Jul 2017" sheetId="14" state="hidden" r:id="rId21"/>
    <sheet name="Tariff Jul 2016" sheetId="12" state="hidden" r:id="rId22"/>
    <sheet name="Tariff Jul'15" sheetId="11" state="hidden" r:id="rId23"/>
    <sheet name="Tariff Jul'14" sheetId="9" state="hidden" r:id="rId24"/>
    <sheet name="Tariff Jul'13" sheetId="5" state="hidden" r:id="rId25"/>
    <sheet name="Tariff Jan'13" sheetId="4" state="hidden" r:id="rId26"/>
    <sheet name="Tariff Jul'12" sheetId="3" state="hidden" r:id="rId27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1" i="27" l="1"/>
  <c r="R21" i="27" s="1"/>
  <c r="B21" i="27"/>
  <c r="C21" i="27"/>
  <c r="D21" i="27"/>
  <c r="E21" i="27"/>
  <c r="F21" i="27"/>
  <c r="H21" i="27"/>
  <c r="M21" i="27"/>
  <c r="N21" i="27"/>
  <c r="O21" i="27"/>
  <c r="P21" i="27"/>
  <c r="A22" i="27"/>
  <c r="R22" i="27" s="1"/>
  <c r="B22" i="27"/>
  <c r="C22" i="27"/>
  <c r="D22" i="27"/>
  <c r="E22" i="27"/>
  <c r="F22" i="27"/>
  <c r="H22" i="27"/>
  <c r="M22" i="27"/>
  <c r="N22" i="27"/>
  <c r="O22" i="27"/>
  <c r="P22" i="27"/>
  <c r="A23" i="27"/>
  <c r="R23" i="27" s="1"/>
  <c r="B23" i="27"/>
  <c r="C23" i="27"/>
  <c r="D23" i="27"/>
  <c r="E23" i="27"/>
  <c r="F23" i="27"/>
  <c r="H23" i="27"/>
  <c r="M23" i="27"/>
  <c r="N23" i="27"/>
  <c r="O23" i="27"/>
  <c r="P23" i="27"/>
  <c r="A24" i="27"/>
  <c r="R24" i="27" s="1"/>
  <c r="B24" i="27"/>
  <c r="C24" i="27"/>
  <c r="D24" i="27"/>
  <c r="E24" i="27"/>
  <c r="F24" i="27"/>
  <c r="H24" i="27"/>
  <c r="M24" i="27"/>
  <c r="N24" i="27"/>
  <c r="O24" i="27"/>
  <c r="P24" i="27"/>
  <c r="A46" i="27"/>
  <c r="R46" i="27" s="1"/>
  <c r="B46" i="27"/>
  <c r="C46" i="27"/>
  <c r="D46" i="27"/>
  <c r="E46" i="27"/>
  <c r="F46" i="27"/>
  <c r="G46" i="27"/>
  <c r="H46" i="27"/>
  <c r="M46" i="27"/>
  <c r="N46" i="27"/>
  <c r="O46" i="27"/>
  <c r="P46" i="27"/>
  <c r="A47" i="27"/>
  <c r="R47" i="27" s="1"/>
  <c r="B47" i="27"/>
  <c r="C47" i="27"/>
  <c r="D47" i="27"/>
  <c r="E47" i="27"/>
  <c r="F47" i="27"/>
  <c r="G47" i="27"/>
  <c r="H47" i="27"/>
  <c r="M47" i="27"/>
  <c r="N47" i="27"/>
  <c r="O47" i="27"/>
  <c r="P47" i="27"/>
  <c r="A48" i="27"/>
  <c r="R48" i="27" s="1"/>
  <c r="B48" i="27"/>
  <c r="C48" i="27"/>
  <c r="D48" i="27"/>
  <c r="E48" i="27"/>
  <c r="F48" i="27"/>
  <c r="G48" i="27"/>
  <c r="H48" i="27"/>
  <c r="M48" i="27"/>
  <c r="N48" i="27"/>
  <c r="O48" i="27"/>
  <c r="P48" i="27"/>
  <c r="A49" i="27"/>
  <c r="R49" i="27" s="1"/>
  <c r="B49" i="27"/>
  <c r="C49" i="27"/>
  <c r="D49" i="27"/>
  <c r="E49" i="27"/>
  <c r="F49" i="27"/>
  <c r="G49" i="27"/>
  <c r="H49" i="27"/>
  <c r="M49" i="27"/>
  <c r="N49" i="27"/>
  <c r="O49" i="27"/>
  <c r="P49" i="27"/>
  <c r="P45" i="27"/>
  <c r="O45" i="27"/>
  <c r="N45" i="27"/>
  <c r="M45" i="27"/>
  <c r="H45" i="27"/>
  <c r="G45" i="27"/>
  <c r="F45" i="27"/>
  <c r="E45" i="27"/>
  <c r="D45" i="27"/>
  <c r="C45" i="27"/>
  <c r="B45" i="27"/>
  <c r="A45" i="27"/>
  <c r="R45" i="27" s="1"/>
  <c r="P44" i="27"/>
  <c r="O44" i="27"/>
  <c r="N44" i="27"/>
  <c r="M44" i="27"/>
  <c r="H44" i="27"/>
  <c r="G44" i="27"/>
  <c r="F44" i="27"/>
  <c r="E44" i="27"/>
  <c r="D44" i="27"/>
  <c r="C44" i="27"/>
  <c r="B44" i="27"/>
  <c r="A44" i="27"/>
  <c r="R44" i="27" s="1"/>
  <c r="P43" i="27"/>
  <c r="O43" i="27"/>
  <c r="N43" i="27"/>
  <c r="M43" i="27"/>
  <c r="H43" i="27"/>
  <c r="G43" i="27"/>
  <c r="F43" i="27"/>
  <c r="E43" i="27"/>
  <c r="D43" i="27"/>
  <c r="C43" i="27"/>
  <c r="B43" i="27"/>
  <c r="A43" i="27"/>
  <c r="R43" i="27" s="1"/>
  <c r="P42" i="27"/>
  <c r="O42" i="27"/>
  <c r="N42" i="27"/>
  <c r="M42" i="27"/>
  <c r="H42" i="27"/>
  <c r="G42" i="27"/>
  <c r="F42" i="27"/>
  <c r="E42" i="27"/>
  <c r="D42" i="27"/>
  <c r="C42" i="27"/>
  <c r="B42" i="27"/>
  <c r="A42" i="27"/>
  <c r="R42" i="27" s="1"/>
  <c r="P41" i="27"/>
  <c r="O41" i="27"/>
  <c r="N41" i="27"/>
  <c r="M41" i="27"/>
  <c r="H41" i="27"/>
  <c r="G41" i="27"/>
  <c r="F41" i="27"/>
  <c r="E41" i="27"/>
  <c r="D41" i="27"/>
  <c r="C41" i="27"/>
  <c r="B41" i="27"/>
  <c r="A41" i="27"/>
  <c r="R41" i="27" s="1"/>
  <c r="P40" i="27"/>
  <c r="O40" i="27"/>
  <c r="N40" i="27"/>
  <c r="M40" i="27"/>
  <c r="H40" i="27"/>
  <c r="G40" i="27"/>
  <c r="F40" i="27"/>
  <c r="E40" i="27"/>
  <c r="D40" i="27"/>
  <c r="C40" i="27"/>
  <c r="B40" i="27"/>
  <c r="A40" i="27"/>
  <c r="R40" i="27" s="1"/>
  <c r="P39" i="27"/>
  <c r="O39" i="27"/>
  <c r="N39" i="27"/>
  <c r="M39" i="27"/>
  <c r="H39" i="27"/>
  <c r="G39" i="27"/>
  <c r="F39" i="27"/>
  <c r="E39" i="27"/>
  <c r="D39" i="27"/>
  <c r="C39" i="27"/>
  <c r="B39" i="27"/>
  <c r="A39" i="27"/>
  <c r="R39" i="27" s="1"/>
  <c r="P38" i="27"/>
  <c r="O38" i="27"/>
  <c r="N38" i="27"/>
  <c r="M38" i="27"/>
  <c r="H38" i="27"/>
  <c r="G38" i="27"/>
  <c r="F38" i="27"/>
  <c r="E38" i="27"/>
  <c r="D38" i="27"/>
  <c r="C38" i="27"/>
  <c r="B38" i="27"/>
  <c r="A38" i="27"/>
  <c r="R38" i="27" s="1"/>
  <c r="P37" i="27"/>
  <c r="O37" i="27"/>
  <c r="N37" i="27"/>
  <c r="M37" i="27"/>
  <c r="H37" i="27"/>
  <c r="G37" i="27"/>
  <c r="F37" i="27"/>
  <c r="E37" i="27"/>
  <c r="D37" i="27"/>
  <c r="C37" i="27"/>
  <c r="B37" i="27"/>
  <c r="A37" i="27"/>
  <c r="R37" i="27" s="1"/>
  <c r="P36" i="27"/>
  <c r="O36" i="27"/>
  <c r="N36" i="27"/>
  <c r="M36" i="27"/>
  <c r="H36" i="27"/>
  <c r="G36" i="27"/>
  <c r="F36" i="27"/>
  <c r="E36" i="27"/>
  <c r="D36" i="27"/>
  <c r="C36" i="27"/>
  <c r="B36" i="27"/>
  <c r="A36" i="27"/>
  <c r="R36" i="27" s="1"/>
  <c r="P35" i="27"/>
  <c r="O35" i="27"/>
  <c r="N35" i="27"/>
  <c r="M35" i="27"/>
  <c r="H35" i="27"/>
  <c r="G35" i="27"/>
  <c r="F35" i="27"/>
  <c r="E35" i="27"/>
  <c r="D35" i="27"/>
  <c r="C35" i="27"/>
  <c r="B35" i="27"/>
  <c r="A35" i="27"/>
  <c r="R35" i="27" s="1"/>
  <c r="P34" i="27"/>
  <c r="O34" i="27"/>
  <c r="N34" i="27"/>
  <c r="M34" i="27"/>
  <c r="H34" i="27"/>
  <c r="G34" i="27"/>
  <c r="F34" i="27"/>
  <c r="E34" i="27"/>
  <c r="D34" i="27"/>
  <c r="C34" i="27"/>
  <c r="B34" i="27"/>
  <c r="A34" i="27"/>
  <c r="R34" i="27" s="1"/>
  <c r="P33" i="27"/>
  <c r="O33" i="27"/>
  <c r="N33" i="27"/>
  <c r="M33" i="27"/>
  <c r="H33" i="27"/>
  <c r="G33" i="27"/>
  <c r="F33" i="27"/>
  <c r="E33" i="27"/>
  <c r="D33" i="27"/>
  <c r="C33" i="27"/>
  <c r="B33" i="27"/>
  <c r="A33" i="27"/>
  <c r="R33" i="27" s="1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P15" i="27"/>
  <c r="O15" i="27"/>
  <c r="N15" i="27"/>
  <c r="M15" i="27"/>
  <c r="H15" i="27"/>
  <c r="F15" i="27"/>
  <c r="E15" i="27"/>
  <c r="D15" i="27"/>
  <c r="C15" i="27"/>
  <c r="B15" i="27"/>
  <c r="A15" i="27"/>
  <c r="R15" i="27" s="1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P11" i="27"/>
  <c r="O11" i="27"/>
  <c r="N11" i="27"/>
  <c r="M11" i="27"/>
  <c r="H11" i="27"/>
  <c r="F11" i="27"/>
  <c r="E11" i="27"/>
  <c r="D11" i="27"/>
  <c r="C11" i="27"/>
  <c r="B11" i="27"/>
  <c r="A11" i="27"/>
  <c r="R11" i="27" s="1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P9" i="27"/>
  <c r="O9" i="27"/>
  <c r="N9" i="27"/>
  <c r="M9" i="27"/>
  <c r="H9" i="27"/>
  <c r="F9" i="27"/>
  <c r="E9" i="27"/>
  <c r="D9" i="27"/>
  <c r="C9" i="27"/>
  <c r="B9" i="27"/>
  <c r="A9" i="27"/>
  <c r="R9" i="27" s="1"/>
  <c r="P8" i="27"/>
  <c r="O8" i="27"/>
  <c r="N8" i="27"/>
  <c r="M8" i="27"/>
  <c r="H8" i="27"/>
  <c r="F8" i="27"/>
  <c r="E8" i="27"/>
  <c r="D8" i="27"/>
  <c r="C8" i="27"/>
  <c r="B8" i="27"/>
  <c r="A8" i="27"/>
  <c r="R8" i="27" s="1"/>
  <c r="X45" i="25"/>
  <c r="W45" i="25"/>
  <c r="P45" i="25"/>
  <c r="O45" i="25"/>
  <c r="N45" i="25"/>
  <c r="M45" i="25"/>
  <c r="H45" i="25"/>
  <c r="G45" i="25"/>
  <c r="F45" i="25"/>
  <c r="E45" i="25"/>
  <c r="D45" i="25"/>
  <c r="C45" i="25"/>
  <c r="B45" i="25"/>
  <c r="A45" i="25"/>
  <c r="X44" i="25"/>
  <c r="W44" i="25"/>
  <c r="P44" i="25"/>
  <c r="O44" i="25"/>
  <c r="N44" i="25"/>
  <c r="M44" i="25"/>
  <c r="H44" i="25"/>
  <c r="G44" i="25"/>
  <c r="F44" i="25"/>
  <c r="E44" i="25"/>
  <c r="D44" i="25"/>
  <c r="C44" i="25"/>
  <c r="B44" i="25"/>
  <c r="A44" i="25"/>
  <c r="R44" i="25" s="1"/>
  <c r="X43" i="25"/>
  <c r="W43" i="25"/>
  <c r="P43" i="25"/>
  <c r="O43" i="25"/>
  <c r="N43" i="25"/>
  <c r="M43" i="25"/>
  <c r="H43" i="25"/>
  <c r="G43" i="25"/>
  <c r="F43" i="25"/>
  <c r="E43" i="25"/>
  <c r="D43" i="25"/>
  <c r="C43" i="25"/>
  <c r="B43" i="25"/>
  <c r="A43" i="25"/>
  <c r="R43" i="25" s="1"/>
  <c r="X42" i="25"/>
  <c r="W42" i="25"/>
  <c r="P42" i="25"/>
  <c r="O42" i="25"/>
  <c r="N42" i="25"/>
  <c r="M42" i="25"/>
  <c r="H42" i="25"/>
  <c r="G42" i="25"/>
  <c r="F42" i="25"/>
  <c r="E42" i="25"/>
  <c r="D42" i="25"/>
  <c r="C42" i="25"/>
  <c r="B42" i="25"/>
  <c r="A42" i="25"/>
  <c r="R42" i="25" s="1"/>
  <c r="X41" i="25"/>
  <c r="W41" i="25"/>
  <c r="P41" i="25"/>
  <c r="O41" i="25"/>
  <c r="N41" i="25"/>
  <c r="M41" i="25"/>
  <c r="H41" i="25"/>
  <c r="G41" i="25"/>
  <c r="F41" i="25"/>
  <c r="E41" i="25"/>
  <c r="D41" i="25"/>
  <c r="C41" i="25"/>
  <c r="B41" i="25"/>
  <c r="A41" i="25"/>
  <c r="X40" i="25"/>
  <c r="W40" i="25"/>
  <c r="P40" i="25"/>
  <c r="O40" i="25"/>
  <c r="N40" i="25"/>
  <c r="M40" i="25"/>
  <c r="H40" i="25"/>
  <c r="G40" i="25"/>
  <c r="F40" i="25"/>
  <c r="E40" i="25"/>
  <c r="D40" i="25"/>
  <c r="C40" i="25"/>
  <c r="B40" i="25"/>
  <c r="A40" i="25"/>
  <c r="R40" i="25" s="1"/>
  <c r="X39" i="25"/>
  <c r="W39" i="25"/>
  <c r="P39" i="25"/>
  <c r="O39" i="25"/>
  <c r="N39" i="25"/>
  <c r="M39" i="25"/>
  <c r="H39" i="25"/>
  <c r="G39" i="25"/>
  <c r="F39" i="25"/>
  <c r="E39" i="25"/>
  <c r="D39" i="25"/>
  <c r="C39" i="25"/>
  <c r="B39" i="25"/>
  <c r="A39" i="25"/>
  <c r="R39" i="25" s="1"/>
  <c r="X38" i="25"/>
  <c r="W38" i="25"/>
  <c r="P38" i="25"/>
  <c r="O38" i="25"/>
  <c r="N38" i="25"/>
  <c r="M38" i="25"/>
  <c r="H38" i="25"/>
  <c r="G38" i="25"/>
  <c r="F38" i="25"/>
  <c r="E38" i="25"/>
  <c r="D38" i="25"/>
  <c r="C38" i="25"/>
  <c r="B38" i="25"/>
  <c r="A38" i="25"/>
  <c r="R38" i="25" s="1"/>
  <c r="X37" i="25"/>
  <c r="W37" i="25"/>
  <c r="P37" i="25"/>
  <c r="O37" i="25"/>
  <c r="N37" i="25"/>
  <c r="M37" i="25"/>
  <c r="H37" i="25"/>
  <c r="G37" i="25"/>
  <c r="F37" i="25"/>
  <c r="E37" i="25"/>
  <c r="D37" i="25"/>
  <c r="C37" i="25"/>
  <c r="B37" i="25"/>
  <c r="A37" i="25"/>
  <c r="R37" i="25" s="1"/>
  <c r="X36" i="25"/>
  <c r="W36" i="25"/>
  <c r="P36" i="25"/>
  <c r="O36" i="25"/>
  <c r="N36" i="25"/>
  <c r="M36" i="25"/>
  <c r="H36" i="25"/>
  <c r="G36" i="25"/>
  <c r="F36" i="25"/>
  <c r="E36" i="25"/>
  <c r="D36" i="25"/>
  <c r="C36" i="25"/>
  <c r="B36" i="25"/>
  <c r="A36" i="25"/>
  <c r="R36" i="25" s="1"/>
  <c r="X35" i="25"/>
  <c r="W35" i="25"/>
  <c r="P35" i="25"/>
  <c r="O35" i="25"/>
  <c r="N35" i="25"/>
  <c r="M35" i="25"/>
  <c r="H35" i="25"/>
  <c r="G35" i="25"/>
  <c r="F35" i="25"/>
  <c r="E35" i="25"/>
  <c r="D35" i="25"/>
  <c r="C35" i="25"/>
  <c r="B35" i="25"/>
  <c r="A35" i="25"/>
  <c r="X34" i="25"/>
  <c r="W34" i="25"/>
  <c r="P34" i="25"/>
  <c r="O34" i="25"/>
  <c r="N34" i="25"/>
  <c r="M34" i="25"/>
  <c r="H34" i="25"/>
  <c r="G34" i="25"/>
  <c r="F34" i="25"/>
  <c r="E34" i="25"/>
  <c r="D34" i="25"/>
  <c r="C34" i="25"/>
  <c r="B34" i="25"/>
  <c r="A34" i="25"/>
  <c r="R34" i="25" s="1"/>
  <c r="X33" i="25"/>
  <c r="W33" i="25"/>
  <c r="P33" i="25"/>
  <c r="O33" i="25"/>
  <c r="N33" i="25"/>
  <c r="M33" i="25"/>
  <c r="H33" i="25"/>
  <c r="G33" i="25"/>
  <c r="F33" i="25"/>
  <c r="E33" i="25"/>
  <c r="D33" i="25"/>
  <c r="C33" i="25"/>
  <c r="B33" i="25"/>
  <c r="A33" i="25"/>
  <c r="R33" i="25" s="1"/>
  <c r="X32" i="25"/>
  <c r="W32" i="25"/>
  <c r="P32" i="25"/>
  <c r="O32" i="25"/>
  <c r="N32" i="25"/>
  <c r="M32" i="25"/>
  <c r="H32" i="25"/>
  <c r="G32" i="25"/>
  <c r="F32" i="25"/>
  <c r="E32" i="25"/>
  <c r="D32" i="25"/>
  <c r="C32" i="25"/>
  <c r="B32" i="25"/>
  <c r="A32" i="25"/>
  <c r="R32" i="25" s="1"/>
  <c r="X31" i="25"/>
  <c r="W31" i="25"/>
  <c r="P31" i="25"/>
  <c r="O31" i="25"/>
  <c r="N31" i="25"/>
  <c r="M31" i="25"/>
  <c r="H31" i="25"/>
  <c r="G31" i="25"/>
  <c r="F31" i="25"/>
  <c r="E31" i="25"/>
  <c r="D31" i="25"/>
  <c r="C31" i="25"/>
  <c r="B31" i="25"/>
  <c r="A31" i="25"/>
  <c r="R31" i="25" s="1"/>
  <c r="X22" i="25"/>
  <c r="W22" i="25"/>
  <c r="P22" i="25"/>
  <c r="O22" i="25"/>
  <c r="N22" i="25"/>
  <c r="M22" i="25"/>
  <c r="H22" i="25"/>
  <c r="F22" i="25"/>
  <c r="E22" i="25"/>
  <c r="D22" i="25"/>
  <c r="C22" i="25"/>
  <c r="B22" i="25"/>
  <c r="A22" i="25"/>
  <c r="R22" i="25" s="1"/>
  <c r="X21" i="25"/>
  <c r="W21" i="25"/>
  <c r="P21" i="25"/>
  <c r="O21" i="25"/>
  <c r="N21" i="25"/>
  <c r="M21" i="25"/>
  <c r="H21" i="25"/>
  <c r="F21" i="25"/>
  <c r="E21" i="25"/>
  <c r="D21" i="25"/>
  <c r="C21" i="25"/>
  <c r="B21" i="25"/>
  <c r="A21" i="25"/>
  <c r="R21" i="25" s="1"/>
  <c r="X20" i="25"/>
  <c r="W20" i="25"/>
  <c r="P20" i="25"/>
  <c r="O20" i="25"/>
  <c r="N20" i="25"/>
  <c r="M20" i="25"/>
  <c r="H20" i="25"/>
  <c r="F20" i="25"/>
  <c r="E20" i="25"/>
  <c r="D20" i="25"/>
  <c r="C20" i="25"/>
  <c r="B20" i="25"/>
  <c r="A20" i="25"/>
  <c r="R20" i="25" s="1"/>
  <c r="X19" i="25"/>
  <c r="W19" i="25"/>
  <c r="P19" i="25"/>
  <c r="O19" i="25"/>
  <c r="N19" i="25"/>
  <c r="M19" i="25"/>
  <c r="H19" i="25"/>
  <c r="F19" i="25"/>
  <c r="E19" i="25"/>
  <c r="D19" i="25"/>
  <c r="C19" i="25"/>
  <c r="B19" i="25"/>
  <c r="A19" i="25"/>
  <c r="X18" i="25"/>
  <c r="W18" i="25"/>
  <c r="P18" i="25"/>
  <c r="O18" i="25"/>
  <c r="N18" i="25"/>
  <c r="M18" i="25"/>
  <c r="H18" i="25"/>
  <c r="F18" i="25"/>
  <c r="E18" i="25"/>
  <c r="D18" i="25"/>
  <c r="C18" i="25"/>
  <c r="B18" i="25"/>
  <c r="A18" i="25"/>
  <c r="R18" i="25" s="1"/>
  <c r="X17" i="25"/>
  <c r="W17" i="25"/>
  <c r="P17" i="25"/>
  <c r="O17" i="25"/>
  <c r="N17" i="25"/>
  <c r="M17" i="25"/>
  <c r="H17" i="25"/>
  <c r="F17" i="25"/>
  <c r="E17" i="25"/>
  <c r="D17" i="25"/>
  <c r="C17" i="25"/>
  <c r="B17" i="25"/>
  <c r="A17" i="25"/>
  <c r="R17" i="25" s="1"/>
  <c r="X16" i="25"/>
  <c r="W16" i="25"/>
  <c r="P16" i="25"/>
  <c r="O16" i="25"/>
  <c r="N16" i="25"/>
  <c r="M16" i="25"/>
  <c r="H16" i="25"/>
  <c r="F16" i="25"/>
  <c r="E16" i="25"/>
  <c r="D16" i="25"/>
  <c r="C16" i="25"/>
  <c r="B16" i="25"/>
  <c r="A16" i="25"/>
  <c r="R16" i="25" s="1"/>
  <c r="X15" i="25"/>
  <c r="W15" i="25"/>
  <c r="P15" i="25"/>
  <c r="O15" i="25"/>
  <c r="N15" i="25"/>
  <c r="M15" i="25"/>
  <c r="H15" i="25"/>
  <c r="F15" i="25"/>
  <c r="E15" i="25"/>
  <c r="D15" i="25"/>
  <c r="C15" i="25"/>
  <c r="B15" i="25"/>
  <c r="A15" i="25"/>
  <c r="R15" i="25" s="1"/>
  <c r="X14" i="25"/>
  <c r="W14" i="25"/>
  <c r="P14" i="25"/>
  <c r="O14" i="25"/>
  <c r="N14" i="25"/>
  <c r="M14" i="25"/>
  <c r="H14" i="25"/>
  <c r="F14" i="25"/>
  <c r="E14" i="25"/>
  <c r="D14" i="25"/>
  <c r="C14" i="25"/>
  <c r="B14" i="25"/>
  <c r="A14" i="25"/>
  <c r="R14" i="25" s="1"/>
  <c r="X13" i="25"/>
  <c r="W13" i="25"/>
  <c r="P13" i="25"/>
  <c r="O13" i="25"/>
  <c r="N13" i="25"/>
  <c r="M13" i="25"/>
  <c r="H13" i="25"/>
  <c r="F13" i="25"/>
  <c r="E13" i="25"/>
  <c r="D13" i="25"/>
  <c r="C13" i="25"/>
  <c r="B13" i="25"/>
  <c r="A13" i="25"/>
  <c r="R13" i="25" s="1"/>
  <c r="X12" i="25"/>
  <c r="W12" i="25"/>
  <c r="P12" i="25"/>
  <c r="O12" i="25"/>
  <c r="N12" i="25"/>
  <c r="M12" i="25"/>
  <c r="H12" i="25"/>
  <c r="F12" i="25"/>
  <c r="E12" i="25"/>
  <c r="D12" i="25"/>
  <c r="C12" i="25"/>
  <c r="B12" i="25"/>
  <c r="A12" i="25"/>
  <c r="R12" i="25" s="1"/>
  <c r="X11" i="25"/>
  <c r="W11" i="25"/>
  <c r="P11" i="25"/>
  <c r="O11" i="25"/>
  <c r="N11" i="25"/>
  <c r="M11" i="25"/>
  <c r="H11" i="25"/>
  <c r="F11" i="25"/>
  <c r="E11" i="25"/>
  <c r="D11" i="25"/>
  <c r="C11" i="25"/>
  <c r="B11" i="25"/>
  <c r="A11" i="25"/>
  <c r="R11" i="25" s="1"/>
  <c r="X10" i="25"/>
  <c r="W10" i="25"/>
  <c r="P10" i="25"/>
  <c r="O10" i="25"/>
  <c r="N10" i="25"/>
  <c r="M10" i="25"/>
  <c r="H10" i="25"/>
  <c r="F10" i="25"/>
  <c r="E10" i="25"/>
  <c r="D10" i="25"/>
  <c r="C10" i="25"/>
  <c r="B10" i="25"/>
  <c r="A10" i="25"/>
  <c r="R10" i="25" s="1"/>
  <c r="X9" i="25"/>
  <c r="W9" i="25"/>
  <c r="P9" i="25"/>
  <c r="O9" i="25"/>
  <c r="N9" i="25"/>
  <c r="M9" i="25"/>
  <c r="H9" i="25"/>
  <c r="F9" i="25"/>
  <c r="E9" i="25"/>
  <c r="D9" i="25"/>
  <c r="C9" i="25"/>
  <c r="B9" i="25"/>
  <c r="A9" i="25"/>
  <c r="R9" i="25" s="1"/>
  <c r="X8" i="25"/>
  <c r="W8" i="25"/>
  <c r="P8" i="25"/>
  <c r="O8" i="25"/>
  <c r="N8" i="25"/>
  <c r="M8" i="25"/>
  <c r="H8" i="25"/>
  <c r="F8" i="25"/>
  <c r="E8" i="25"/>
  <c r="D8" i="25"/>
  <c r="C8" i="25"/>
  <c r="B8" i="25"/>
  <c r="A8" i="25"/>
  <c r="R8" i="25" s="1"/>
  <c r="R45" i="25"/>
  <c r="R41" i="25"/>
  <c r="R35" i="25"/>
  <c r="R19" i="25"/>
  <c r="C65" i="23"/>
  <c r="D65" i="23"/>
  <c r="E65" i="23"/>
  <c r="F65" i="23"/>
  <c r="I65" i="23"/>
  <c r="G65" i="23"/>
  <c r="H65" i="23"/>
  <c r="M65" i="23"/>
  <c r="N65" i="23"/>
  <c r="Q65" i="23"/>
  <c r="O65" i="23"/>
  <c r="P65" i="23"/>
  <c r="W65" i="23"/>
  <c r="X65" i="23"/>
  <c r="C66" i="23"/>
  <c r="D66" i="23"/>
  <c r="E66" i="23"/>
  <c r="F66" i="23"/>
  <c r="G66" i="23"/>
  <c r="H66" i="23"/>
  <c r="M66" i="23"/>
  <c r="N66" i="23"/>
  <c r="O66" i="23"/>
  <c r="P66" i="23"/>
  <c r="R66" i="23"/>
  <c r="W66" i="23"/>
  <c r="X66" i="23"/>
  <c r="C32" i="23"/>
  <c r="D32" i="23"/>
  <c r="E32" i="23"/>
  <c r="F32" i="23"/>
  <c r="H32" i="23"/>
  <c r="M32" i="23"/>
  <c r="N32" i="23"/>
  <c r="O32" i="23"/>
  <c r="P32" i="23"/>
  <c r="W32" i="23"/>
  <c r="X32" i="23"/>
  <c r="C33" i="23"/>
  <c r="D33" i="23"/>
  <c r="E33" i="23"/>
  <c r="F33" i="23"/>
  <c r="H33" i="23"/>
  <c r="M33" i="23"/>
  <c r="N33" i="23"/>
  <c r="O33" i="23"/>
  <c r="P33" i="23"/>
  <c r="R33" i="23"/>
  <c r="W33" i="23"/>
  <c r="X33" i="23"/>
  <c r="A65" i="23"/>
  <c r="R65" i="23"/>
  <c r="B65" i="23"/>
  <c r="A66" i="23"/>
  <c r="B66" i="23"/>
  <c r="A32" i="23"/>
  <c r="R32" i="23"/>
  <c r="B32" i="23"/>
  <c r="A33" i="23"/>
  <c r="B33" i="23"/>
  <c r="X64" i="23"/>
  <c r="W64" i="23"/>
  <c r="P64" i="23"/>
  <c r="O64" i="23"/>
  <c r="N64" i="23"/>
  <c r="M64" i="23"/>
  <c r="H64" i="23"/>
  <c r="G64" i="23"/>
  <c r="F64" i="23"/>
  <c r="E64" i="23"/>
  <c r="D64" i="23"/>
  <c r="C64" i="23"/>
  <c r="B64" i="23"/>
  <c r="A64" i="23"/>
  <c r="X63" i="23"/>
  <c r="W63" i="23"/>
  <c r="P63" i="23"/>
  <c r="O63" i="23"/>
  <c r="N63" i="23"/>
  <c r="M63" i="23"/>
  <c r="H63" i="23"/>
  <c r="G63" i="23"/>
  <c r="F63" i="23"/>
  <c r="E63" i="23"/>
  <c r="D63" i="23"/>
  <c r="C63" i="23"/>
  <c r="B63" i="23"/>
  <c r="A63" i="23"/>
  <c r="R63" i="23"/>
  <c r="X62" i="23"/>
  <c r="W62" i="23"/>
  <c r="P62" i="23"/>
  <c r="O62" i="23"/>
  <c r="N62" i="23"/>
  <c r="M62" i="23"/>
  <c r="H62" i="23"/>
  <c r="G62" i="23"/>
  <c r="F62" i="23"/>
  <c r="E62" i="23"/>
  <c r="D62" i="23"/>
  <c r="C62" i="23"/>
  <c r="B62" i="23"/>
  <c r="A62" i="23"/>
  <c r="X61" i="23"/>
  <c r="W61" i="23"/>
  <c r="P61" i="23"/>
  <c r="O61" i="23"/>
  <c r="N61" i="23"/>
  <c r="M61" i="23"/>
  <c r="H61" i="23"/>
  <c r="G61" i="23"/>
  <c r="F61" i="23"/>
  <c r="E61" i="23"/>
  <c r="D61" i="23"/>
  <c r="C61" i="23"/>
  <c r="B61" i="23"/>
  <c r="A61" i="23"/>
  <c r="X60" i="23"/>
  <c r="W60" i="23"/>
  <c r="P60" i="23"/>
  <c r="O60" i="23"/>
  <c r="N60" i="23"/>
  <c r="M60" i="23"/>
  <c r="H60" i="23"/>
  <c r="G60" i="23"/>
  <c r="F60" i="23"/>
  <c r="E60" i="23"/>
  <c r="D60" i="23"/>
  <c r="C60" i="23"/>
  <c r="B60" i="23"/>
  <c r="A60" i="23"/>
  <c r="X59" i="23"/>
  <c r="W59" i="23"/>
  <c r="P59" i="23"/>
  <c r="O59" i="23"/>
  <c r="N59" i="23"/>
  <c r="M59" i="23"/>
  <c r="H59" i="23"/>
  <c r="G59" i="23"/>
  <c r="F59" i="23"/>
  <c r="E59" i="23"/>
  <c r="D59" i="23"/>
  <c r="C59" i="23"/>
  <c r="B59" i="23"/>
  <c r="A59" i="23"/>
  <c r="R59" i="23"/>
  <c r="X58" i="23"/>
  <c r="W58" i="23"/>
  <c r="P58" i="23"/>
  <c r="O58" i="23"/>
  <c r="N58" i="23"/>
  <c r="M58" i="23"/>
  <c r="H58" i="23"/>
  <c r="G58" i="23"/>
  <c r="F58" i="23"/>
  <c r="E58" i="23"/>
  <c r="D58" i="23"/>
  <c r="C58" i="23"/>
  <c r="B58" i="23"/>
  <c r="A58" i="23"/>
  <c r="X57" i="23"/>
  <c r="W57" i="23"/>
  <c r="P57" i="23"/>
  <c r="O57" i="23"/>
  <c r="N57" i="23"/>
  <c r="M57" i="23"/>
  <c r="Q57" i="23"/>
  <c r="H57" i="23"/>
  <c r="G57" i="23"/>
  <c r="F57" i="23"/>
  <c r="E57" i="23"/>
  <c r="I57" i="23"/>
  <c r="D57" i="23"/>
  <c r="C57" i="23"/>
  <c r="B57" i="23"/>
  <c r="A57" i="23"/>
  <c r="X56" i="23"/>
  <c r="W56" i="23"/>
  <c r="P56" i="23"/>
  <c r="O56" i="23"/>
  <c r="Q56" i="23"/>
  <c r="N56" i="23"/>
  <c r="M56" i="23"/>
  <c r="H56" i="23"/>
  <c r="G56" i="23"/>
  <c r="F56" i="23"/>
  <c r="E56" i="23"/>
  <c r="D56" i="23"/>
  <c r="C56" i="23"/>
  <c r="I56" i="23"/>
  <c r="B56" i="23"/>
  <c r="A56" i="23"/>
  <c r="X55" i="23"/>
  <c r="W55" i="23"/>
  <c r="P55" i="23"/>
  <c r="O55" i="23"/>
  <c r="N55" i="23"/>
  <c r="M55" i="23"/>
  <c r="H55" i="23"/>
  <c r="G55" i="23"/>
  <c r="F55" i="23"/>
  <c r="E55" i="23"/>
  <c r="I55" i="23"/>
  <c r="D55" i="23"/>
  <c r="C55" i="23"/>
  <c r="B55" i="23"/>
  <c r="A55" i="23"/>
  <c r="R55" i="23"/>
  <c r="X54" i="23"/>
  <c r="W54" i="23"/>
  <c r="P54" i="23"/>
  <c r="O54" i="23"/>
  <c r="Q54" i="23"/>
  <c r="N54" i="23"/>
  <c r="M54" i="23"/>
  <c r="H54" i="23"/>
  <c r="G54" i="23"/>
  <c r="F54" i="23"/>
  <c r="E54" i="23"/>
  <c r="D54" i="23"/>
  <c r="C54" i="23"/>
  <c r="B54" i="23"/>
  <c r="A54" i="23"/>
  <c r="X53" i="23"/>
  <c r="W53" i="23"/>
  <c r="P53" i="23"/>
  <c r="O53" i="23"/>
  <c r="N53" i="23"/>
  <c r="M53" i="23"/>
  <c r="Q53" i="23"/>
  <c r="H53" i="23"/>
  <c r="G53" i="23"/>
  <c r="F53" i="23"/>
  <c r="E53" i="23"/>
  <c r="I53" i="23"/>
  <c r="D53" i="23"/>
  <c r="C53" i="23"/>
  <c r="B53" i="23"/>
  <c r="A53" i="23"/>
  <c r="X52" i="23"/>
  <c r="W52" i="23"/>
  <c r="P52" i="23"/>
  <c r="O52" i="23"/>
  <c r="Q52" i="23"/>
  <c r="N52" i="23"/>
  <c r="M52" i="23"/>
  <c r="H52" i="23"/>
  <c r="G52" i="23"/>
  <c r="F52" i="23"/>
  <c r="E52" i="23"/>
  <c r="D52" i="23"/>
  <c r="C52" i="23"/>
  <c r="I52" i="23"/>
  <c r="B52" i="23"/>
  <c r="A52" i="23"/>
  <c r="X51" i="23"/>
  <c r="W51" i="23"/>
  <c r="P51" i="23"/>
  <c r="O51" i="23"/>
  <c r="N51" i="23"/>
  <c r="M51" i="23"/>
  <c r="H51" i="23"/>
  <c r="G51" i="23"/>
  <c r="F51" i="23"/>
  <c r="E51" i="23"/>
  <c r="I51" i="23"/>
  <c r="D51" i="23"/>
  <c r="C51" i="23"/>
  <c r="B51" i="23"/>
  <c r="A51" i="23"/>
  <c r="R51" i="23"/>
  <c r="X50" i="23"/>
  <c r="W50" i="23"/>
  <c r="P50" i="23"/>
  <c r="O50" i="23"/>
  <c r="Q50" i="23"/>
  <c r="N50" i="23"/>
  <c r="M50" i="23"/>
  <c r="H50" i="23"/>
  <c r="G50" i="23"/>
  <c r="F50" i="23"/>
  <c r="E50" i="23"/>
  <c r="D50" i="23"/>
  <c r="C50" i="23"/>
  <c r="I50" i="23"/>
  <c r="B50" i="23"/>
  <c r="A50" i="23"/>
  <c r="X49" i="23"/>
  <c r="W49" i="23"/>
  <c r="P49" i="23"/>
  <c r="O49" i="23"/>
  <c r="N49" i="23"/>
  <c r="M49" i="23"/>
  <c r="Q49" i="23"/>
  <c r="H49" i="23"/>
  <c r="G49" i="23"/>
  <c r="F49" i="23"/>
  <c r="E49" i="23"/>
  <c r="I49" i="23"/>
  <c r="D49" i="23"/>
  <c r="C49" i="23"/>
  <c r="B49" i="23"/>
  <c r="A49" i="23"/>
  <c r="R49" i="23"/>
  <c r="X48" i="23"/>
  <c r="W48" i="23"/>
  <c r="P48" i="23"/>
  <c r="O48" i="23"/>
  <c r="Q48" i="23"/>
  <c r="N48" i="23"/>
  <c r="M48" i="23"/>
  <c r="H48" i="23"/>
  <c r="G48" i="23"/>
  <c r="F48" i="23"/>
  <c r="E48" i="23"/>
  <c r="D48" i="23"/>
  <c r="C48" i="23"/>
  <c r="I48" i="23"/>
  <c r="B48" i="23"/>
  <c r="A48" i="23"/>
  <c r="X47" i="23"/>
  <c r="W47" i="23"/>
  <c r="P47" i="23"/>
  <c r="O47" i="23"/>
  <c r="N47" i="23"/>
  <c r="M47" i="23"/>
  <c r="Q47" i="23"/>
  <c r="H47" i="23"/>
  <c r="G47" i="23"/>
  <c r="F47" i="23"/>
  <c r="E47" i="23"/>
  <c r="I47" i="23"/>
  <c r="D47" i="23"/>
  <c r="C47" i="23"/>
  <c r="B47" i="23"/>
  <c r="A47" i="23"/>
  <c r="R47" i="23"/>
  <c r="X46" i="23"/>
  <c r="W46" i="23"/>
  <c r="P46" i="23"/>
  <c r="O46" i="23"/>
  <c r="Q46" i="23"/>
  <c r="N46" i="23"/>
  <c r="M46" i="23"/>
  <c r="H46" i="23"/>
  <c r="G46" i="23"/>
  <c r="F46" i="23"/>
  <c r="E46" i="23"/>
  <c r="D46" i="23"/>
  <c r="C46" i="23"/>
  <c r="I46" i="23"/>
  <c r="B46" i="23"/>
  <c r="A46" i="23"/>
  <c r="X45" i="23"/>
  <c r="W45" i="23"/>
  <c r="P45" i="23"/>
  <c r="O45" i="23"/>
  <c r="N45" i="23"/>
  <c r="M45" i="23"/>
  <c r="Q45" i="23"/>
  <c r="H45" i="23"/>
  <c r="G45" i="23"/>
  <c r="F45" i="23"/>
  <c r="E45" i="23"/>
  <c r="I45" i="23"/>
  <c r="D45" i="23"/>
  <c r="C45" i="23"/>
  <c r="B45" i="23"/>
  <c r="A45" i="23"/>
  <c r="R45" i="23"/>
  <c r="X44" i="23"/>
  <c r="W44" i="23"/>
  <c r="P44" i="23"/>
  <c r="O44" i="23"/>
  <c r="Q44" i="23"/>
  <c r="N44" i="23"/>
  <c r="M44" i="23"/>
  <c r="H44" i="23"/>
  <c r="G44" i="23"/>
  <c r="F44" i="23"/>
  <c r="E44" i="23"/>
  <c r="D44" i="23"/>
  <c r="C44" i="23"/>
  <c r="I44" i="23"/>
  <c r="B44" i="23"/>
  <c r="A44" i="23"/>
  <c r="X43" i="23"/>
  <c r="W43" i="23"/>
  <c r="P43" i="23"/>
  <c r="O43" i="23"/>
  <c r="N43" i="23"/>
  <c r="M43" i="23"/>
  <c r="Q43" i="23"/>
  <c r="H43" i="23"/>
  <c r="G43" i="23"/>
  <c r="F43" i="23"/>
  <c r="E43" i="23"/>
  <c r="I43" i="23"/>
  <c r="D43" i="23"/>
  <c r="C43" i="23"/>
  <c r="B43" i="23"/>
  <c r="A43" i="23"/>
  <c r="R43" i="23"/>
  <c r="X42" i="23"/>
  <c r="W42" i="23"/>
  <c r="P42" i="23"/>
  <c r="O42" i="23"/>
  <c r="Q42" i="23"/>
  <c r="N42" i="23"/>
  <c r="M42" i="23"/>
  <c r="H42" i="23"/>
  <c r="G42" i="23"/>
  <c r="F42" i="23"/>
  <c r="E42" i="23"/>
  <c r="D42" i="23"/>
  <c r="C42" i="23"/>
  <c r="I42" i="23"/>
  <c r="B42" i="23"/>
  <c r="A42" i="23"/>
  <c r="X31" i="23"/>
  <c r="W31" i="23"/>
  <c r="P31" i="23"/>
  <c r="O31" i="23"/>
  <c r="N31" i="23"/>
  <c r="M31" i="23"/>
  <c r="Q31" i="23"/>
  <c r="H31" i="23"/>
  <c r="F31" i="23"/>
  <c r="E31" i="23"/>
  <c r="D31" i="23"/>
  <c r="I31" i="23"/>
  <c r="C31" i="23"/>
  <c r="B31" i="23"/>
  <c r="A31" i="23"/>
  <c r="X30" i="23"/>
  <c r="W30" i="23"/>
  <c r="P30" i="23"/>
  <c r="O30" i="23"/>
  <c r="N30" i="23"/>
  <c r="Q30" i="23"/>
  <c r="M30" i="23"/>
  <c r="H30" i="23"/>
  <c r="F30" i="23"/>
  <c r="E30" i="23"/>
  <c r="I30" i="23"/>
  <c r="J30" i="23"/>
  <c r="D30" i="23"/>
  <c r="C30" i="23"/>
  <c r="B30" i="23"/>
  <c r="A30" i="23"/>
  <c r="R30" i="23"/>
  <c r="X29" i="23"/>
  <c r="W29" i="23"/>
  <c r="P29" i="23"/>
  <c r="O29" i="23"/>
  <c r="Q29" i="23"/>
  <c r="N29" i="23"/>
  <c r="M29" i="23"/>
  <c r="H29" i="23"/>
  <c r="F29" i="23"/>
  <c r="I29" i="23"/>
  <c r="K29" i="23"/>
  <c r="L29" i="23"/>
  <c r="E29" i="23"/>
  <c r="D29" i="23"/>
  <c r="C29" i="23"/>
  <c r="B29" i="23"/>
  <c r="A29" i="23"/>
  <c r="X28" i="23"/>
  <c r="W28" i="23"/>
  <c r="P28" i="23"/>
  <c r="Q28" i="23"/>
  <c r="O28" i="23"/>
  <c r="N28" i="23"/>
  <c r="M28" i="23"/>
  <c r="H28" i="23"/>
  <c r="F28" i="23"/>
  <c r="E28" i="23"/>
  <c r="D28" i="23"/>
  <c r="C28" i="23"/>
  <c r="I28" i="23"/>
  <c r="B28" i="23"/>
  <c r="A28" i="23"/>
  <c r="X27" i="23"/>
  <c r="W27" i="23"/>
  <c r="P27" i="23"/>
  <c r="O27" i="23"/>
  <c r="N27" i="23"/>
  <c r="M27" i="23"/>
  <c r="Q27" i="23"/>
  <c r="H27" i="23"/>
  <c r="F27" i="23"/>
  <c r="E27" i="23"/>
  <c r="D27" i="23"/>
  <c r="I27" i="23"/>
  <c r="C27" i="23"/>
  <c r="B27" i="23"/>
  <c r="A27" i="23"/>
  <c r="X26" i="23"/>
  <c r="W26" i="23"/>
  <c r="P26" i="23"/>
  <c r="O26" i="23"/>
  <c r="N26" i="23"/>
  <c r="Q26" i="23"/>
  <c r="M26" i="23"/>
  <c r="H26" i="23"/>
  <c r="F26" i="23"/>
  <c r="E26" i="23"/>
  <c r="I26" i="23"/>
  <c r="D26" i="23"/>
  <c r="C26" i="23"/>
  <c r="B26" i="23"/>
  <c r="A26" i="23"/>
  <c r="R26" i="23"/>
  <c r="X25" i="23"/>
  <c r="W25" i="23"/>
  <c r="P25" i="23"/>
  <c r="O25" i="23"/>
  <c r="Q25" i="23"/>
  <c r="N25" i="23"/>
  <c r="M25" i="23"/>
  <c r="H25" i="23"/>
  <c r="F25" i="23"/>
  <c r="I25" i="23"/>
  <c r="E25" i="23"/>
  <c r="D25" i="23"/>
  <c r="C25" i="23"/>
  <c r="B25" i="23"/>
  <c r="A25" i="23"/>
  <c r="X24" i="23"/>
  <c r="W24" i="23"/>
  <c r="P24" i="23"/>
  <c r="Q24" i="23"/>
  <c r="O24" i="23"/>
  <c r="N24" i="23"/>
  <c r="M24" i="23"/>
  <c r="H24" i="23"/>
  <c r="F24" i="23"/>
  <c r="E24" i="23"/>
  <c r="D24" i="23"/>
  <c r="C24" i="23"/>
  <c r="I24" i="23"/>
  <c r="B24" i="23"/>
  <c r="A24" i="23"/>
  <c r="X23" i="23"/>
  <c r="W23" i="23"/>
  <c r="P23" i="23"/>
  <c r="O23" i="23"/>
  <c r="N23" i="23"/>
  <c r="M23" i="23"/>
  <c r="Q23" i="23"/>
  <c r="H23" i="23"/>
  <c r="F23" i="23"/>
  <c r="E23" i="23"/>
  <c r="D23" i="23"/>
  <c r="I23" i="23"/>
  <c r="C23" i="23"/>
  <c r="B23" i="23"/>
  <c r="A23" i="23"/>
  <c r="X22" i="23"/>
  <c r="W22" i="23"/>
  <c r="P22" i="23"/>
  <c r="O22" i="23"/>
  <c r="N22" i="23"/>
  <c r="Q22" i="23"/>
  <c r="M22" i="23"/>
  <c r="H22" i="23"/>
  <c r="F22" i="23"/>
  <c r="E22" i="23"/>
  <c r="I22" i="23"/>
  <c r="D22" i="23"/>
  <c r="C22" i="23"/>
  <c r="B22" i="23"/>
  <c r="A22" i="23"/>
  <c r="R22" i="23"/>
  <c r="X21" i="23"/>
  <c r="W21" i="23"/>
  <c r="P21" i="23"/>
  <c r="O21" i="23"/>
  <c r="Q21" i="23"/>
  <c r="N21" i="23"/>
  <c r="M21" i="23"/>
  <c r="H21" i="23"/>
  <c r="F21" i="23"/>
  <c r="I21" i="23"/>
  <c r="E21" i="23"/>
  <c r="D21" i="23"/>
  <c r="C21" i="23"/>
  <c r="B21" i="23"/>
  <c r="A21" i="23"/>
  <c r="X20" i="23"/>
  <c r="W20" i="23"/>
  <c r="P20" i="23"/>
  <c r="Q20" i="23"/>
  <c r="O20" i="23"/>
  <c r="N20" i="23"/>
  <c r="M20" i="23"/>
  <c r="H20" i="23"/>
  <c r="F20" i="23"/>
  <c r="E20" i="23"/>
  <c r="D20" i="23"/>
  <c r="C20" i="23"/>
  <c r="I20" i="23"/>
  <c r="B20" i="23"/>
  <c r="A20" i="23"/>
  <c r="X19" i="23"/>
  <c r="W19" i="23"/>
  <c r="P19" i="23"/>
  <c r="O19" i="23"/>
  <c r="N19" i="23"/>
  <c r="M19" i="23"/>
  <c r="Q19" i="23"/>
  <c r="H19" i="23"/>
  <c r="F19" i="23"/>
  <c r="E19" i="23"/>
  <c r="D19" i="23"/>
  <c r="I19" i="23"/>
  <c r="C19" i="23"/>
  <c r="B19" i="23"/>
  <c r="A19" i="23"/>
  <c r="X18" i="23"/>
  <c r="W18" i="23"/>
  <c r="P18" i="23"/>
  <c r="O18" i="23"/>
  <c r="N18" i="23"/>
  <c r="Q18" i="23"/>
  <c r="M18" i="23"/>
  <c r="H18" i="23"/>
  <c r="F18" i="23"/>
  <c r="E18" i="23"/>
  <c r="I18" i="23"/>
  <c r="D18" i="23"/>
  <c r="C18" i="23"/>
  <c r="B18" i="23"/>
  <c r="A18" i="23"/>
  <c r="R18" i="23"/>
  <c r="X17" i="23"/>
  <c r="W17" i="23"/>
  <c r="P17" i="23"/>
  <c r="O17" i="23"/>
  <c r="Q17" i="23"/>
  <c r="N17" i="23"/>
  <c r="M17" i="23"/>
  <c r="H17" i="23"/>
  <c r="F17" i="23"/>
  <c r="I17" i="23"/>
  <c r="E17" i="23"/>
  <c r="D17" i="23"/>
  <c r="C17" i="23"/>
  <c r="B17" i="23"/>
  <c r="A17" i="23"/>
  <c r="X16" i="23"/>
  <c r="W16" i="23"/>
  <c r="P16" i="23"/>
  <c r="Q16" i="23"/>
  <c r="O16" i="23"/>
  <c r="N16" i="23"/>
  <c r="M16" i="23"/>
  <c r="H16" i="23"/>
  <c r="F16" i="23"/>
  <c r="E16" i="23"/>
  <c r="D16" i="23"/>
  <c r="C16" i="23"/>
  <c r="I16" i="23"/>
  <c r="B16" i="23"/>
  <c r="A16" i="23"/>
  <c r="X15" i="23"/>
  <c r="W15" i="23"/>
  <c r="P15" i="23"/>
  <c r="O15" i="23"/>
  <c r="N15" i="23"/>
  <c r="M15" i="23"/>
  <c r="Q15" i="23"/>
  <c r="H15" i="23"/>
  <c r="F15" i="23"/>
  <c r="E15" i="23"/>
  <c r="D15" i="23"/>
  <c r="I15" i="23"/>
  <c r="C15" i="23"/>
  <c r="B15" i="23"/>
  <c r="A15" i="23"/>
  <c r="X14" i="23"/>
  <c r="W14" i="23"/>
  <c r="P14" i="23"/>
  <c r="O14" i="23"/>
  <c r="N14" i="23"/>
  <c r="Q14" i="23"/>
  <c r="M14" i="23"/>
  <c r="H14" i="23"/>
  <c r="F14" i="23"/>
  <c r="E14" i="23"/>
  <c r="I14" i="23"/>
  <c r="D14" i="23"/>
  <c r="C14" i="23"/>
  <c r="B14" i="23"/>
  <c r="A14" i="23"/>
  <c r="R14" i="23"/>
  <c r="X13" i="23"/>
  <c r="W13" i="23"/>
  <c r="P13" i="23"/>
  <c r="O13" i="23"/>
  <c r="Q13" i="23"/>
  <c r="N13" i="23"/>
  <c r="M13" i="23"/>
  <c r="H13" i="23"/>
  <c r="F13" i="23"/>
  <c r="I13" i="23"/>
  <c r="E13" i="23"/>
  <c r="D13" i="23"/>
  <c r="C13" i="23"/>
  <c r="B13" i="23"/>
  <c r="A13" i="23"/>
  <c r="X12" i="23"/>
  <c r="W12" i="23"/>
  <c r="P12" i="23"/>
  <c r="Q12" i="23"/>
  <c r="O12" i="23"/>
  <c r="N12" i="23"/>
  <c r="M12" i="23"/>
  <c r="H12" i="23"/>
  <c r="F12" i="23"/>
  <c r="E12" i="23"/>
  <c r="D12" i="23"/>
  <c r="C12" i="23"/>
  <c r="I12" i="23"/>
  <c r="B12" i="23"/>
  <c r="A12" i="23"/>
  <c r="X11" i="23"/>
  <c r="W11" i="23"/>
  <c r="P11" i="23"/>
  <c r="O11" i="23"/>
  <c r="N11" i="23"/>
  <c r="M11" i="23"/>
  <c r="Q11" i="23"/>
  <c r="H11" i="23"/>
  <c r="F11" i="23"/>
  <c r="E11" i="23"/>
  <c r="D11" i="23"/>
  <c r="I11" i="23"/>
  <c r="C11" i="23"/>
  <c r="B11" i="23"/>
  <c r="A11" i="23"/>
  <c r="X10" i="23"/>
  <c r="W10" i="23"/>
  <c r="P10" i="23"/>
  <c r="O10" i="23"/>
  <c r="N10" i="23"/>
  <c r="Q10" i="23"/>
  <c r="M10" i="23"/>
  <c r="H10" i="23"/>
  <c r="F10" i="23"/>
  <c r="E10" i="23"/>
  <c r="I10" i="23"/>
  <c r="D10" i="23"/>
  <c r="C10" i="23"/>
  <c r="B10" i="23"/>
  <c r="A10" i="23"/>
  <c r="R10" i="23"/>
  <c r="X9" i="23"/>
  <c r="W9" i="23"/>
  <c r="P9" i="23"/>
  <c r="O9" i="23"/>
  <c r="Q9" i="23"/>
  <c r="N9" i="23"/>
  <c r="M9" i="23"/>
  <c r="H9" i="23"/>
  <c r="F9" i="23"/>
  <c r="I9" i="23"/>
  <c r="E9" i="23"/>
  <c r="D9" i="23"/>
  <c r="C9" i="23"/>
  <c r="B9" i="23"/>
  <c r="A9" i="23"/>
  <c r="X8" i="23"/>
  <c r="W8" i="23"/>
  <c r="P8" i="23"/>
  <c r="Q8" i="23"/>
  <c r="O8" i="23"/>
  <c r="N8" i="23"/>
  <c r="M8" i="23"/>
  <c r="H8" i="23"/>
  <c r="F8" i="23"/>
  <c r="E8" i="23"/>
  <c r="D8" i="23"/>
  <c r="C8" i="23"/>
  <c r="B8" i="23"/>
  <c r="A8" i="23"/>
  <c r="R64" i="23"/>
  <c r="I62" i="23"/>
  <c r="R62" i="23"/>
  <c r="R61" i="23"/>
  <c r="R60" i="23"/>
  <c r="Q59" i="23"/>
  <c r="I58" i="23"/>
  <c r="R58" i="23"/>
  <c r="R57" i="23"/>
  <c r="R56" i="23"/>
  <c r="Q55" i="23"/>
  <c r="I54" i="23"/>
  <c r="R54" i="23"/>
  <c r="R53" i="23"/>
  <c r="R52" i="23"/>
  <c r="Q51" i="23"/>
  <c r="R50" i="23"/>
  <c r="R48" i="23"/>
  <c r="R46" i="23"/>
  <c r="R44" i="23"/>
  <c r="R42" i="23"/>
  <c r="R31" i="23"/>
  <c r="R29" i="23"/>
  <c r="R28" i="23"/>
  <c r="R27" i="23"/>
  <c r="R25" i="23"/>
  <c r="R24" i="23"/>
  <c r="R23" i="23"/>
  <c r="R21" i="23"/>
  <c r="R20" i="23"/>
  <c r="R19" i="23"/>
  <c r="R17" i="23"/>
  <c r="R16" i="23"/>
  <c r="R15" i="23"/>
  <c r="R13" i="23"/>
  <c r="R12" i="23"/>
  <c r="R11" i="23"/>
  <c r="R9" i="23"/>
  <c r="R8" i="23"/>
  <c r="A57" i="21"/>
  <c r="B57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A58" i="21"/>
  <c r="B58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A59" i="21"/>
  <c r="B59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A60" i="21"/>
  <c r="B60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A61" i="21"/>
  <c r="B61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A62" i="21"/>
  <c r="B62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A63" i="21"/>
  <c r="B63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A64" i="21"/>
  <c r="B64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A26" i="21"/>
  <c r="B26" i="21"/>
  <c r="C26" i="21"/>
  <c r="D26" i="21"/>
  <c r="E26" i="21"/>
  <c r="F26" i="21"/>
  <c r="H26" i="21"/>
  <c r="I26" i="21"/>
  <c r="J26" i="21"/>
  <c r="M26" i="21"/>
  <c r="N26" i="21"/>
  <c r="O26" i="21"/>
  <c r="P26" i="21"/>
  <c r="Q26" i="21"/>
  <c r="R26" i="21"/>
  <c r="W26" i="21"/>
  <c r="X26" i="21"/>
  <c r="A27" i="21"/>
  <c r="B27" i="21"/>
  <c r="C27" i="21"/>
  <c r="D27" i="21"/>
  <c r="E27" i="21"/>
  <c r="F27" i="21"/>
  <c r="H27" i="21"/>
  <c r="I27" i="21"/>
  <c r="J27" i="21"/>
  <c r="M27" i="21"/>
  <c r="N27" i="21"/>
  <c r="O27" i="21"/>
  <c r="P27" i="21"/>
  <c r="Q27" i="21"/>
  <c r="R27" i="21"/>
  <c r="W27" i="21"/>
  <c r="X27" i="21"/>
  <c r="A28" i="21"/>
  <c r="B28" i="21"/>
  <c r="C28" i="21"/>
  <c r="D28" i="21"/>
  <c r="E28" i="21"/>
  <c r="F28" i="21"/>
  <c r="H28" i="21"/>
  <c r="I28" i="21"/>
  <c r="J28" i="21"/>
  <c r="M28" i="21"/>
  <c r="N28" i="21"/>
  <c r="O28" i="21"/>
  <c r="P28" i="21"/>
  <c r="Q28" i="21"/>
  <c r="R28" i="21"/>
  <c r="W28" i="21"/>
  <c r="X28" i="21"/>
  <c r="A29" i="21"/>
  <c r="B29" i="21"/>
  <c r="C29" i="21"/>
  <c r="D29" i="21"/>
  <c r="E29" i="21"/>
  <c r="F29" i="21"/>
  <c r="H29" i="21"/>
  <c r="I29" i="21"/>
  <c r="J29" i="21"/>
  <c r="M29" i="21"/>
  <c r="N29" i="21"/>
  <c r="O29" i="21"/>
  <c r="P29" i="21"/>
  <c r="Q29" i="21"/>
  <c r="R29" i="21"/>
  <c r="W29" i="21"/>
  <c r="X29" i="21"/>
  <c r="A30" i="21"/>
  <c r="B30" i="21"/>
  <c r="C30" i="21"/>
  <c r="D30" i="21"/>
  <c r="E30" i="21"/>
  <c r="F30" i="21"/>
  <c r="H30" i="21"/>
  <c r="I30" i="21"/>
  <c r="J30" i="21"/>
  <c r="M30" i="21"/>
  <c r="N30" i="21"/>
  <c r="O30" i="21"/>
  <c r="P30" i="21"/>
  <c r="Q30" i="21"/>
  <c r="R30" i="21"/>
  <c r="W30" i="21"/>
  <c r="X30" i="21"/>
  <c r="A31" i="21"/>
  <c r="B31" i="21"/>
  <c r="C31" i="21"/>
  <c r="D31" i="21"/>
  <c r="E31" i="21"/>
  <c r="F31" i="21"/>
  <c r="H31" i="21"/>
  <c r="I31" i="21"/>
  <c r="J31" i="21"/>
  <c r="M31" i="21"/>
  <c r="N31" i="21"/>
  <c r="O31" i="21"/>
  <c r="P31" i="21"/>
  <c r="Q31" i="21"/>
  <c r="R31" i="21"/>
  <c r="W31" i="21"/>
  <c r="X31" i="21"/>
  <c r="A32" i="21"/>
  <c r="B32" i="21"/>
  <c r="C32" i="21"/>
  <c r="D32" i="21"/>
  <c r="E32" i="21"/>
  <c r="F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V32" i="21"/>
  <c r="U32" i="21"/>
  <c r="W32" i="21"/>
  <c r="X32" i="21"/>
  <c r="X56" i="21"/>
  <c r="W56" i="21"/>
  <c r="P56" i="21"/>
  <c r="O56" i="21"/>
  <c r="N56" i="21"/>
  <c r="M56" i="21"/>
  <c r="H56" i="21"/>
  <c r="G56" i="21"/>
  <c r="F56" i="21"/>
  <c r="E56" i="21"/>
  <c r="D56" i="21"/>
  <c r="C56" i="21"/>
  <c r="B56" i="21"/>
  <c r="A56" i="21"/>
  <c r="X55" i="21"/>
  <c r="W55" i="21"/>
  <c r="P55" i="21"/>
  <c r="O55" i="21"/>
  <c r="N55" i="21"/>
  <c r="M55" i="21"/>
  <c r="H55" i="21"/>
  <c r="G55" i="21"/>
  <c r="F55" i="21"/>
  <c r="E55" i="21"/>
  <c r="D55" i="21"/>
  <c r="C55" i="21"/>
  <c r="B55" i="21"/>
  <c r="A55" i="21"/>
  <c r="X54" i="21"/>
  <c r="W54" i="21"/>
  <c r="P54" i="21"/>
  <c r="O54" i="21"/>
  <c r="N54" i="21"/>
  <c r="M54" i="21"/>
  <c r="H54" i="21"/>
  <c r="G54" i="21"/>
  <c r="F54" i="21"/>
  <c r="E54" i="21"/>
  <c r="D54" i="21"/>
  <c r="C54" i="21"/>
  <c r="I54" i="21"/>
  <c r="K54" i="21"/>
  <c r="L54" i="21"/>
  <c r="B54" i="21"/>
  <c r="A54" i="21"/>
  <c r="X53" i="21"/>
  <c r="W53" i="21"/>
  <c r="P53" i="21"/>
  <c r="O53" i="21"/>
  <c r="N53" i="21"/>
  <c r="M53" i="21"/>
  <c r="Q53" i="21"/>
  <c r="H53" i="21"/>
  <c r="G53" i="21"/>
  <c r="F53" i="21"/>
  <c r="E53" i="21"/>
  <c r="C53" i="21"/>
  <c r="D53" i="21"/>
  <c r="I53" i="21"/>
  <c r="K53" i="21"/>
  <c r="L53" i="21"/>
  <c r="B53" i="21"/>
  <c r="A53" i="21"/>
  <c r="R53" i="21"/>
  <c r="X52" i="21"/>
  <c r="W52" i="21"/>
  <c r="P52" i="21"/>
  <c r="O52" i="21"/>
  <c r="M52" i="21"/>
  <c r="N52" i="21"/>
  <c r="Q52" i="21"/>
  <c r="H52" i="21"/>
  <c r="G52" i="21"/>
  <c r="F52" i="21"/>
  <c r="E52" i="21"/>
  <c r="D52" i="21"/>
  <c r="C52" i="21"/>
  <c r="B52" i="21"/>
  <c r="A52" i="21"/>
  <c r="X51" i="21"/>
  <c r="W51" i="21"/>
  <c r="P51" i="21"/>
  <c r="O51" i="21"/>
  <c r="N51" i="21"/>
  <c r="M51" i="21"/>
  <c r="H51" i="21"/>
  <c r="G51" i="21"/>
  <c r="F51" i="21"/>
  <c r="E51" i="21"/>
  <c r="D51" i="21"/>
  <c r="C51" i="21"/>
  <c r="B51" i="21"/>
  <c r="A51" i="21"/>
  <c r="R51" i="21"/>
  <c r="X50" i="21"/>
  <c r="W50" i="21"/>
  <c r="P50" i="21"/>
  <c r="O50" i="21"/>
  <c r="N50" i="21"/>
  <c r="M50" i="21"/>
  <c r="H50" i="21"/>
  <c r="G50" i="21"/>
  <c r="F50" i="21"/>
  <c r="E50" i="21"/>
  <c r="D50" i="21"/>
  <c r="C50" i="21"/>
  <c r="I50" i="21"/>
  <c r="K50" i="21"/>
  <c r="L50" i="21"/>
  <c r="B50" i="21"/>
  <c r="A50" i="21"/>
  <c r="X49" i="21"/>
  <c r="W49" i="21"/>
  <c r="P49" i="21"/>
  <c r="O49" i="21"/>
  <c r="N49" i="21"/>
  <c r="M49" i="21"/>
  <c r="H49" i="21"/>
  <c r="G49" i="21"/>
  <c r="F49" i="21"/>
  <c r="E49" i="21"/>
  <c r="D49" i="21"/>
  <c r="C49" i="21"/>
  <c r="B49" i="21"/>
  <c r="A49" i="21"/>
  <c r="R49" i="21"/>
  <c r="X48" i="21"/>
  <c r="W48" i="21"/>
  <c r="P48" i="21"/>
  <c r="O48" i="21"/>
  <c r="N48" i="21"/>
  <c r="M48" i="21"/>
  <c r="H48" i="21"/>
  <c r="G48" i="21"/>
  <c r="F48" i="21"/>
  <c r="E48" i="21"/>
  <c r="D48" i="21"/>
  <c r="C48" i="21"/>
  <c r="B48" i="21"/>
  <c r="A48" i="21"/>
  <c r="X47" i="21"/>
  <c r="W47" i="21"/>
  <c r="P47" i="21"/>
  <c r="O47" i="21"/>
  <c r="N47" i="21"/>
  <c r="M47" i="21"/>
  <c r="H47" i="21"/>
  <c r="G47" i="21"/>
  <c r="F47" i="21"/>
  <c r="E47" i="21"/>
  <c r="D47" i="21"/>
  <c r="C47" i="21"/>
  <c r="B47" i="21"/>
  <c r="A47" i="21"/>
  <c r="R47" i="21"/>
  <c r="X46" i="21"/>
  <c r="W46" i="21"/>
  <c r="P46" i="21"/>
  <c r="O46" i="21"/>
  <c r="N46" i="21"/>
  <c r="M46" i="21"/>
  <c r="H46" i="21"/>
  <c r="G46" i="21"/>
  <c r="F46" i="21"/>
  <c r="E46" i="21"/>
  <c r="D46" i="21"/>
  <c r="C46" i="21"/>
  <c r="I46" i="21"/>
  <c r="K46" i="21"/>
  <c r="L46" i="21"/>
  <c r="B46" i="21"/>
  <c r="A46" i="21"/>
  <c r="X45" i="21"/>
  <c r="W45" i="21"/>
  <c r="P45" i="21"/>
  <c r="O45" i="21"/>
  <c r="N45" i="21"/>
  <c r="M45" i="21"/>
  <c r="Q45" i="21"/>
  <c r="H45" i="21"/>
  <c r="G45" i="21"/>
  <c r="F45" i="21"/>
  <c r="E45" i="21"/>
  <c r="C45" i="21"/>
  <c r="D45" i="21"/>
  <c r="I45" i="21"/>
  <c r="K45" i="21"/>
  <c r="L45" i="21"/>
  <c r="B45" i="21"/>
  <c r="A45" i="21"/>
  <c r="R45" i="21"/>
  <c r="X44" i="21"/>
  <c r="W44" i="21"/>
  <c r="P44" i="21"/>
  <c r="O44" i="21"/>
  <c r="M44" i="21"/>
  <c r="N44" i="21"/>
  <c r="Q44" i="21"/>
  <c r="H44" i="21"/>
  <c r="G44" i="21"/>
  <c r="F44" i="21"/>
  <c r="E44" i="21"/>
  <c r="D44" i="21"/>
  <c r="C44" i="21"/>
  <c r="B44" i="21"/>
  <c r="A44" i="21"/>
  <c r="X43" i="21"/>
  <c r="W43" i="21"/>
  <c r="P43" i="21"/>
  <c r="O43" i="21"/>
  <c r="N43" i="21"/>
  <c r="M43" i="21"/>
  <c r="H43" i="21"/>
  <c r="G43" i="21"/>
  <c r="F43" i="21"/>
  <c r="E43" i="21"/>
  <c r="D43" i="21"/>
  <c r="C43" i="21"/>
  <c r="B43" i="21"/>
  <c r="A43" i="21"/>
  <c r="R43" i="21"/>
  <c r="X42" i="21"/>
  <c r="W42" i="21"/>
  <c r="P42" i="21"/>
  <c r="O42" i="21"/>
  <c r="N42" i="21"/>
  <c r="M42" i="21"/>
  <c r="H42" i="21"/>
  <c r="G42" i="21"/>
  <c r="F42" i="21"/>
  <c r="E42" i="21"/>
  <c r="D42" i="21"/>
  <c r="C42" i="21"/>
  <c r="B42" i="21"/>
  <c r="A42" i="21"/>
  <c r="X41" i="21"/>
  <c r="W41" i="21"/>
  <c r="P41" i="21"/>
  <c r="O41" i="21"/>
  <c r="N41" i="21"/>
  <c r="M41" i="21"/>
  <c r="Q41" i="21"/>
  <c r="H41" i="21"/>
  <c r="G41" i="21"/>
  <c r="F41" i="21"/>
  <c r="E41" i="21"/>
  <c r="C41" i="21"/>
  <c r="D41" i="21"/>
  <c r="I41" i="21"/>
  <c r="K41" i="21"/>
  <c r="L41" i="21"/>
  <c r="B41" i="21"/>
  <c r="A41" i="21"/>
  <c r="R41" i="21"/>
  <c r="X25" i="21"/>
  <c r="W25" i="21"/>
  <c r="P25" i="21"/>
  <c r="O25" i="21"/>
  <c r="N25" i="21"/>
  <c r="M25" i="21"/>
  <c r="H25" i="21"/>
  <c r="F25" i="21"/>
  <c r="E25" i="21"/>
  <c r="D25" i="21"/>
  <c r="C25" i="21"/>
  <c r="B25" i="21"/>
  <c r="A25" i="21"/>
  <c r="X24" i="21"/>
  <c r="W24" i="21"/>
  <c r="P24" i="21"/>
  <c r="O24" i="21"/>
  <c r="N24" i="21"/>
  <c r="M24" i="21"/>
  <c r="Q24" i="21"/>
  <c r="H24" i="21"/>
  <c r="F24" i="21"/>
  <c r="E24" i="21"/>
  <c r="D24" i="21"/>
  <c r="C24" i="21"/>
  <c r="I24" i="21"/>
  <c r="B24" i="21"/>
  <c r="A24" i="21"/>
  <c r="X23" i="21"/>
  <c r="W23" i="21"/>
  <c r="P23" i="21"/>
  <c r="O23" i="21"/>
  <c r="N23" i="21"/>
  <c r="M23" i="21"/>
  <c r="H23" i="21"/>
  <c r="F23" i="21"/>
  <c r="E23" i="21"/>
  <c r="D23" i="21"/>
  <c r="C23" i="21"/>
  <c r="B23" i="21"/>
  <c r="A23" i="21"/>
  <c r="X22" i="21"/>
  <c r="W22" i="21"/>
  <c r="P22" i="21"/>
  <c r="O22" i="21"/>
  <c r="N22" i="21"/>
  <c r="M22" i="21"/>
  <c r="H22" i="21"/>
  <c r="F22" i="21"/>
  <c r="E22" i="21"/>
  <c r="C22" i="21"/>
  <c r="D22" i="21"/>
  <c r="I22" i="21"/>
  <c r="B22" i="21"/>
  <c r="A22" i="21"/>
  <c r="R22" i="21"/>
  <c r="X21" i="21"/>
  <c r="W21" i="21"/>
  <c r="P21" i="21"/>
  <c r="O21" i="21"/>
  <c r="N21" i="21"/>
  <c r="M21" i="21"/>
  <c r="H21" i="21"/>
  <c r="F21" i="21"/>
  <c r="E21" i="21"/>
  <c r="D21" i="21"/>
  <c r="C21" i="21"/>
  <c r="B21" i="21"/>
  <c r="A21" i="21"/>
  <c r="X20" i="21"/>
  <c r="W20" i="21"/>
  <c r="P20" i="21"/>
  <c r="O20" i="21"/>
  <c r="N20" i="21"/>
  <c r="M20" i="21"/>
  <c r="Q20" i="21"/>
  <c r="H20" i="21"/>
  <c r="F20" i="21"/>
  <c r="E20" i="21"/>
  <c r="D20" i="21"/>
  <c r="C20" i="21"/>
  <c r="B20" i="21"/>
  <c r="A20" i="21"/>
  <c r="X19" i="21"/>
  <c r="W19" i="21"/>
  <c r="P19" i="21"/>
  <c r="O19" i="21"/>
  <c r="N19" i="21"/>
  <c r="M19" i="21"/>
  <c r="H19" i="21"/>
  <c r="F19" i="21"/>
  <c r="E19" i="21"/>
  <c r="D19" i="21"/>
  <c r="C19" i="21"/>
  <c r="B19" i="21"/>
  <c r="A19" i="21"/>
  <c r="X18" i="21"/>
  <c r="W18" i="21"/>
  <c r="P18" i="21"/>
  <c r="O18" i="21"/>
  <c r="N18" i="21"/>
  <c r="M18" i="21"/>
  <c r="Q18" i="21"/>
  <c r="H18" i="21"/>
  <c r="F18" i="21"/>
  <c r="E18" i="21"/>
  <c r="C18" i="21"/>
  <c r="D18" i="21"/>
  <c r="I18" i="21"/>
  <c r="B18" i="21"/>
  <c r="A18" i="21"/>
  <c r="R18" i="21"/>
  <c r="X17" i="21"/>
  <c r="W17" i="21"/>
  <c r="P17" i="21"/>
  <c r="O17" i="21"/>
  <c r="N17" i="21"/>
  <c r="M17" i="21"/>
  <c r="H17" i="21"/>
  <c r="F17" i="21"/>
  <c r="E17" i="21"/>
  <c r="D17" i="21"/>
  <c r="C17" i="21"/>
  <c r="B17" i="21"/>
  <c r="A17" i="21"/>
  <c r="X16" i="21"/>
  <c r="W16" i="21"/>
  <c r="P16" i="21"/>
  <c r="M16" i="21"/>
  <c r="N16" i="21"/>
  <c r="O16" i="21"/>
  <c r="Q16" i="21"/>
  <c r="H16" i="21"/>
  <c r="F16" i="21"/>
  <c r="E16" i="21"/>
  <c r="D16" i="21"/>
  <c r="C16" i="21"/>
  <c r="I16" i="21"/>
  <c r="B16" i="21"/>
  <c r="A16" i="21"/>
  <c r="X15" i="21"/>
  <c r="W15" i="21"/>
  <c r="P15" i="21"/>
  <c r="O15" i="21"/>
  <c r="N15" i="21"/>
  <c r="M15" i="21"/>
  <c r="H15" i="21"/>
  <c r="F15" i="21"/>
  <c r="E15" i="21"/>
  <c r="D15" i="21"/>
  <c r="C15" i="21"/>
  <c r="B15" i="21"/>
  <c r="A15" i="21"/>
  <c r="R15" i="21"/>
  <c r="X14" i="21"/>
  <c r="W14" i="21"/>
  <c r="P14" i="21"/>
  <c r="O14" i="21"/>
  <c r="N14" i="21"/>
  <c r="M14" i="21"/>
  <c r="Q14" i="21"/>
  <c r="H14" i="21"/>
  <c r="F14" i="21"/>
  <c r="E14" i="21"/>
  <c r="D14" i="21"/>
  <c r="C14" i="21"/>
  <c r="B14" i="21"/>
  <c r="A14" i="21"/>
  <c r="R14" i="21"/>
  <c r="X13" i="21"/>
  <c r="W13" i="21"/>
  <c r="P13" i="21"/>
  <c r="O13" i="21"/>
  <c r="N13" i="21"/>
  <c r="M13" i="21"/>
  <c r="H13" i="21"/>
  <c r="F13" i="21"/>
  <c r="E13" i="21"/>
  <c r="D13" i="21"/>
  <c r="C13" i="21"/>
  <c r="B13" i="21"/>
  <c r="A13" i="21"/>
  <c r="X12" i="21"/>
  <c r="W12" i="21"/>
  <c r="P12" i="21"/>
  <c r="O12" i="21"/>
  <c r="N12" i="21"/>
  <c r="M12" i="21"/>
  <c r="H12" i="21"/>
  <c r="F12" i="21"/>
  <c r="E12" i="21"/>
  <c r="D12" i="21"/>
  <c r="C12" i="21"/>
  <c r="I12" i="21"/>
  <c r="B12" i="21"/>
  <c r="A12" i="21"/>
  <c r="X11" i="21"/>
  <c r="W11" i="21"/>
  <c r="P11" i="21"/>
  <c r="O11" i="21"/>
  <c r="N11" i="21"/>
  <c r="M11" i="21"/>
  <c r="H11" i="21"/>
  <c r="F11" i="21"/>
  <c r="E11" i="21"/>
  <c r="D11" i="21"/>
  <c r="C11" i="21"/>
  <c r="B11" i="21"/>
  <c r="A11" i="21"/>
  <c r="R11" i="21"/>
  <c r="X10" i="21"/>
  <c r="W10" i="21"/>
  <c r="P10" i="21"/>
  <c r="O10" i="21"/>
  <c r="N10" i="21"/>
  <c r="M10" i="21"/>
  <c r="Q10" i="21"/>
  <c r="H10" i="21"/>
  <c r="F10" i="21"/>
  <c r="E10" i="21"/>
  <c r="D10" i="21"/>
  <c r="C10" i="21"/>
  <c r="B10" i="21"/>
  <c r="A10" i="21"/>
  <c r="R10" i="21"/>
  <c r="X9" i="21"/>
  <c r="W9" i="21"/>
  <c r="P9" i="21"/>
  <c r="O9" i="21"/>
  <c r="N9" i="21"/>
  <c r="M9" i="21"/>
  <c r="H9" i="21"/>
  <c r="F9" i="21"/>
  <c r="E9" i="21"/>
  <c r="D9" i="21"/>
  <c r="C9" i="21"/>
  <c r="B9" i="21"/>
  <c r="A9" i="21"/>
  <c r="X8" i="21"/>
  <c r="W8" i="21"/>
  <c r="P8" i="21"/>
  <c r="O8" i="21"/>
  <c r="N8" i="21"/>
  <c r="M8" i="21"/>
  <c r="H8" i="21"/>
  <c r="F8" i="21"/>
  <c r="E8" i="21"/>
  <c r="D8" i="21"/>
  <c r="C8" i="21"/>
  <c r="B8" i="21"/>
  <c r="A8" i="21"/>
  <c r="Q49" i="21"/>
  <c r="R56" i="21"/>
  <c r="R55" i="21"/>
  <c r="R54" i="21"/>
  <c r="R52" i="21"/>
  <c r="R50" i="21"/>
  <c r="I49" i="21"/>
  <c r="K49" i="21"/>
  <c r="L49" i="21"/>
  <c r="R48" i="21"/>
  <c r="R46" i="21"/>
  <c r="R44" i="21"/>
  <c r="I42" i="21"/>
  <c r="R42" i="21"/>
  <c r="Q9" i="21"/>
  <c r="I20" i="21"/>
  <c r="I14" i="21"/>
  <c r="R9" i="21"/>
  <c r="Q56" i="21"/>
  <c r="Q48" i="21"/>
  <c r="R25" i="21"/>
  <c r="R24" i="21"/>
  <c r="R23" i="21"/>
  <c r="Q22" i="21"/>
  <c r="R21" i="21"/>
  <c r="R20" i="21"/>
  <c r="R19" i="21"/>
  <c r="R17" i="21"/>
  <c r="R16" i="21"/>
  <c r="R13" i="21"/>
  <c r="Q12" i="21"/>
  <c r="R12" i="21"/>
  <c r="Q8" i="21"/>
  <c r="R8" i="21"/>
  <c r="I8" i="21"/>
  <c r="J14" i="21"/>
  <c r="K14" i="21"/>
  <c r="L14" i="21"/>
  <c r="J18" i="21"/>
  <c r="K18" i="21"/>
  <c r="L18" i="21"/>
  <c r="J24" i="21"/>
  <c r="K24" i="21"/>
  <c r="L24" i="21"/>
  <c r="K42" i="21"/>
  <c r="L42" i="21"/>
  <c r="J42" i="21"/>
  <c r="J12" i="21"/>
  <c r="K12" i="21"/>
  <c r="L12" i="21"/>
  <c r="S14" i="21"/>
  <c r="U14" i="21"/>
  <c r="J16" i="21"/>
  <c r="K16" i="21"/>
  <c r="L16" i="21"/>
  <c r="S18" i="21"/>
  <c r="U18" i="21"/>
  <c r="J20" i="21"/>
  <c r="K20" i="21"/>
  <c r="L20" i="21"/>
  <c r="J22" i="21"/>
  <c r="K22" i="21"/>
  <c r="L22" i="21"/>
  <c r="S24" i="21"/>
  <c r="U24" i="21"/>
  <c r="I9" i="21"/>
  <c r="S41" i="21"/>
  <c r="U41" i="21"/>
  <c r="I10" i="21"/>
  <c r="Q15" i="21"/>
  <c r="Q17" i="21"/>
  <c r="Q19" i="21"/>
  <c r="Q21" i="21"/>
  <c r="Q25" i="21"/>
  <c r="S45" i="21"/>
  <c r="U45" i="21"/>
  <c r="J50" i="21"/>
  <c r="I11" i="21"/>
  <c r="I13" i="21"/>
  <c r="I17" i="21"/>
  <c r="I21" i="21"/>
  <c r="I23" i="21"/>
  <c r="I25" i="21"/>
  <c r="J41" i="21"/>
  <c r="Q43" i="21"/>
  <c r="I44" i="21"/>
  <c r="Q46" i="21"/>
  <c r="I47" i="21"/>
  <c r="Q50" i="21"/>
  <c r="I51" i="21"/>
  <c r="Q54" i="21"/>
  <c r="I55" i="21"/>
  <c r="J45" i="21"/>
  <c r="J49" i="21"/>
  <c r="J53" i="21"/>
  <c r="Q11" i="21"/>
  <c r="Q13" i="21"/>
  <c r="Q23" i="21"/>
  <c r="J46" i="21"/>
  <c r="S49" i="21"/>
  <c r="U49" i="21"/>
  <c r="S53" i="21"/>
  <c r="U53" i="21"/>
  <c r="J54" i="21"/>
  <c r="I15" i="21"/>
  <c r="I19" i="21"/>
  <c r="Q42" i="21"/>
  <c r="I43" i="21"/>
  <c r="Q47" i="21"/>
  <c r="I48" i="21"/>
  <c r="Q51" i="21"/>
  <c r="I52" i="21"/>
  <c r="Q55" i="21"/>
  <c r="I56" i="21"/>
  <c r="C24" i="19"/>
  <c r="C23" i="19"/>
  <c r="V25" i="19"/>
  <c r="W25" i="19"/>
  <c r="N25" i="19"/>
  <c r="O25" i="19"/>
  <c r="P25" i="19"/>
  <c r="Q25" i="19"/>
  <c r="D25" i="19"/>
  <c r="A25" i="19"/>
  <c r="B25" i="19"/>
  <c r="C25" i="19"/>
  <c r="S42" i="21"/>
  <c r="U42" i="21"/>
  <c r="T42" i="21"/>
  <c r="V42" i="21"/>
  <c r="S50" i="21"/>
  <c r="U50" i="21"/>
  <c r="K21" i="21"/>
  <c r="L21" i="21"/>
  <c r="J21" i="21"/>
  <c r="S22" i="21"/>
  <c r="T53" i="21"/>
  <c r="V53" i="21"/>
  <c r="K55" i="21"/>
  <c r="L55" i="21"/>
  <c r="J55" i="21"/>
  <c r="K47" i="21"/>
  <c r="L47" i="21"/>
  <c r="J47" i="21"/>
  <c r="K17" i="21"/>
  <c r="L17" i="21"/>
  <c r="J17" i="21"/>
  <c r="T18" i="21"/>
  <c r="V18" i="21"/>
  <c r="K15" i="21"/>
  <c r="L15" i="21"/>
  <c r="J15" i="21"/>
  <c r="S54" i="21"/>
  <c r="U54" i="21"/>
  <c r="S46" i="21"/>
  <c r="U46" i="21"/>
  <c r="K25" i="21"/>
  <c r="L25" i="21"/>
  <c r="J25" i="21"/>
  <c r="K13" i="21"/>
  <c r="L13" i="21"/>
  <c r="J13" i="21"/>
  <c r="K52" i="21"/>
  <c r="J52" i="21"/>
  <c r="K43" i="21"/>
  <c r="L43" i="21"/>
  <c r="J43" i="21"/>
  <c r="T49" i="21"/>
  <c r="V49" i="21"/>
  <c r="K51" i="21"/>
  <c r="L51" i="21"/>
  <c r="J51" i="21"/>
  <c r="K44" i="21"/>
  <c r="J44" i="21"/>
  <c r="K23" i="21"/>
  <c r="L23" i="21"/>
  <c r="J23" i="21"/>
  <c r="K11" i="21"/>
  <c r="L11" i="21"/>
  <c r="J11" i="21"/>
  <c r="T41" i="21"/>
  <c r="V41" i="21"/>
  <c r="T24" i="21"/>
  <c r="V24" i="21"/>
  <c r="S51" i="21"/>
  <c r="U51" i="21"/>
  <c r="K56" i="21"/>
  <c r="J56" i="21"/>
  <c r="K48" i="21"/>
  <c r="J48" i="21"/>
  <c r="K19" i="21"/>
  <c r="L19" i="21"/>
  <c r="J19" i="21"/>
  <c r="K9" i="21"/>
  <c r="J9" i="21"/>
  <c r="T14" i="21"/>
  <c r="V14" i="21"/>
  <c r="T45" i="21"/>
  <c r="V45" i="21"/>
  <c r="J10" i="21"/>
  <c r="K10" i="21"/>
  <c r="S20" i="21"/>
  <c r="S16" i="21"/>
  <c r="S12" i="21"/>
  <c r="J8" i="21"/>
  <c r="K8" i="21"/>
  <c r="J25" i="19"/>
  <c r="L25" i="19"/>
  <c r="R25" i="19"/>
  <c r="S25" i="19"/>
  <c r="U25" i="19"/>
  <c r="K25" i="19"/>
  <c r="V23" i="19"/>
  <c r="W23" i="19"/>
  <c r="V24" i="19"/>
  <c r="W24" i="19"/>
  <c r="H48" i="19"/>
  <c r="G48" i="19"/>
  <c r="D48" i="19"/>
  <c r="H46" i="19"/>
  <c r="G46" i="19"/>
  <c r="D46" i="19"/>
  <c r="H43" i="19"/>
  <c r="G43" i="19"/>
  <c r="D43" i="19"/>
  <c r="H39" i="19"/>
  <c r="G39" i="19"/>
  <c r="D39" i="19"/>
  <c r="H35" i="19"/>
  <c r="G35" i="19"/>
  <c r="D35" i="19"/>
  <c r="H49" i="19"/>
  <c r="D49" i="19"/>
  <c r="H47" i="19"/>
  <c r="D47" i="19"/>
  <c r="H45" i="19"/>
  <c r="D45" i="19"/>
  <c r="H44" i="19"/>
  <c r="D44" i="19"/>
  <c r="H42" i="19"/>
  <c r="D42" i="19"/>
  <c r="C42" i="19"/>
  <c r="H41" i="19"/>
  <c r="D41" i="19"/>
  <c r="C41" i="19"/>
  <c r="H40" i="19"/>
  <c r="D40" i="19"/>
  <c r="C40" i="19"/>
  <c r="H36" i="19"/>
  <c r="D36" i="19"/>
  <c r="C36" i="19"/>
  <c r="N23" i="19"/>
  <c r="O23" i="19"/>
  <c r="P23" i="19"/>
  <c r="Q23" i="19"/>
  <c r="N24" i="19"/>
  <c r="O24" i="19"/>
  <c r="P24" i="19"/>
  <c r="Q24" i="19"/>
  <c r="I9" i="19"/>
  <c r="D9" i="19"/>
  <c r="I20" i="19"/>
  <c r="D20" i="19"/>
  <c r="I24" i="19"/>
  <c r="D24" i="19"/>
  <c r="D23" i="19"/>
  <c r="D21" i="19"/>
  <c r="A23" i="19"/>
  <c r="B23" i="19"/>
  <c r="A24" i="19"/>
  <c r="B24" i="19"/>
  <c r="D19" i="19"/>
  <c r="D15" i="19"/>
  <c r="D16" i="19"/>
  <c r="D14" i="19"/>
  <c r="D10" i="19"/>
  <c r="S55" i="21"/>
  <c r="U55" i="21"/>
  <c r="S21" i="21"/>
  <c r="U21" i="21"/>
  <c r="S17" i="21"/>
  <c r="S43" i="21"/>
  <c r="U43" i="21"/>
  <c r="S15" i="21"/>
  <c r="U15" i="21"/>
  <c r="S19" i="21"/>
  <c r="U19" i="21"/>
  <c r="T50" i="21"/>
  <c r="V50" i="21"/>
  <c r="T51" i="21"/>
  <c r="V51" i="21"/>
  <c r="S23" i="21"/>
  <c r="U23" i="21"/>
  <c r="T43" i="21"/>
  <c r="V43" i="21"/>
  <c r="U12" i="21"/>
  <c r="T12" i="21"/>
  <c r="V12" i="21"/>
  <c r="L48" i="21"/>
  <c r="S48" i="21"/>
  <c r="L44" i="21"/>
  <c r="S44" i="21"/>
  <c r="S11" i="21"/>
  <c r="T54" i="21"/>
  <c r="V54" i="21"/>
  <c r="L8" i="21"/>
  <c r="S8" i="21"/>
  <c r="L10" i="21"/>
  <c r="S10" i="21"/>
  <c r="T15" i="21"/>
  <c r="V15" i="21"/>
  <c r="T46" i="21"/>
  <c r="V46" i="21"/>
  <c r="S13" i="21"/>
  <c r="U22" i="21"/>
  <c r="T22" i="21"/>
  <c r="V22" i="21"/>
  <c r="U16" i="21"/>
  <c r="T16" i="21"/>
  <c r="V16" i="21"/>
  <c r="L52" i="21"/>
  <c r="S52" i="21"/>
  <c r="T55" i="21"/>
  <c r="V55" i="21"/>
  <c r="U20" i="21"/>
  <c r="T20" i="21"/>
  <c r="V20" i="21"/>
  <c r="L9" i="21"/>
  <c r="S9" i="21"/>
  <c r="L56" i="21"/>
  <c r="S56" i="21"/>
  <c r="S25" i="21"/>
  <c r="S47" i="21"/>
  <c r="M25" i="19"/>
  <c r="T25" i="19"/>
  <c r="J24" i="19"/>
  <c r="K24" i="19"/>
  <c r="J23" i="19"/>
  <c r="W49" i="19"/>
  <c r="V49" i="19"/>
  <c r="Q49" i="19"/>
  <c r="P49" i="19"/>
  <c r="O49" i="19"/>
  <c r="N49" i="19"/>
  <c r="C49" i="19"/>
  <c r="B49" i="19"/>
  <c r="A49" i="19"/>
  <c r="W48" i="19"/>
  <c r="V48" i="19"/>
  <c r="Q48" i="19"/>
  <c r="P48" i="19"/>
  <c r="O48" i="19"/>
  <c r="N48" i="19"/>
  <c r="C48" i="19"/>
  <c r="B48" i="19"/>
  <c r="A48" i="19"/>
  <c r="W47" i="19"/>
  <c r="V47" i="19"/>
  <c r="Q47" i="19"/>
  <c r="P47" i="19"/>
  <c r="O47" i="19"/>
  <c r="N47" i="19"/>
  <c r="C47" i="19"/>
  <c r="B47" i="19"/>
  <c r="A47" i="19"/>
  <c r="W46" i="19"/>
  <c r="V46" i="19"/>
  <c r="Q46" i="19"/>
  <c r="P46" i="19"/>
  <c r="O46" i="19"/>
  <c r="N46" i="19"/>
  <c r="I46" i="19"/>
  <c r="C46" i="19"/>
  <c r="B46" i="19"/>
  <c r="A46" i="19"/>
  <c r="W45" i="19"/>
  <c r="V45" i="19"/>
  <c r="Q45" i="19"/>
  <c r="P45" i="19"/>
  <c r="O45" i="19"/>
  <c r="N45" i="19"/>
  <c r="C45" i="19"/>
  <c r="B45" i="19"/>
  <c r="A45" i="19"/>
  <c r="W44" i="19"/>
  <c r="V44" i="19"/>
  <c r="Q44" i="19"/>
  <c r="P44" i="19"/>
  <c r="O44" i="19"/>
  <c r="N44" i="19"/>
  <c r="C44" i="19"/>
  <c r="B44" i="19"/>
  <c r="A44" i="19"/>
  <c r="W43" i="19"/>
  <c r="V43" i="19"/>
  <c r="Q43" i="19"/>
  <c r="P43" i="19"/>
  <c r="O43" i="19"/>
  <c r="N43" i="19"/>
  <c r="C43" i="19"/>
  <c r="B43" i="19"/>
  <c r="A43" i="19"/>
  <c r="W42" i="19"/>
  <c r="V42" i="19"/>
  <c r="Q42" i="19"/>
  <c r="P42" i="19"/>
  <c r="O42" i="19"/>
  <c r="N42" i="19"/>
  <c r="B42" i="19"/>
  <c r="A42" i="19"/>
  <c r="W41" i="19"/>
  <c r="V41" i="19"/>
  <c r="Q41" i="19"/>
  <c r="P41" i="19"/>
  <c r="O41" i="19"/>
  <c r="N41" i="19"/>
  <c r="B41" i="19"/>
  <c r="A41" i="19"/>
  <c r="W40" i="19"/>
  <c r="V40" i="19"/>
  <c r="Q40" i="19"/>
  <c r="P40" i="19"/>
  <c r="O40" i="19"/>
  <c r="N40" i="19"/>
  <c r="B40" i="19"/>
  <c r="A40" i="19"/>
  <c r="W39" i="19"/>
  <c r="V39" i="19"/>
  <c r="Q39" i="19"/>
  <c r="P39" i="19"/>
  <c r="O39" i="19"/>
  <c r="N39" i="19"/>
  <c r="C39" i="19"/>
  <c r="B39" i="19"/>
  <c r="A39" i="19"/>
  <c r="W38" i="19"/>
  <c r="V38" i="19"/>
  <c r="Q38" i="19"/>
  <c r="P38" i="19"/>
  <c r="O38" i="19"/>
  <c r="N38" i="19"/>
  <c r="H38" i="19"/>
  <c r="G38" i="19"/>
  <c r="F38" i="19"/>
  <c r="E38" i="19"/>
  <c r="D38" i="19"/>
  <c r="C38" i="19"/>
  <c r="B38" i="19"/>
  <c r="A38" i="19"/>
  <c r="W37" i="19"/>
  <c r="V37" i="19"/>
  <c r="Q37" i="19"/>
  <c r="P37" i="19"/>
  <c r="O37" i="19"/>
  <c r="N37" i="19"/>
  <c r="H37" i="19"/>
  <c r="G37" i="19"/>
  <c r="D37" i="19"/>
  <c r="C37" i="19"/>
  <c r="B37" i="19"/>
  <c r="A37" i="19"/>
  <c r="W36" i="19"/>
  <c r="V36" i="19"/>
  <c r="Q36" i="19"/>
  <c r="P36" i="19"/>
  <c r="O36" i="19"/>
  <c r="N36" i="19"/>
  <c r="B36" i="19"/>
  <c r="A36" i="19"/>
  <c r="W35" i="19"/>
  <c r="V35" i="19"/>
  <c r="Q35" i="19"/>
  <c r="P35" i="19"/>
  <c r="O35" i="19"/>
  <c r="N35" i="19"/>
  <c r="I35" i="19"/>
  <c r="C35" i="19"/>
  <c r="B35" i="19"/>
  <c r="A35" i="19"/>
  <c r="W34" i="19"/>
  <c r="V34" i="19"/>
  <c r="Q34" i="19"/>
  <c r="P34" i="19"/>
  <c r="O34" i="19"/>
  <c r="N34" i="19"/>
  <c r="H34" i="19"/>
  <c r="D34" i="19"/>
  <c r="C34" i="19"/>
  <c r="B34" i="19"/>
  <c r="A34" i="19"/>
  <c r="W22" i="19"/>
  <c r="V22" i="19"/>
  <c r="Q22" i="19"/>
  <c r="P22" i="19"/>
  <c r="O22" i="19"/>
  <c r="N22" i="19"/>
  <c r="I22" i="19"/>
  <c r="D22" i="19"/>
  <c r="C22" i="19"/>
  <c r="B22" i="19"/>
  <c r="A22" i="19"/>
  <c r="W21" i="19"/>
  <c r="V21" i="19"/>
  <c r="Q21" i="19"/>
  <c r="P21" i="19"/>
  <c r="O21" i="19"/>
  <c r="N21" i="19"/>
  <c r="C21" i="19"/>
  <c r="B21" i="19"/>
  <c r="A21" i="19"/>
  <c r="W20" i="19"/>
  <c r="V20" i="19"/>
  <c r="Q20" i="19"/>
  <c r="P20" i="19"/>
  <c r="O20" i="19"/>
  <c r="N20" i="19"/>
  <c r="C20" i="19"/>
  <c r="B20" i="19"/>
  <c r="A20" i="19"/>
  <c r="W19" i="19"/>
  <c r="V19" i="19"/>
  <c r="Q19" i="19"/>
  <c r="P19" i="19"/>
  <c r="O19" i="19"/>
  <c r="N19" i="19"/>
  <c r="C19" i="19"/>
  <c r="B19" i="19"/>
  <c r="A19" i="19"/>
  <c r="W18" i="19"/>
  <c r="V18" i="19"/>
  <c r="Q18" i="19"/>
  <c r="P18" i="19"/>
  <c r="O18" i="19"/>
  <c r="N18" i="19"/>
  <c r="D18" i="19"/>
  <c r="C18" i="19"/>
  <c r="B18" i="19"/>
  <c r="A18" i="19"/>
  <c r="W17" i="19"/>
  <c r="V17" i="19"/>
  <c r="Q17" i="19"/>
  <c r="P17" i="19"/>
  <c r="O17" i="19"/>
  <c r="N17" i="19"/>
  <c r="I17" i="19"/>
  <c r="D17" i="19"/>
  <c r="C17" i="19"/>
  <c r="B17" i="19"/>
  <c r="A17" i="19"/>
  <c r="W16" i="19"/>
  <c r="V16" i="19"/>
  <c r="Q16" i="19"/>
  <c r="P16" i="19"/>
  <c r="O16" i="19"/>
  <c r="N16" i="19"/>
  <c r="C16" i="19"/>
  <c r="B16" i="19"/>
  <c r="A16" i="19"/>
  <c r="W15" i="19"/>
  <c r="V15" i="19"/>
  <c r="Q15" i="19"/>
  <c r="P15" i="19"/>
  <c r="O15" i="19"/>
  <c r="N15" i="19"/>
  <c r="C15" i="19"/>
  <c r="B15" i="19"/>
  <c r="A15" i="19"/>
  <c r="W14" i="19"/>
  <c r="V14" i="19"/>
  <c r="Q14" i="19"/>
  <c r="P14" i="19"/>
  <c r="O14" i="19"/>
  <c r="N14" i="19"/>
  <c r="C14" i="19"/>
  <c r="B14" i="19"/>
  <c r="A14" i="19"/>
  <c r="W13" i="19"/>
  <c r="V13" i="19"/>
  <c r="Q13" i="19"/>
  <c r="P13" i="19"/>
  <c r="O13" i="19"/>
  <c r="N13" i="19"/>
  <c r="I13" i="19"/>
  <c r="D13" i="19"/>
  <c r="C13" i="19"/>
  <c r="B13" i="19"/>
  <c r="A13" i="19"/>
  <c r="W12" i="19"/>
  <c r="V12" i="19"/>
  <c r="Q12" i="19"/>
  <c r="P12" i="19"/>
  <c r="O12" i="19"/>
  <c r="N12" i="19"/>
  <c r="I12" i="19"/>
  <c r="F12" i="19"/>
  <c r="E12" i="19"/>
  <c r="D12" i="19"/>
  <c r="C12" i="19"/>
  <c r="B12" i="19"/>
  <c r="A12" i="19"/>
  <c r="W11" i="19"/>
  <c r="V11" i="19"/>
  <c r="Q11" i="19"/>
  <c r="P11" i="19"/>
  <c r="O11" i="19"/>
  <c r="N11" i="19"/>
  <c r="I11" i="19"/>
  <c r="D11" i="19"/>
  <c r="C11" i="19"/>
  <c r="B11" i="19"/>
  <c r="A11" i="19"/>
  <c r="W10" i="19"/>
  <c r="V10" i="19"/>
  <c r="Q10" i="19"/>
  <c r="P10" i="19"/>
  <c r="O10" i="19"/>
  <c r="N10" i="19"/>
  <c r="C10" i="19"/>
  <c r="B10" i="19"/>
  <c r="A10" i="19"/>
  <c r="W9" i="19"/>
  <c r="V9" i="19"/>
  <c r="Q9" i="19"/>
  <c r="P9" i="19"/>
  <c r="O9" i="19"/>
  <c r="N9" i="19"/>
  <c r="C9" i="19"/>
  <c r="B9" i="19"/>
  <c r="A9" i="19"/>
  <c r="W8" i="19"/>
  <c r="V8" i="19"/>
  <c r="Q8" i="19"/>
  <c r="P8" i="19"/>
  <c r="O8" i="19"/>
  <c r="N8" i="19"/>
  <c r="D8" i="19"/>
  <c r="C8" i="19"/>
  <c r="B8" i="19"/>
  <c r="A8" i="19"/>
  <c r="T19" i="21"/>
  <c r="V19" i="21"/>
  <c r="T21" i="21"/>
  <c r="V21" i="21"/>
  <c r="U17" i="21"/>
  <c r="T17" i="21"/>
  <c r="V17" i="21"/>
  <c r="T23" i="21"/>
  <c r="V23" i="21"/>
  <c r="U56" i="21"/>
  <c r="T56" i="21"/>
  <c r="V56" i="21"/>
  <c r="U8" i="21"/>
  <c r="T8" i="21"/>
  <c r="V8" i="21"/>
  <c r="U44" i="21"/>
  <c r="T44" i="21"/>
  <c r="V44" i="21"/>
  <c r="U25" i="21"/>
  <c r="T25" i="21"/>
  <c r="V25" i="21"/>
  <c r="U52" i="21"/>
  <c r="T52" i="21"/>
  <c r="V52" i="21"/>
  <c r="U10" i="21"/>
  <c r="T10" i="21"/>
  <c r="V10" i="21"/>
  <c r="U48" i="21"/>
  <c r="T48" i="21"/>
  <c r="V48" i="21"/>
  <c r="U11" i="21"/>
  <c r="T11" i="21"/>
  <c r="V11" i="21"/>
  <c r="U47" i="21"/>
  <c r="T47" i="21"/>
  <c r="V47" i="21"/>
  <c r="U9" i="21"/>
  <c r="T9" i="21"/>
  <c r="V9" i="21"/>
  <c r="U13" i="21"/>
  <c r="T13" i="21"/>
  <c r="V13" i="21"/>
  <c r="L24" i="19"/>
  <c r="M24" i="19"/>
  <c r="J17" i="19"/>
  <c r="K17" i="19"/>
  <c r="K23" i="19"/>
  <c r="L23" i="19"/>
  <c r="R24" i="19"/>
  <c r="J18" i="19"/>
  <c r="L18" i="19"/>
  <c r="R18" i="19"/>
  <c r="S18" i="19"/>
  <c r="J9" i="19"/>
  <c r="L9" i="19"/>
  <c r="J11" i="19"/>
  <c r="L11" i="19"/>
  <c r="R11" i="19"/>
  <c r="S11" i="19"/>
  <c r="J13" i="19"/>
  <c r="K13" i="19"/>
  <c r="J21" i="19"/>
  <c r="L21" i="19"/>
  <c r="J22" i="19"/>
  <c r="K22" i="19"/>
  <c r="J35" i="19"/>
  <c r="K35" i="19"/>
  <c r="J46" i="19"/>
  <c r="L46" i="19"/>
  <c r="R46" i="19"/>
  <c r="J47" i="19"/>
  <c r="L47" i="19"/>
  <c r="R47" i="19"/>
  <c r="J48" i="19"/>
  <c r="L48" i="19"/>
  <c r="R48" i="19"/>
  <c r="J39" i="19"/>
  <c r="K39" i="19"/>
  <c r="J43" i="19"/>
  <c r="K43" i="19"/>
  <c r="J10" i="19"/>
  <c r="L10" i="19"/>
  <c r="J14" i="19"/>
  <c r="L14" i="19"/>
  <c r="R14" i="19"/>
  <c r="S14" i="19"/>
  <c r="J16" i="19"/>
  <c r="L16" i="19"/>
  <c r="R16" i="19"/>
  <c r="S16" i="19"/>
  <c r="J19" i="19"/>
  <c r="L19" i="19"/>
  <c r="J20" i="19"/>
  <c r="L20" i="19"/>
  <c r="J34" i="19"/>
  <c r="L34" i="19"/>
  <c r="R34" i="19"/>
  <c r="J36" i="19"/>
  <c r="K36" i="19"/>
  <c r="J37" i="19"/>
  <c r="K37" i="19"/>
  <c r="J38" i="19"/>
  <c r="L38" i="19"/>
  <c r="R38" i="19"/>
  <c r="J40" i="19"/>
  <c r="L40" i="19"/>
  <c r="R40" i="19"/>
  <c r="J41" i="19"/>
  <c r="L41" i="19"/>
  <c r="R41" i="19"/>
  <c r="J42" i="19"/>
  <c r="L42" i="19"/>
  <c r="R42" i="19"/>
  <c r="J44" i="19"/>
  <c r="K44" i="19"/>
  <c r="J45" i="19"/>
  <c r="L45" i="19"/>
  <c r="J49" i="19"/>
  <c r="L49" i="19"/>
  <c r="R49" i="19"/>
  <c r="T49" i="19"/>
  <c r="J12" i="19"/>
  <c r="L12" i="19"/>
  <c r="J8" i="19"/>
  <c r="L8" i="19"/>
  <c r="J15" i="19"/>
  <c r="L15" i="19"/>
  <c r="R15" i="19"/>
  <c r="S15" i="19"/>
  <c r="L39" i="19"/>
  <c r="R39" i="19"/>
  <c r="D47" i="17"/>
  <c r="L17" i="19"/>
  <c r="R8" i="19"/>
  <c r="S8" i="19"/>
  <c r="K18" i="19"/>
  <c r="T39" i="19"/>
  <c r="S39" i="19"/>
  <c r="U39" i="19"/>
  <c r="T41" i="19"/>
  <c r="S41" i="19"/>
  <c r="U41" i="19"/>
  <c r="S24" i="19"/>
  <c r="U24" i="19"/>
  <c r="T24" i="19"/>
  <c r="L35" i="19"/>
  <c r="R35" i="19"/>
  <c r="T40" i="19"/>
  <c r="S40" i="19"/>
  <c r="U40" i="19"/>
  <c r="T34" i="19"/>
  <c r="S34" i="19"/>
  <c r="U34" i="19"/>
  <c r="T48" i="19"/>
  <c r="S48" i="19"/>
  <c r="U48" i="19"/>
  <c r="R23" i="19"/>
  <c r="T23" i="19"/>
  <c r="M23" i="19"/>
  <c r="S23" i="19"/>
  <c r="U23" i="19"/>
  <c r="K48" i="19"/>
  <c r="T38" i="19"/>
  <c r="S38" i="19"/>
  <c r="U38" i="19"/>
  <c r="T47" i="19"/>
  <c r="S47" i="19"/>
  <c r="U47" i="19"/>
  <c r="T42" i="19"/>
  <c r="S42" i="19"/>
  <c r="U42" i="19"/>
  <c r="T46" i="19"/>
  <c r="S46" i="19"/>
  <c r="U46" i="19"/>
  <c r="K46" i="19"/>
  <c r="K49" i="19"/>
  <c r="K47" i="19"/>
  <c r="L37" i="19"/>
  <c r="R37" i="19"/>
  <c r="L43" i="19"/>
  <c r="M43" i="19"/>
  <c r="R43" i="19"/>
  <c r="K40" i="19"/>
  <c r="K14" i="19"/>
  <c r="L22" i="19"/>
  <c r="M22" i="19"/>
  <c r="K11" i="19"/>
  <c r="K9" i="19"/>
  <c r="L13" i="19"/>
  <c r="R13" i="19"/>
  <c r="S13" i="19"/>
  <c r="K21" i="19"/>
  <c r="K20" i="19"/>
  <c r="K10" i="19"/>
  <c r="L44" i="19"/>
  <c r="R44" i="19"/>
  <c r="K34" i="19"/>
  <c r="K8" i="19"/>
  <c r="K38" i="19"/>
  <c r="K15" i="19"/>
  <c r="K45" i="19"/>
  <c r="K12" i="19"/>
  <c r="K16" i="19"/>
  <c r="K42" i="19"/>
  <c r="L36" i="19"/>
  <c r="K19" i="19"/>
  <c r="K41" i="19"/>
  <c r="M13" i="19"/>
  <c r="R22" i="19"/>
  <c r="S22" i="19"/>
  <c r="M48" i="19"/>
  <c r="M11" i="19"/>
  <c r="M45" i="19"/>
  <c r="M16" i="19"/>
  <c r="M42" i="19"/>
  <c r="R21" i="19"/>
  <c r="S21" i="19"/>
  <c r="M21" i="19"/>
  <c r="M38" i="19"/>
  <c r="M18" i="19"/>
  <c r="M19" i="19"/>
  <c r="M14" i="19"/>
  <c r="M41" i="19"/>
  <c r="M34" i="19"/>
  <c r="M17" i="19"/>
  <c r="R17" i="19"/>
  <c r="M35" i="19"/>
  <c r="M49" i="19"/>
  <c r="S49" i="19"/>
  <c r="U49" i="19"/>
  <c r="M47" i="19"/>
  <c r="M46" i="19"/>
  <c r="M20" i="19"/>
  <c r="R20" i="19"/>
  <c r="M8" i="19"/>
  <c r="M40" i="19"/>
  <c r="R10" i="19"/>
  <c r="S10" i="19"/>
  <c r="M10" i="19"/>
  <c r="M9" i="19"/>
  <c r="R9" i="19"/>
  <c r="S9" i="19"/>
  <c r="R12" i="19"/>
  <c r="S12" i="19"/>
  <c r="M12" i="19"/>
  <c r="M39" i="19"/>
  <c r="M15" i="19"/>
  <c r="C46" i="17"/>
  <c r="D46" i="17"/>
  <c r="G46" i="17"/>
  <c r="H46" i="17"/>
  <c r="N46" i="17"/>
  <c r="O46" i="17"/>
  <c r="P46" i="17"/>
  <c r="Q46" i="17"/>
  <c r="V46" i="17"/>
  <c r="W46" i="17"/>
  <c r="C47" i="17"/>
  <c r="G47" i="17"/>
  <c r="H47" i="17"/>
  <c r="N47" i="17"/>
  <c r="O47" i="17"/>
  <c r="P47" i="17"/>
  <c r="Q47" i="17"/>
  <c r="V47" i="17"/>
  <c r="W47" i="17"/>
  <c r="M36" i="19"/>
  <c r="R36" i="19"/>
  <c r="M37" i="19"/>
  <c r="T17" i="19"/>
  <c r="S17" i="19"/>
  <c r="U17" i="19"/>
  <c r="R19" i="19"/>
  <c r="T19" i="19"/>
  <c r="S19" i="19"/>
  <c r="U19" i="19"/>
  <c r="T44" i="19"/>
  <c r="S44" i="19"/>
  <c r="U44" i="19"/>
  <c r="T35" i="19"/>
  <c r="S35" i="19"/>
  <c r="U35" i="19"/>
  <c r="S45" i="19"/>
  <c r="U45" i="19"/>
  <c r="R45" i="19"/>
  <c r="T45" i="19"/>
  <c r="T37" i="19"/>
  <c r="S37" i="19"/>
  <c r="U37" i="19"/>
  <c r="T43" i="19"/>
  <c r="S43" i="19"/>
  <c r="U43" i="19"/>
  <c r="M44" i="19"/>
  <c r="T15" i="19"/>
  <c r="U15" i="19"/>
  <c r="T12" i="19"/>
  <c r="U12" i="19"/>
  <c r="T8" i="19"/>
  <c r="U8" i="19"/>
  <c r="T14" i="19"/>
  <c r="U14" i="19"/>
  <c r="U22" i="19"/>
  <c r="T22" i="19"/>
  <c r="T9" i="19"/>
  <c r="U9" i="19"/>
  <c r="T20" i="19"/>
  <c r="S20" i="19"/>
  <c r="U20" i="19"/>
  <c r="T18" i="19"/>
  <c r="U18" i="19"/>
  <c r="T10" i="19"/>
  <c r="U10" i="19"/>
  <c r="T21" i="19"/>
  <c r="U21" i="19"/>
  <c r="T16" i="19"/>
  <c r="U16" i="19"/>
  <c r="U11" i="19"/>
  <c r="T11" i="19"/>
  <c r="U13" i="19"/>
  <c r="T13" i="19"/>
  <c r="J47" i="17"/>
  <c r="J46" i="17"/>
  <c r="L46" i="17"/>
  <c r="R46" i="17"/>
  <c r="S46" i="17"/>
  <c r="K47" i="17"/>
  <c r="L47" i="17"/>
  <c r="R47" i="17"/>
  <c r="S47" i="17"/>
  <c r="A46" i="17"/>
  <c r="B46" i="17"/>
  <c r="A47" i="17"/>
  <c r="B47" i="17"/>
  <c r="T36" i="19"/>
  <c r="S36" i="19"/>
  <c r="U36" i="19"/>
  <c r="K46" i="17"/>
  <c r="M47" i="17"/>
  <c r="M46" i="17"/>
  <c r="W22" i="17"/>
  <c r="W23" i="17"/>
  <c r="W20" i="17"/>
  <c r="V22" i="17"/>
  <c r="V23" i="17"/>
  <c r="N23" i="17"/>
  <c r="O23" i="17"/>
  <c r="P23" i="17"/>
  <c r="Q23" i="17"/>
  <c r="D23" i="17"/>
  <c r="C23" i="17"/>
  <c r="Q22" i="17"/>
  <c r="P22" i="17"/>
  <c r="O22" i="17"/>
  <c r="N22" i="17"/>
  <c r="C22" i="17"/>
  <c r="D22" i="17"/>
  <c r="I22" i="17"/>
  <c r="D21" i="17"/>
  <c r="I21" i="17"/>
  <c r="A22" i="17"/>
  <c r="B22" i="17"/>
  <c r="A23" i="17"/>
  <c r="B23" i="17"/>
  <c r="J23" i="17"/>
  <c r="L23" i="17"/>
  <c r="R23" i="17"/>
  <c r="J22" i="17"/>
  <c r="K22" i="17"/>
  <c r="U46" i="17"/>
  <c r="T46" i="17"/>
  <c r="U47" i="17"/>
  <c r="T47" i="17"/>
  <c r="M23" i="17"/>
  <c r="K23" i="17"/>
  <c r="W45" i="17"/>
  <c r="V45" i="17"/>
  <c r="Q45" i="17"/>
  <c r="P45" i="17"/>
  <c r="O45" i="17"/>
  <c r="N45" i="17"/>
  <c r="H45" i="17"/>
  <c r="G45" i="17"/>
  <c r="D45" i="17"/>
  <c r="C45" i="17"/>
  <c r="B45" i="17"/>
  <c r="A45" i="17"/>
  <c r="W44" i="17"/>
  <c r="V44" i="17"/>
  <c r="Q44" i="17"/>
  <c r="P44" i="17"/>
  <c r="O44" i="17"/>
  <c r="N44" i="17"/>
  <c r="I44" i="17"/>
  <c r="H44" i="17"/>
  <c r="G44" i="17"/>
  <c r="F44" i="17"/>
  <c r="E44" i="17"/>
  <c r="D44" i="17"/>
  <c r="C44" i="17"/>
  <c r="B44" i="17"/>
  <c r="A44" i="17"/>
  <c r="W43" i="17"/>
  <c r="V43" i="17"/>
  <c r="Q43" i="17"/>
  <c r="P43" i="17"/>
  <c r="O43" i="17"/>
  <c r="N43" i="17"/>
  <c r="H43" i="17"/>
  <c r="G43" i="17"/>
  <c r="D43" i="17"/>
  <c r="C43" i="17"/>
  <c r="B43" i="17"/>
  <c r="A43" i="17"/>
  <c r="W42" i="17"/>
  <c r="V42" i="17"/>
  <c r="Q42" i="17"/>
  <c r="P42" i="17"/>
  <c r="O42" i="17"/>
  <c r="N42" i="17"/>
  <c r="H42" i="17"/>
  <c r="D42" i="17"/>
  <c r="C42" i="17"/>
  <c r="B42" i="17"/>
  <c r="A42" i="17"/>
  <c r="W41" i="17"/>
  <c r="V41" i="17"/>
  <c r="Q41" i="17"/>
  <c r="P41" i="17"/>
  <c r="O41" i="17"/>
  <c r="N41" i="17"/>
  <c r="H41" i="17"/>
  <c r="G41" i="17"/>
  <c r="D41" i="17"/>
  <c r="C41" i="17"/>
  <c r="B41" i="17"/>
  <c r="A41" i="17"/>
  <c r="W40" i="17"/>
  <c r="V40" i="17"/>
  <c r="Q40" i="17"/>
  <c r="P40" i="17"/>
  <c r="O40" i="17"/>
  <c r="N40" i="17"/>
  <c r="H40" i="17"/>
  <c r="G40" i="17"/>
  <c r="D40" i="17"/>
  <c r="C40" i="17"/>
  <c r="B40" i="17"/>
  <c r="A40" i="17"/>
  <c r="W39" i="17"/>
  <c r="V39" i="17"/>
  <c r="Q39" i="17"/>
  <c r="P39" i="17"/>
  <c r="O39" i="17"/>
  <c r="N39" i="17"/>
  <c r="H39" i="17"/>
  <c r="G39" i="17"/>
  <c r="D39" i="17"/>
  <c r="C39" i="17"/>
  <c r="B39" i="17"/>
  <c r="A39" i="17"/>
  <c r="W38" i="17"/>
  <c r="V38" i="17"/>
  <c r="Q38" i="17"/>
  <c r="P38" i="17"/>
  <c r="O38" i="17"/>
  <c r="N38" i="17"/>
  <c r="H38" i="17"/>
  <c r="G38" i="17"/>
  <c r="D38" i="17"/>
  <c r="C38" i="17"/>
  <c r="B38" i="17"/>
  <c r="A38" i="17"/>
  <c r="W37" i="17"/>
  <c r="V37" i="17"/>
  <c r="Q37" i="17"/>
  <c r="P37" i="17"/>
  <c r="O37" i="17"/>
  <c r="N37" i="17"/>
  <c r="H37" i="17"/>
  <c r="G37" i="17"/>
  <c r="D37" i="17"/>
  <c r="C37" i="17"/>
  <c r="B37" i="17"/>
  <c r="A37" i="17"/>
  <c r="W36" i="17"/>
  <c r="V36" i="17"/>
  <c r="Q36" i="17"/>
  <c r="P36" i="17"/>
  <c r="O36" i="17"/>
  <c r="N36" i="17"/>
  <c r="H36" i="17"/>
  <c r="G36" i="17"/>
  <c r="F36" i="17"/>
  <c r="E36" i="17"/>
  <c r="D36" i="17"/>
  <c r="C36" i="17"/>
  <c r="B36" i="17"/>
  <c r="A36" i="17"/>
  <c r="W35" i="17"/>
  <c r="V35" i="17"/>
  <c r="Q35" i="17"/>
  <c r="P35" i="17"/>
  <c r="O35" i="17"/>
  <c r="N35" i="17"/>
  <c r="H35" i="17"/>
  <c r="G35" i="17"/>
  <c r="D35" i="17"/>
  <c r="C35" i="17"/>
  <c r="B35" i="17"/>
  <c r="A35" i="17"/>
  <c r="W34" i="17"/>
  <c r="V34" i="17"/>
  <c r="Q34" i="17"/>
  <c r="P34" i="17"/>
  <c r="O34" i="17"/>
  <c r="N34" i="17"/>
  <c r="H34" i="17"/>
  <c r="G34" i="17"/>
  <c r="D34" i="17"/>
  <c r="C34" i="17"/>
  <c r="B34" i="17"/>
  <c r="A34" i="17"/>
  <c r="W33" i="17"/>
  <c r="V33" i="17"/>
  <c r="Q33" i="17"/>
  <c r="P33" i="17"/>
  <c r="O33" i="17"/>
  <c r="N33" i="17"/>
  <c r="I33" i="17"/>
  <c r="H33" i="17"/>
  <c r="G33" i="17"/>
  <c r="F33" i="17"/>
  <c r="E33" i="17"/>
  <c r="D33" i="17"/>
  <c r="C33" i="17"/>
  <c r="B33" i="17"/>
  <c r="A33" i="17"/>
  <c r="W32" i="17"/>
  <c r="V32" i="17"/>
  <c r="Q32" i="17"/>
  <c r="P32" i="17"/>
  <c r="O32" i="17"/>
  <c r="N32" i="17"/>
  <c r="H32" i="17"/>
  <c r="D32" i="17"/>
  <c r="C32" i="17"/>
  <c r="B32" i="17"/>
  <c r="A32" i="17"/>
  <c r="W21" i="17"/>
  <c r="V21" i="17"/>
  <c r="Q21" i="17"/>
  <c r="P21" i="17"/>
  <c r="O21" i="17"/>
  <c r="N21" i="17"/>
  <c r="C21" i="17"/>
  <c r="J21" i="17"/>
  <c r="K21" i="17"/>
  <c r="B21" i="17"/>
  <c r="A21" i="17"/>
  <c r="V20" i="17"/>
  <c r="Q20" i="17"/>
  <c r="P20" i="17"/>
  <c r="O20" i="17"/>
  <c r="N20" i="17"/>
  <c r="I20" i="17"/>
  <c r="F20" i="17"/>
  <c r="E20" i="17"/>
  <c r="D20" i="17"/>
  <c r="C20" i="17"/>
  <c r="B20" i="17"/>
  <c r="A20" i="17"/>
  <c r="W19" i="17"/>
  <c r="V19" i="17"/>
  <c r="Q19" i="17"/>
  <c r="P19" i="17"/>
  <c r="O19" i="17"/>
  <c r="N19" i="17"/>
  <c r="I19" i="17"/>
  <c r="D19" i="17"/>
  <c r="C19" i="17"/>
  <c r="B19" i="17"/>
  <c r="A19" i="17"/>
  <c r="W18" i="17"/>
  <c r="V18" i="17"/>
  <c r="Q18" i="17"/>
  <c r="P18" i="17"/>
  <c r="O18" i="17"/>
  <c r="N18" i="17"/>
  <c r="D18" i="17"/>
  <c r="C18" i="17"/>
  <c r="B18" i="17"/>
  <c r="A18" i="17"/>
  <c r="W17" i="17"/>
  <c r="V17" i="17"/>
  <c r="Q17" i="17"/>
  <c r="P17" i="17"/>
  <c r="O17" i="17"/>
  <c r="N17" i="17"/>
  <c r="I17" i="17"/>
  <c r="D17" i="17"/>
  <c r="C17" i="17"/>
  <c r="B17" i="17"/>
  <c r="A17" i="17"/>
  <c r="W16" i="17"/>
  <c r="V16" i="17"/>
  <c r="Q16" i="17"/>
  <c r="P16" i="17"/>
  <c r="O16" i="17"/>
  <c r="N16" i="17"/>
  <c r="I16" i="17"/>
  <c r="D16" i="17"/>
  <c r="C16" i="17"/>
  <c r="B16" i="17"/>
  <c r="A16" i="17"/>
  <c r="W15" i="17"/>
  <c r="V15" i="17"/>
  <c r="Q15" i="17"/>
  <c r="P15" i="17"/>
  <c r="O15" i="17"/>
  <c r="N15" i="17"/>
  <c r="I15" i="17"/>
  <c r="D15" i="17"/>
  <c r="C15" i="17"/>
  <c r="B15" i="17"/>
  <c r="A15" i="17"/>
  <c r="W14" i="17"/>
  <c r="V14" i="17"/>
  <c r="Q14" i="17"/>
  <c r="P14" i="17"/>
  <c r="O14" i="17"/>
  <c r="N14" i="17"/>
  <c r="I14" i="17"/>
  <c r="D14" i="17"/>
  <c r="C14" i="17"/>
  <c r="B14" i="17"/>
  <c r="A14" i="17"/>
  <c r="W13" i="17"/>
  <c r="V13" i="17"/>
  <c r="Q13" i="17"/>
  <c r="P13" i="17"/>
  <c r="O13" i="17"/>
  <c r="N13" i="17"/>
  <c r="I13" i="17"/>
  <c r="D13" i="17"/>
  <c r="C13" i="17"/>
  <c r="B13" i="17"/>
  <c r="A13" i="17"/>
  <c r="W12" i="17"/>
  <c r="V12" i="17"/>
  <c r="Q12" i="17"/>
  <c r="P12" i="17"/>
  <c r="O12" i="17"/>
  <c r="N12" i="17"/>
  <c r="I12" i="17"/>
  <c r="F12" i="17"/>
  <c r="E12" i="17"/>
  <c r="D12" i="17"/>
  <c r="C12" i="17"/>
  <c r="B12" i="17"/>
  <c r="A12" i="17"/>
  <c r="W11" i="17"/>
  <c r="V11" i="17"/>
  <c r="Q11" i="17"/>
  <c r="P11" i="17"/>
  <c r="O11" i="17"/>
  <c r="N11" i="17"/>
  <c r="I11" i="17"/>
  <c r="D11" i="17"/>
  <c r="C11" i="17"/>
  <c r="B11" i="17"/>
  <c r="A11" i="17"/>
  <c r="W10" i="17"/>
  <c r="V10" i="17"/>
  <c r="Q10" i="17"/>
  <c r="P10" i="17"/>
  <c r="O10" i="17"/>
  <c r="N10" i="17"/>
  <c r="I10" i="17"/>
  <c r="D10" i="17"/>
  <c r="C10" i="17"/>
  <c r="B10" i="17"/>
  <c r="A10" i="17"/>
  <c r="W9" i="17"/>
  <c r="V9" i="17"/>
  <c r="Q9" i="17"/>
  <c r="P9" i="17"/>
  <c r="O9" i="17"/>
  <c r="N9" i="17"/>
  <c r="I9" i="17"/>
  <c r="F9" i="17"/>
  <c r="E9" i="17"/>
  <c r="D9" i="17"/>
  <c r="C9" i="17"/>
  <c r="B9" i="17"/>
  <c r="A9" i="17"/>
  <c r="W8" i="17"/>
  <c r="V8" i="17"/>
  <c r="Q8" i="17"/>
  <c r="P8" i="17"/>
  <c r="O8" i="17"/>
  <c r="N8" i="17"/>
  <c r="D8" i="17"/>
  <c r="C8" i="17"/>
  <c r="B8" i="17"/>
  <c r="A8" i="17"/>
  <c r="I14" i="7"/>
  <c r="J14" i="7"/>
  <c r="I9" i="7"/>
  <c r="J9" i="7"/>
  <c r="C8" i="7"/>
  <c r="K39" i="7"/>
  <c r="J39" i="7"/>
  <c r="I39" i="7"/>
  <c r="H39" i="7"/>
  <c r="G39" i="7"/>
  <c r="F39" i="7"/>
  <c r="E39" i="7"/>
  <c r="D39" i="7"/>
  <c r="C39" i="7"/>
  <c r="H38" i="7"/>
  <c r="G38" i="7"/>
  <c r="F38" i="7"/>
  <c r="E38" i="7"/>
  <c r="D38" i="7"/>
  <c r="C38" i="7"/>
  <c r="K37" i="7"/>
  <c r="J37" i="7"/>
  <c r="I37" i="7"/>
  <c r="H37" i="7"/>
  <c r="G37" i="7"/>
  <c r="F37" i="7"/>
  <c r="E37" i="7"/>
  <c r="D37" i="7"/>
  <c r="C37" i="7"/>
  <c r="K36" i="7"/>
  <c r="J36" i="7"/>
  <c r="I36" i="7"/>
  <c r="H36" i="7"/>
  <c r="G36" i="7"/>
  <c r="F36" i="7"/>
  <c r="E36" i="7"/>
  <c r="D36" i="7"/>
  <c r="C36" i="7"/>
  <c r="K35" i="7"/>
  <c r="J35" i="7"/>
  <c r="I35" i="7"/>
  <c r="H35" i="7"/>
  <c r="G35" i="7"/>
  <c r="F35" i="7"/>
  <c r="E35" i="7"/>
  <c r="D35" i="7"/>
  <c r="C35" i="7"/>
  <c r="K34" i="7"/>
  <c r="J34" i="7"/>
  <c r="I34" i="7"/>
  <c r="H34" i="7"/>
  <c r="G34" i="7"/>
  <c r="F34" i="7"/>
  <c r="E34" i="7"/>
  <c r="D34" i="7"/>
  <c r="C34" i="7"/>
  <c r="K33" i="7"/>
  <c r="J33" i="7"/>
  <c r="I33" i="7"/>
  <c r="H33" i="7"/>
  <c r="G33" i="7"/>
  <c r="F33" i="7"/>
  <c r="E33" i="7"/>
  <c r="D33" i="7"/>
  <c r="C33" i="7"/>
  <c r="K32" i="7"/>
  <c r="J32" i="7"/>
  <c r="I32" i="7"/>
  <c r="H32" i="7"/>
  <c r="G32" i="7"/>
  <c r="F32" i="7"/>
  <c r="E32" i="7"/>
  <c r="D32" i="7"/>
  <c r="C32" i="7"/>
  <c r="K31" i="7"/>
  <c r="J31" i="7"/>
  <c r="I31" i="7"/>
  <c r="H31" i="7"/>
  <c r="G31" i="7"/>
  <c r="F31" i="7"/>
  <c r="E31" i="7"/>
  <c r="D31" i="7"/>
  <c r="C31" i="7"/>
  <c r="K30" i="7"/>
  <c r="J30" i="7"/>
  <c r="I30" i="7"/>
  <c r="H30" i="7"/>
  <c r="G30" i="7"/>
  <c r="F30" i="7"/>
  <c r="E30" i="7"/>
  <c r="D30" i="7"/>
  <c r="C30" i="7"/>
  <c r="K29" i="7"/>
  <c r="J29" i="7"/>
  <c r="I29" i="7"/>
  <c r="H29" i="7"/>
  <c r="G29" i="7"/>
  <c r="F29" i="7"/>
  <c r="E29" i="7"/>
  <c r="D29" i="7"/>
  <c r="C29" i="7"/>
  <c r="K28" i="7"/>
  <c r="J28" i="7"/>
  <c r="I28" i="7"/>
  <c r="H28" i="7"/>
  <c r="G28" i="7"/>
  <c r="F28" i="7"/>
  <c r="E28" i="7"/>
  <c r="D28" i="7"/>
  <c r="C28" i="7"/>
  <c r="K27" i="7"/>
  <c r="K40" i="7"/>
  <c r="J27" i="7"/>
  <c r="I27" i="7"/>
  <c r="H27" i="7"/>
  <c r="G27" i="7"/>
  <c r="F27" i="7"/>
  <c r="E27" i="7"/>
  <c r="D27" i="7"/>
  <c r="C27" i="7"/>
  <c r="K18" i="7"/>
  <c r="J18" i="7"/>
  <c r="I18" i="7"/>
  <c r="H18" i="7"/>
  <c r="G18" i="7"/>
  <c r="F18" i="7"/>
  <c r="E18" i="7"/>
  <c r="D18" i="7"/>
  <c r="C18" i="7"/>
  <c r="K17" i="7"/>
  <c r="J17" i="7"/>
  <c r="I17" i="7"/>
  <c r="H17" i="7"/>
  <c r="G17" i="7"/>
  <c r="F17" i="7"/>
  <c r="E17" i="7"/>
  <c r="D17" i="7"/>
  <c r="C17" i="7"/>
  <c r="H16" i="7"/>
  <c r="G16" i="7"/>
  <c r="F16" i="7"/>
  <c r="E16" i="7"/>
  <c r="D16" i="7"/>
  <c r="C16" i="7"/>
  <c r="H15" i="7"/>
  <c r="G15" i="7"/>
  <c r="F15" i="7"/>
  <c r="E15" i="7"/>
  <c r="D15" i="7"/>
  <c r="C15" i="7"/>
  <c r="H14" i="7"/>
  <c r="G14" i="7"/>
  <c r="F14" i="7"/>
  <c r="E14" i="7"/>
  <c r="D14" i="7"/>
  <c r="C14" i="7"/>
  <c r="K13" i="7"/>
  <c r="J13" i="7"/>
  <c r="I13" i="7"/>
  <c r="H13" i="7"/>
  <c r="G13" i="7"/>
  <c r="F13" i="7"/>
  <c r="E13" i="7"/>
  <c r="D13" i="7"/>
  <c r="C13" i="7"/>
  <c r="K12" i="7"/>
  <c r="J12" i="7"/>
  <c r="I12" i="7"/>
  <c r="H12" i="7"/>
  <c r="G12" i="7"/>
  <c r="F12" i="7"/>
  <c r="E12" i="7"/>
  <c r="D12" i="7"/>
  <c r="C12" i="7"/>
  <c r="H11" i="7"/>
  <c r="G11" i="7"/>
  <c r="F11" i="7"/>
  <c r="E11" i="7"/>
  <c r="D11" i="7"/>
  <c r="C11" i="7"/>
  <c r="H10" i="7"/>
  <c r="G10" i="7"/>
  <c r="F10" i="7"/>
  <c r="E10" i="7"/>
  <c r="D10" i="7"/>
  <c r="C10" i="7"/>
  <c r="H9" i="7"/>
  <c r="G9" i="7"/>
  <c r="F9" i="7"/>
  <c r="E9" i="7"/>
  <c r="D9" i="7"/>
  <c r="C9" i="7"/>
  <c r="C19" i="7"/>
  <c r="K8" i="7"/>
  <c r="J8" i="7"/>
  <c r="I8" i="7"/>
  <c r="H8" i="7"/>
  <c r="H19" i="7"/>
  <c r="G8" i="7"/>
  <c r="F8" i="7"/>
  <c r="E8" i="7"/>
  <c r="D8" i="7"/>
  <c r="D19" i="7"/>
  <c r="I40" i="7"/>
  <c r="I19" i="7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J39" i="2"/>
  <c r="I27" i="2"/>
  <c r="I28" i="2"/>
  <c r="I29" i="2"/>
  <c r="I30" i="2"/>
  <c r="I31" i="2"/>
  <c r="I32" i="2"/>
  <c r="I33" i="2"/>
  <c r="I34" i="2"/>
  <c r="I35" i="2"/>
  <c r="I36" i="2"/>
  <c r="I37" i="2"/>
  <c r="I39" i="2"/>
  <c r="C8" i="2"/>
  <c r="C9" i="2"/>
  <c r="C10" i="2"/>
  <c r="C19" i="2"/>
  <c r="C11" i="2"/>
  <c r="C12" i="2"/>
  <c r="C13" i="2"/>
  <c r="C14" i="2"/>
  <c r="C15" i="2"/>
  <c r="C16" i="2"/>
  <c r="C17" i="2"/>
  <c r="C18" i="2"/>
  <c r="D8" i="2"/>
  <c r="D9" i="2"/>
  <c r="D10" i="2"/>
  <c r="D19" i="2"/>
  <c r="D11" i="2"/>
  <c r="D12" i="2"/>
  <c r="D13" i="2"/>
  <c r="D14" i="2"/>
  <c r="D15" i="2"/>
  <c r="D16" i="2"/>
  <c r="D17" i="2"/>
  <c r="D18" i="2"/>
  <c r="E8" i="2"/>
  <c r="E9" i="2"/>
  <c r="E10" i="2"/>
  <c r="E19" i="2"/>
  <c r="E11" i="2"/>
  <c r="E12" i="2"/>
  <c r="E13" i="2"/>
  <c r="E14" i="2"/>
  <c r="E15" i="2"/>
  <c r="E16" i="2"/>
  <c r="E17" i="2"/>
  <c r="E18" i="2"/>
  <c r="F8" i="2"/>
  <c r="F9" i="2"/>
  <c r="F10" i="2"/>
  <c r="F19" i="2"/>
  <c r="F11" i="2"/>
  <c r="F12" i="2"/>
  <c r="F13" i="2"/>
  <c r="F14" i="2"/>
  <c r="F15" i="2"/>
  <c r="F16" i="2"/>
  <c r="F17" i="2"/>
  <c r="F18" i="2"/>
  <c r="G8" i="2"/>
  <c r="G9" i="2"/>
  <c r="G10" i="2"/>
  <c r="G19" i="2"/>
  <c r="G11" i="2"/>
  <c r="G12" i="2"/>
  <c r="G13" i="2"/>
  <c r="G14" i="2"/>
  <c r="G15" i="2"/>
  <c r="G16" i="2"/>
  <c r="G17" i="2"/>
  <c r="G18" i="2"/>
  <c r="H8" i="2"/>
  <c r="H9" i="2"/>
  <c r="H10" i="2"/>
  <c r="H19" i="2"/>
  <c r="H11" i="2"/>
  <c r="H12" i="2"/>
  <c r="H13" i="2"/>
  <c r="H14" i="2"/>
  <c r="H15" i="2"/>
  <c r="H16" i="2"/>
  <c r="H17" i="2"/>
  <c r="H18" i="2"/>
  <c r="I8" i="2"/>
  <c r="I12" i="2"/>
  <c r="I13" i="2"/>
  <c r="I17" i="2"/>
  <c r="I18" i="2"/>
  <c r="C35" i="6"/>
  <c r="C27" i="6"/>
  <c r="C28" i="6"/>
  <c r="C29" i="6"/>
  <c r="C30" i="6"/>
  <c r="C31" i="6"/>
  <c r="C32" i="6"/>
  <c r="C33" i="6"/>
  <c r="C34" i="6"/>
  <c r="C36" i="6"/>
  <c r="C39" i="6"/>
  <c r="C37" i="6"/>
  <c r="C38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I27" i="6"/>
  <c r="I28" i="6"/>
  <c r="I29" i="6"/>
  <c r="I30" i="6"/>
  <c r="I31" i="6"/>
  <c r="I32" i="6"/>
  <c r="I33" i="6"/>
  <c r="I34" i="6"/>
  <c r="I35" i="6"/>
  <c r="I36" i="6"/>
  <c r="I37" i="6"/>
  <c r="I39" i="6"/>
  <c r="J27" i="6"/>
  <c r="J28" i="6"/>
  <c r="J29" i="6"/>
  <c r="J30" i="6"/>
  <c r="J31" i="6"/>
  <c r="J32" i="6"/>
  <c r="J33" i="6"/>
  <c r="J34" i="6"/>
  <c r="J35" i="6"/>
  <c r="J36" i="6"/>
  <c r="J37" i="6"/>
  <c r="J39" i="6"/>
  <c r="K27" i="6"/>
  <c r="K28" i="6"/>
  <c r="K29" i="6"/>
  <c r="K30" i="6"/>
  <c r="K31" i="6"/>
  <c r="K32" i="6"/>
  <c r="K33" i="6"/>
  <c r="K34" i="6"/>
  <c r="K35" i="6"/>
  <c r="K36" i="6"/>
  <c r="K37" i="6"/>
  <c r="K39" i="6"/>
  <c r="C8" i="6"/>
  <c r="C9" i="6"/>
  <c r="C10" i="6"/>
  <c r="C11" i="6"/>
  <c r="C12" i="6"/>
  <c r="C13" i="6"/>
  <c r="C14" i="6"/>
  <c r="C15" i="6"/>
  <c r="C16" i="6"/>
  <c r="C17" i="6"/>
  <c r="C18" i="6"/>
  <c r="D8" i="6"/>
  <c r="D9" i="6"/>
  <c r="D10" i="6"/>
  <c r="D11" i="6"/>
  <c r="D12" i="6"/>
  <c r="D13" i="6"/>
  <c r="D14" i="6"/>
  <c r="D15" i="6"/>
  <c r="D16" i="6"/>
  <c r="D17" i="6"/>
  <c r="D18" i="6"/>
  <c r="E8" i="6"/>
  <c r="E9" i="6"/>
  <c r="E10" i="6"/>
  <c r="E11" i="6"/>
  <c r="E12" i="6"/>
  <c r="E13" i="6"/>
  <c r="E14" i="6"/>
  <c r="E15" i="6"/>
  <c r="E16" i="6"/>
  <c r="E17" i="6"/>
  <c r="E18" i="6"/>
  <c r="F8" i="6"/>
  <c r="F9" i="6"/>
  <c r="F10" i="6"/>
  <c r="F11" i="6"/>
  <c r="F12" i="6"/>
  <c r="F13" i="6"/>
  <c r="F14" i="6"/>
  <c r="F15" i="6"/>
  <c r="F16" i="6"/>
  <c r="F17" i="6"/>
  <c r="F18" i="6"/>
  <c r="G8" i="6"/>
  <c r="G9" i="6"/>
  <c r="G10" i="6"/>
  <c r="G11" i="6"/>
  <c r="G12" i="6"/>
  <c r="G13" i="6"/>
  <c r="G14" i="6"/>
  <c r="G15" i="6"/>
  <c r="G16" i="6"/>
  <c r="G17" i="6"/>
  <c r="G18" i="6"/>
  <c r="H8" i="6"/>
  <c r="H9" i="6"/>
  <c r="H10" i="6"/>
  <c r="H11" i="6"/>
  <c r="H12" i="6"/>
  <c r="H13" i="6"/>
  <c r="H14" i="6"/>
  <c r="H15" i="6"/>
  <c r="H16" i="6"/>
  <c r="H17" i="6"/>
  <c r="H18" i="6"/>
  <c r="I8" i="6"/>
  <c r="I12" i="6"/>
  <c r="I13" i="6"/>
  <c r="I17" i="6"/>
  <c r="I18" i="6"/>
  <c r="J8" i="6"/>
  <c r="J9" i="6"/>
  <c r="J12" i="6"/>
  <c r="J13" i="6"/>
  <c r="J14" i="6"/>
  <c r="J17" i="6"/>
  <c r="J18" i="6"/>
  <c r="K8" i="6"/>
  <c r="K12" i="6"/>
  <c r="K13" i="6"/>
  <c r="K17" i="6"/>
  <c r="K18" i="6"/>
  <c r="D16" i="8"/>
  <c r="E16" i="8"/>
  <c r="F16" i="8"/>
  <c r="G16" i="8"/>
  <c r="H16" i="8"/>
  <c r="I16" i="8"/>
  <c r="C35" i="8"/>
  <c r="D35" i="8"/>
  <c r="C27" i="8"/>
  <c r="C28" i="8"/>
  <c r="C29" i="8"/>
  <c r="C30" i="8"/>
  <c r="C31" i="8"/>
  <c r="C32" i="8"/>
  <c r="C33" i="8"/>
  <c r="C34" i="8"/>
  <c r="C36" i="8"/>
  <c r="C37" i="8"/>
  <c r="C38" i="8"/>
  <c r="C39" i="8"/>
  <c r="D27" i="8"/>
  <c r="D28" i="8"/>
  <c r="D29" i="8"/>
  <c r="D30" i="8"/>
  <c r="D31" i="8"/>
  <c r="D32" i="8"/>
  <c r="D33" i="8"/>
  <c r="D34" i="8"/>
  <c r="D36" i="8"/>
  <c r="D37" i="8"/>
  <c r="D38" i="8"/>
  <c r="D39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J27" i="8"/>
  <c r="J28" i="8"/>
  <c r="J29" i="8"/>
  <c r="J30" i="8"/>
  <c r="J31" i="8"/>
  <c r="J32" i="8"/>
  <c r="J33" i="8"/>
  <c r="J34" i="8"/>
  <c r="J35" i="8"/>
  <c r="J36" i="8"/>
  <c r="J37" i="8"/>
  <c r="J39" i="8"/>
  <c r="K27" i="8"/>
  <c r="K28" i="8"/>
  <c r="K29" i="8"/>
  <c r="K30" i="8"/>
  <c r="K31" i="8"/>
  <c r="K32" i="8"/>
  <c r="K33" i="8"/>
  <c r="K34" i="8"/>
  <c r="K35" i="8"/>
  <c r="K36" i="8"/>
  <c r="K37" i="8"/>
  <c r="K39" i="8"/>
  <c r="L27" i="8"/>
  <c r="L28" i="8"/>
  <c r="L29" i="8"/>
  <c r="L30" i="8"/>
  <c r="L31" i="8"/>
  <c r="L32" i="8"/>
  <c r="L33" i="8"/>
  <c r="L34" i="8"/>
  <c r="L35" i="8"/>
  <c r="L36" i="8"/>
  <c r="L37" i="8"/>
  <c r="L39" i="8"/>
  <c r="M27" i="8"/>
  <c r="M28" i="8"/>
  <c r="M29" i="8"/>
  <c r="M30" i="8"/>
  <c r="M31" i="8"/>
  <c r="M32" i="8"/>
  <c r="M33" i="8"/>
  <c r="M34" i="8"/>
  <c r="M35" i="8"/>
  <c r="M36" i="8"/>
  <c r="M37" i="8"/>
  <c r="M39" i="8"/>
  <c r="N27" i="8"/>
  <c r="N28" i="8"/>
  <c r="N29" i="8"/>
  <c r="N30" i="8"/>
  <c r="N31" i="8"/>
  <c r="N32" i="8"/>
  <c r="N33" i="8"/>
  <c r="N34" i="8"/>
  <c r="N35" i="8"/>
  <c r="N36" i="8"/>
  <c r="N37" i="8"/>
  <c r="N39" i="8"/>
  <c r="C8" i="8"/>
  <c r="C9" i="8"/>
  <c r="C10" i="8"/>
  <c r="C11" i="8"/>
  <c r="C12" i="8"/>
  <c r="C13" i="8"/>
  <c r="C14" i="8"/>
  <c r="C15" i="8"/>
  <c r="C16" i="8"/>
  <c r="C17" i="8"/>
  <c r="C18" i="8"/>
  <c r="D8" i="8"/>
  <c r="D12" i="8"/>
  <c r="D13" i="8"/>
  <c r="D17" i="8"/>
  <c r="D18" i="8"/>
  <c r="E8" i="8"/>
  <c r="E9" i="8"/>
  <c r="E10" i="8"/>
  <c r="E11" i="8"/>
  <c r="E12" i="8"/>
  <c r="E13" i="8"/>
  <c r="E14" i="8"/>
  <c r="E15" i="8"/>
  <c r="E17" i="8"/>
  <c r="E18" i="8"/>
  <c r="F8" i="8"/>
  <c r="F9" i="8"/>
  <c r="F10" i="8"/>
  <c r="F11" i="8"/>
  <c r="F12" i="8"/>
  <c r="F13" i="8"/>
  <c r="F14" i="8"/>
  <c r="F15" i="8"/>
  <c r="F17" i="8"/>
  <c r="F18" i="8"/>
  <c r="G8" i="8"/>
  <c r="G9" i="8"/>
  <c r="G10" i="8"/>
  <c r="G11" i="8"/>
  <c r="G12" i="8"/>
  <c r="G13" i="8"/>
  <c r="G14" i="8"/>
  <c r="G15" i="8"/>
  <c r="G17" i="8"/>
  <c r="G18" i="8"/>
  <c r="H8" i="8"/>
  <c r="H9" i="8"/>
  <c r="H10" i="8"/>
  <c r="H11" i="8"/>
  <c r="H12" i="8"/>
  <c r="H13" i="8"/>
  <c r="H14" i="8"/>
  <c r="H15" i="8"/>
  <c r="H17" i="8"/>
  <c r="H18" i="8"/>
  <c r="I8" i="8"/>
  <c r="I9" i="8"/>
  <c r="I10" i="8"/>
  <c r="I11" i="8"/>
  <c r="I12" i="8"/>
  <c r="I13" i="8"/>
  <c r="I14" i="8"/>
  <c r="I15" i="8"/>
  <c r="I17" i="8"/>
  <c r="I18" i="8"/>
  <c r="J8" i="8"/>
  <c r="J12" i="8"/>
  <c r="J13" i="8"/>
  <c r="J17" i="8"/>
  <c r="J18" i="8"/>
  <c r="K8" i="8"/>
  <c r="K9" i="8"/>
  <c r="K12" i="8"/>
  <c r="K13" i="8"/>
  <c r="K14" i="8"/>
  <c r="K17" i="8"/>
  <c r="K18" i="8"/>
  <c r="L8" i="8"/>
  <c r="L9" i="8"/>
  <c r="L12" i="8"/>
  <c r="L13" i="8"/>
  <c r="L14" i="8"/>
  <c r="L17" i="8"/>
  <c r="L18" i="8"/>
  <c r="M8" i="8"/>
  <c r="M12" i="8"/>
  <c r="M13" i="8"/>
  <c r="M17" i="8"/>
  <c r="M18" i="8"/>
  <c r="N8" i="8"/>
  <c r="N12" i="8"/>
  <c r="N13" i="8"/>
  <c r="N17" i="8"/>
  <c r="N18" i="8"/>
  <c r="C8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O9" i="10"/>
  <c r="O18" i="10"/>
  <c r="O17" i="10"/>
  <c r="O14" i="10"/>
  <c r="O13" i="10"/>
  <c r="O12" i="10"/>
  <c r="O8" i="10"/>
  <c r="N18" i="10"/>
  <c r="N17" i="10"/>
  <c r="N16" i="10"/>
  <c r="N15" i="10"/>
  <c r="N14" i="10"/>
  <c r="N13" i="10"/>
  <c r="N12" i="10"/>
  <c r="N11" i="10"/>
  <c r="N10" i="10"/>
  <c r="N9" i="10"/>
  <c r="N19" i="10"/>
  <c r="N8" i="10"/>
  <c r="K18" i="10"/>
  <c r="K17" i="10"/>
  <c r="K16" i="10"/>
  <c r="K15" i="10"/>
  <c r="K14" i="10"/>
  <c r="K13" i="10"/>
  <c r="K12" i="10"/>
  <c r="K11" i="10"/>
  <c r="K10" i="10"/>
  <c r="K9" i="10"/>
  <c r="K8" i="10"/>
  <c r="K19" i="10"/>
  <c r="J12" i="10"/>
  <c r="D38" i="10"/>
  <c r="E38" i="10"/>
  <c r="F38" i="10"/>
  <c r="G38" i="10"/>
  <c r="H38" i="10"/>
  <c r="I38" i="10"/>
  <c r="J38" i="10"/>
  <c r="L38" i="10"/>
  <c r="M38" i="10"/>
  <c r="P38" i="10"/>
  <c r="P27" i="10"/>
  <c r="P28" i="10"/>
  <c r="P29" i="10"/>
  <c r="P30" i="10"/>
  <c r="P31" i="10"/>
  <c r="P32" i="10"/>
  <c r="P33" i="10"/>
  <c r="P34" i="10"/>
  <c r="P35" i="10"/>
  <c r="P36" i="10"/>
  <c r="P37" i="10"/>
  <c r="P39" i="10"/>
  <c r="O40" i="10"/>
  <c r="L8" i="10"/>
  <c r="M8" i="10"/>
  <c r="P8" i="10"/>
  <c r="L9" i="10"/>
  <c r="M9" i="10"/>
  <c r="P9" i="10"/>
  <c r="L12" i="10"/>
  <c r="M12" i="10"/>
  <c r="P12" i="10"/>
  <c r="L13" i="10"/>
  <c r="M13" i="10"/>
  <c r="P13" i="10"/>
  <c r="L14" i="10"/>
  <c r="M14" i="10"/>
  <c r="P14" i="10"/>
  <c r="L17" i="10"/>
  <c r="M17" i="10"/>
  <c r="P17" i="10"/>
  <c r="L18" i="10"/>
  <c r="M18" i="10"/>
  <c r="P18" i="10"/>
  <c r="C16" i="10"/>
  <c r="C17" i="10"/>
  <c r="M39" i="10"/>
  <c r="L39" i="10"/>
  <c r="J39" i="10"/>
  <c r="I39" i="10"/>
  <c r="H39" i="10"/>
  <c r="G39" i="10"/>
  <c r="F39" i="10"/>
  <c r="E39" i="10"/>
  <c r="D39" i="10"/>
  <c r="C39" i="10"/>
  <c r="C38" i="10"/>
  <c r="M37" i="10"/>
  <c r="L37" i="10"/>
  <c r="J37" i="10"/>
  <c r="I37" i="10"/>
  <c r="H37" i="10"/>
  <c r="G37" i="10"/>
  <c r="F37" i="10"/>
  <c r="E37" i="10"/>
  <c r="D37" i="10"/>
  <c r="C37" i="10"/>
  <c r="M36" i="10"/>
  <c r="L36" i="10"/>
  <c r="J36" i="10"/>
  <c r="I36" i="10"/>
  <c r="H36" i="10"/>
  <c r="G36" i="10"/>
  <c r="F36" i="10"/>
  <c r="E36" i="10"/>
  <c r="D36" i="10"/>
  <c r="C36" i="10"/>
  <c r="M35" i="10"/>
  <c r="L35" i="10"/>
  <c r="J35" i="10"/>
  <c r="I35" i="10"/>
  <c r="H35" i="10"/>
  <c r="G35" i="10"/>
  <c r="F35" i="10"/>
  <c r="E35" i="10"/>
  <c r="D35" i="10"/>
  <c r="C35" i="10"/>
  <c r="M34" i="10"/>
  <c r="L34" i="10"/>
  <c r="J34" i="10"/>
  <c r="I34" i="10"/>
  <c r="H34" i="10"/>
  <c r="G34" i="10"/>
  <c r="F34" i="10"/>
  <c r="E34" i="10"/>
  <c r="D34" i="10"/>
  <c r="C34" i="10"/>
  <c r="M33" i="10"/>
  <c r="L33" i="10"/>
  <c r="J33" i="10"/>
  <c r="I33" i="10"/>
  <c r="H33" i="10"/>
  <c r="G33" i="10"/>
  <c r="F33" i="10"/>
  <c r="E33" i="10"/>
  <c r="D33" i="10"/>
  <c r="C33" i="10"/>
  <c r="M32" i="10"/>
  <c r="L32" i="10"/>
  <c r="J32" i="10"/>
  <c r="I32" i="10"/>
  <c r="H32" i="10"/>
  <c r="G32" i="10"/>
  <c r="F32" i="10"/>
  <c r="E32" i="10"/>
  <c r="D32" i="10"/>
  <c r="C32" i="10"/>
  <c r="M31" i="10"/>
  <c r="L31" i="10"/>
  <c r="J31" i="10"/>
  <c r="I31" i="10"/>
  <c r="H31" i="10"/>
  <c r="G31" i="10"/>
  <c r="F31" i="10"/>
  <c r="E31" i="10"/>
  <c r="D31" i="10"/>
  <c r="C31" i="10"/>
  <c r="M30" i="10"/>
  <c r="L30" i="10"/>
  <c r="J30" i="10"/>
  <c r="I30" i="10"/>
  <c r="H30" i="10"/>
  <c r="G30" i="10"/>
  <c r="F30" i="10"/>
  <c r="E30" i="10"/>
  <c r="D30" i="10"/>
  <c r="C30" i="10"/>
  <c r="M29" i="10"/>
  <c r="L29" i="10"/>
  <c r="J29" i="10"/>
  <c r="I29" i="10"/>
  <c r="H29" i="10"/>
  <c r="G29" i="10"/>
  <c r="F29" i="10"/>
  <c r="E29" i="10"/>
  <c r="D29" i="10"/>
  <c r="C29" i="10"/>
  <c r="M28" i="10"/>
  <c r="L28" i="10"/>
  <c r="J28" i="10"/>
  <c r="I28" i="10"/>
  <c r="H28" i="10"/>
  <c r="G28" i="10"/>
  <c r="F28" i="10"/>
  <c r="E28" i="10"/>
  <c r="D28" i="10"/>
  <c r="C28" i="10"/>
  <c r="M27" i="10"/>
  <c r="L27" i="10"/>
  <c r="J27" i="10"/>
  <c r="I27" i="10"/>
  <c r="H27" i="10"/>
  <c r="G27" i="10"/>
  <c r="F27" i="10"/>
  <c r="E27" i="10"/>
  <c r="D27" i="10"/>
  <c r="C27" i="10"/>
  <c r="C40" i="10"/>
  <c r="J18" i="10"/>
  <c r="I18" i="10"/>
  <c r="H18" i="10"/>
  <c r="G18" i="10"/>
  <c r="F18" i="10"/>
  <c r="E18" i="10"/>
  <c r="D18" i="10"/>
  <c r="C18" i="10"/>
  <c r="J17" i="10"/>
  <c r="I17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C15" i="10"/>
  <c r="J14" i="10"/>
  <c r="H14" i="10"/>
  <c r="G14" i="10"/>
  <c r="F14" i="10"/>
  <c r="E14" i="10"/>
  <c r="C14" i="10"/>
  <c r="J13" i="10"/>
  <c r="J19" i="10"/>
  <c r="I13" i="10"/>
  <c r="H13" i="10"/>
  <c r="G13" i="10"/>
  <c r="F13" i="10"/>
  <c r="E13" i="10"/>
  <c r="D13" i="10"/>
  <c r="C13" i="10"/>
  <c r="I12" i="10"/>
  <c r="H12" i="10"/>
  <c r="G12" i="10"/>
  <c r="F12" i="10"/>
  <c r="E12" i="10"/>
  <c r="D12" i="10"/>
  <c r="C12" i="10"/>
  <c r="H11" i="10"/>
  <c r="G11" i="10"/>
  <c r="F11" i="10"/>
  <c r="E11" i="10"/>
  <c r="C11" i="10"/>
  <c r="H10" i="10"/>
  <c r="G10" i="10"/>
  <c r="F10" i="10"/>
  <c r="E10" i="10"/>
  <c r="C10" i="10"/>
  <c r="J9" i="10"/>
  <c r="H9" i="10"/>
  <c r="G9" i="10"/>
  <c r="F9" i="10"/>
  <c r="E9" i="10"/>
  <c r="C9" i="10"/>
  <c r="J8" i="10"/>
  <c r="I8" i="10"/>
  <c r="H8" i="10"/>
  <c r="G8" i="10"/>
  <c r="F8" i="10"/>
  <c r="E8" i="10"/>
  <c r="D8" i="10"/>
  <c r="D40" i="10"/>
  <c r="G40" i="10"/>
  <c r="H40" i="10"/>
  <c r="M40" i="10"/>
  <c r="D8" i="13"/>
  <c r="G31" i="13"/>
  <c r="I8" i="13"/>
  <c r="D31" i="13"/>
  <c r="C21" i="13"/>
  <c r="D21" i="13"/>
  <c r="I21" i="13"/>
  <c r="C45" i="13"/>
  <c r="D45" i="13"/>
  <c r="G45" i="13"/>
  <c r="H45" i="13"/>
  <c r="Q45" i="13"/>
  <c r="C44" i="13"/>
  <c r="D44" i="13"/>
  <c r="G44" i="13"/>
  <c r="H44" i="13"/>
  <c r="Q44" i="13"/>
  <c r="C43" i="13"/>
  <c r="D43" i="13"/>
  <c r="E43" i="13"/>
  <c r="F43" i="13"/>
  <c r="G43" i="13"/>
  <c r="H43" i="13"/>
  <c r="I43" i="13"/>
  <c r="C42" i="13"/>
  <c r="D42" i="13"/>
  <c r="G42" i="13"/>
  <c r="H42" i="13"/>
  <c r="P42" i="13"/>
  <c r="C41" i="13"/>
  <c r="D41" i="13"/>
  <c r="G41" i="13"/>
  <c r="H41" i="13"/>
  <c r="Q41" i="13"/>
  <c r="C40" i="13"/>
  <c r="D40" i="13"/>
  <c r="G40" i="13"/>
  <c r="H40" i="13"/>
  <c r="Q40" i="13"/>
  <c r="C39" i="13"/>
  <c r="D39" i="13"/>
  <c r="G39" i="13"/>
  <c r="H39" i="13"/>
  <c r="C38" i="13"/>
  <c r="D38" i="13"/>
  <c r="G38" i="13"/>
  <c r="H38" i="13"/>
  <c r="P38" i="13"/>
  <c r="C37" i="13"/>
  <c r="D37" i="13"/>
  <c r="E37" i="13"/>
  <c r="H37" i="13"/>
  <c r="Q37" i="13"/>
  <c r="C36" i="13"/>
  <c r="D36" i="13"/>
  <c r="E36" i="13"/>
  <c r="F36" i="13"/>
  <c r="G36" i="13"/>
  <c r="H36" i="13"/>
  <c r="Q36" i="13"/>
  <c r="C35" i="13"/>
  <c r="D35" i="13"/>
  <c r="E35" i="13"/>
  <c r="F35" i="13"/>
  <c r="G35" i="13"/>
  <c r="H35" i="13"/>
  <c r="P35" i="13"/>
  <c r="C34" i="13"/>
  <c r="D34" i="13"/>
  <c r="E34" i="13"/>
  <c r="F34" i="13"/>
  <c r="G34" i="13"/>
  <c r="H34" i="13"/>
  <c r="Q34" i="13"/>
  <c r="C33" i="13"/>
  <c r="D33" i="13"/>
  <c r="G33" i="13"/>
  <c r="H33" i="13"/>
  <c r="P33" i="13"/>
  <c r="C32" i="13"/>
  <c r="D32" i="13"/>
  <c r="E32" i="13"/>
  <c r="F32" i="13"/>
  <c r="G32" i="13"/>
  <c r="H32" i="13"/>
  <c r="I32" i="13"/>
  <c r="Q32" i="13"/>
  <c r="C31" i="13"/>
  <c r="H31" i="13"/>
  <c r="Q31" i="13"/>
  <c r="C19" i="13"/>
  <c r="D19" i="13"/>
  <c r="I19" i="13"/>
  <c r="P19" i="13"/>
  <c r="C15" i="13"/>
  <c r="D15" i="13"/>
  <c r="I15" i="13"/>
  <c r="P15" i="13"/>
  <c r="C12" i="13"/>
  <c r="D12" i="13"/>
  <c r="E12" i="13"/>
  <c r="F12" i="13"/>
  <c r="I12" i="13"/>
  <c r="P12" i="13"/>
  <c r="C10" i="13"/>
  <c r="D10" i="13"/>
  <c r="I10" i="13"/>
  <c r="P10" i="13"/>
  <c r="C9" i="13"/>
  <c r="D9" i="13"/>
  <c r="E9" i="13"/>
  <c r="F9" i="13"/>
  <c r="I9" i="13"/>
  <c r="Q9" i="13"/>
  <c r="C8" i="13"/>
  <c r="Q8" i="13"/>
  <c r="C11" i="13"/>
  <c r="D11" i="13"/>
  <c r="E11" i="13"/>
  <c r="F11" i="13"/>
  <c r="I11" i="13"/>
  <c r="C13" i="13"/>
  <c r="D13" i="13"/>
  <c r="E13" i="13"/>
  <c r="F13" i="13"/>
  <c r="I13" i="13"/>
  <c r="C14" i="13"/>
  <c r="D14" i="13"/>
  <c r="E14" i="13"/>
  <c r="I14" i="13"/>
  <c r="C16" i="13"/>
  <c r="D16" i="13"/>
  <c r="I16" i="13"/>
  <c r="C17" i="13"/>
  <c r="D17" i="13"/>
  <c r="I17" i="13"/>
  <c r="C18" i="13"/>
  <c r="D18" i="13"/>
  <c r="I18" i="13"/>
  <c r="C20" i="13"/>
  <c r="D20" i="13"/>
  <c r="E20" i="13"/>
  <c r="F20" i="13"/>
  <c r="I20" i="13"/>
  <c r="C22" i="13"/>
  <c r="D22" i="13"/>
  <c r="I22" i="13"/>
  <c r="B32" i="13"/>
  <c r="B31" i="13"/>
  <c r="V32" i="13"/>
  <c r="W32" i="13"/>
  <c r="V33" i="13"/>
  <c r="W33" i="13"/>
  <c r="V34" i="13"/>
  <c r="W34" i="13"/>
  <c r="V35" i="13"/>
  <c r="W35" i="13"/>
  <c r="V36" i="13"/>
  <c r="W36" i="13"/>
  <c r="V37" i="13"/>
  <c r="W37" i="13"/>
  <c r="V38" i="13"/>
  <c r="W38" i="13"/>
  <c r="V39" i="13"/>
  <c r="W39" i="13"/>
  <c r="V40" i="13"/>
  <c r="W40" i="13"/>
  <c r="V41" i="13"/>
  <c r="W41" i="13"/>
  <c r="V42" i="13"/>
  <c r="W42" i="13"/>
  <c r="V43" i="13"/>
  <c r="W43" i="13"/>
  <c r="V44" i="13"/>
  <c r="W44" i="13"/>
  <c r="V45" i="13"/>
  <c r="W45" i="13"/>
  <c r="W31" i="13"/>
  <c r="V31" i="13"/>
  <c r="V22" i="13"/>
  <c r="N32" i="13"/>
  <c r="O32" i="13"/>
  <c r="P32" i="13"/>
  <c r="N33" i="13"/>
  <c r="O33" i="13"/>
  <c r="Q33" i="13"/>
  <c r="N34" i="13"/>
  <c r="O34" i="13"/>
  <c r="P34" i="13"/>
  <c r="N35" i="13"/>
  <c r="O35" i="13"/>
  <c r="Q35" i="13"/>
  <c r="N36" i="13"/>
  <c r="O36" i="13"/>
  <c r="P36" i="13"/>
  <c r="N37" i="13"/>
  <c r="O37" i="13"/>
  <c r="P37" i="13"/>
  <c r="N38" i="13"/>
  <c r="O38" i="13"/>
  <c r="Q38" i="13"/>
  <c r="N39" i="13"/>
  <c r="O39" i="13"/>
  <c r="P39" i="13"/>
  <c r="Q39" i="13"/>
  <c r="N40" i="13"/>
  <c r="O40" i="13"/>
  <c r="P40" i="13"/>
  <c r="N41" i="13"/>
  <c r="O41" i="13"/>
  <c r="P41" i="13"/>
  <c r="N42" i="13"/>
  <c r="O42" i="13"/>
  <c r="Q42" i="13"/>
  <c r="N43" i="13"/>
  <c r="O43" i="13"/>
  <c r="P43" i="13"/>
  <c r="Q43" i="13"/>
  <c r="N44" i="13"/>
  <c r="O44" i="13"/>
  <c r="P44" i="13"/>
  <c r="N45" i="13"/>
  <c r="O45" i="13"/>
  <c r="P45" i="13"/>
  <c r="O31" i="13"/>
  <c r="P31" i="13"/>
  <c r="N31" i="13"/>
  <c r="A45" i="13"/>
  <c r="B45" i="13"/>
  <c r="A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31" i="13"/>
  <c r="V9" i="13"/>
  <c r="W9" i="13"/>
  <c r="V10" i="13"/>
  <c r="W10" i="13"/>
  <c r="V11" i="13"/>
  <c r="W11" i="13"/>
  <c r="V12" i="13"/>
  <c r="W12" i="13"/>
  <c r="V13" i="13"/>
  <c r="W13" i="13"/>
  <c r="V14" i="13"/>
  <c r="W14" i="13"/>
  <c r="V15" i="13"/>
  <c r="W15" i="13"/>
  <c r="V16" i="13"/>
  <c r="W16" i="13"/>
  <c r="V17" i="13"/>
  <c r="W17" i="13"/>
  <c r="V18" i="13"/>
  <c r="W18" i="13"/>
  <c r="V19" i="13"/>
  <c r="W19" i="13"/>
  <c r="V20" i="13"/>
  <c r="W20" i="13"/>
  <c r="V21" i="13"/>
  <c r="W21" i="13"/>
  <c r="W22" i="13"/>
  <c r="W8" i="13"/>
  <c r="V8" i="13"/>
  <c r="Q11" i="13"/>
  <c r="Q13" i="13"/>
  <c r="Q14" i="13"/>
  <c r="Q17" i="13"/>
  <c r="Q18" i="13"/>
  <c r="Q21" i="13"/>
  <c r="Q22" i="13"/>
  <c r="N9" i="13"/>
  <c r="O9" i="13"/>
  <c r="P9" i="13"/>
  <c r="N10" i="13"/>
  <c r="O10" i="13"/>
  <c r="Q10" i="13"/>
  <c r="N11" i="13"/>
  <c r="O11" i="13"/>
  <c r="P11" i="13"/>
  <c r="N12" i="13"/>
  <c r="O12" i="13"/>
  <c r="Q12" i="13"/>
  <c r="N13" i="13"/>
  <c r="O13" i="13"/>
  <c r="P13" i="13"/>
  <c r="N14" i="13"/>
  <c r="O14" i="13"/>
  <c r="P14" i="13"/>
  <c r="N15" i="13"/>
  <c r="O15" i="13"/>
  <c r="Q15" i="13"/>
  <c r="N16" i="13"/>
  <c r="O16" i="13"/>
  <c r="P16" i="13"/>
  <c r="Q16" i="13"/>
  <c r="N17" i="13"/>
  <c r="O17" i="13"/>
  <c r="P17" i="13"/>
  <c r="N18" i="13"/>
  <c r="O18" i="13"/>
  <c r="P18" i="13"/>
  <c r="N19" i="13"/>
  <c r="O19" i="13"/>
  <c r="Q19" i="13"/>
  <c r="N20" i="13"/>
  <c r="O20" i="13"/>
  <c r="P20" i="13"/>
  <c r="Q20" i="13"/>
  <c r="N21" i="13"/>
  <c r="O21" i="13"/>
  <c r="P21" i="13"/>
  <c r="N22" i="13"/>
  <c r="O22" i="13"/>
  <c r="P22" i="13"/>
  <c r="O8" i="13"/>
  <c r="P8" i="13"/>
  <c r="N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B8" i="13"/>
  <c r="A8" i="13"/>
  <c r="I42" i="15"/>
  <c r="H42" i="15"/>
  <c r="G43" i="15"/>
  <c r="D43" i="15"/>
  <c r="G41" i="15"/>
  <c r="D41" i="15"/>
  <c r="D36" i="15"/>
  <c r="G36" i="15"/>
  <c r="D37" i="15"/>
  <c r="G37" i="15"/>
  <c r="D38" i="15"/>
  <c r="G38" i="15"/>
  <c r="D39" i="15"/>
  <c r="G39" i="15"/>
  <c r="G35" i="15"/>
  <c r="D35" i="15"/>
  <c r="G33" i="15"/>
  <c r="D33" i="15"/>
  <c r="I21" i="15"/>
  <c r="D21" i="15"/>
  <c r="I19" i="15"/>
  <c r="D19" i="15"/>
  <c r="D14" i="15"/>
  <c r="I14" i="15"/>
  <c r="D15" i="15"/>
  <c r="I15" i="15"/>
  <c r="D16" i="15"/>
  <c r="I16" i="15"/>
  <c r="D17" i="15"/>
  <c r="I17" i="15"/>
  <c r="I13" i="15"/>
  <c r="D13" i="15"/>
  <c r="I11" i="15"/>
  <c r="D11" i="15"/>
  <c r="D10" i="15"/>
  <c r="C21" i="15"/>
  <c r="Q21" i="15"/>
  <c r="C20" i="15"/>
  <c r="D20" i="15"/>
  <c r="E20" i="15"/>
  <c r="J20" i="15"/>
  <c r="F20" i="15"/>
  <c r="I20" i="15"/>
  <c r="C19" i="15"/>
  <c r="P19" i="15"/>
  <c r="C18" i="15"/>
  <c r="D18" i="15"/>
  <c r="J18" i="15"/>
  <c r="Q18" i="15"/>
  <c r="C17" i="15"/>
  <c r="Q17" i="15"/>
  <c r="C15" i="15"/>
  <c r="P15" i="15"/>
  <c r="C14" i="15"/>
  <c r="Q14" i="15"/>
  <c r="C13" i="15"/>
  <c r="Q13" i="15"/>
  <c r="C12" i="15"/>
  <c r="D12" i="15"/>
  <c r="E12" i="15"/>
  <c r="F12" i="15"/>
  <c r="I12" i="15"/>
  <c r="P12" i="15"/>
  <c r="C11" i="15"/>
  <c r="Q11" i="15"/>
  <c r="C10" i="15"/>
  <c r="I10" i="15"/>
  <c r="P10" i="15"/>
  <c r="C9" i="15"/>
  <c r="D9" i="15"/>
  <c r="E9" i="15"/>
  <c r="F9" i="15"/>
  <c r="I9" i="15"/>
  <c r="Q9" i="15"/>
  <c r="C8" i="15"/>
  <c r="D8" i="15"/>
  <c r="Q8" i="15"/>
  <c r="H40" i="15"/>
  <c r="D40" i="15"/>
  <c r="D30" i="15"/>
  <c r="W43" i="15"/>
  <c r="V43" i="15"/>
  <c r="Q43" i="15"/>
  <c r="P43" i="15"/>
  <c r="O43" i="15"/>
  <c r="N43" i="15"/>
  <c r="H43" i="15"/>
  <c r="C43" i="15"/>
  <c r="J43" i="15"/>
  <c r="B43" i="15"/>
  <c r="A43" i="15"/>
  <c r="W42" i="15"/>
  <c r="V42" i="15"/>
  <c r="Q42" i="15"/>
  <c r="P42" i="15"/>
  <c r="O42" i="15"/>
  <c r="N42" i="15"/>
  <c r="G42" i="15"/>
  <c r="F42" i="15"/>
  <c r="J42" i="15"/>
  <c r="L42" i="15"/>
  <c r="E42" i="15"/>
  <c r="D42" i="15"/>
  <c r="C42" i="15"/>
  <c r="B42" i="15"/>
  <c r="A42" i="15"/>
  <c r="W41" i="15"/>
  <c r="V41" i="15"/>
  <c r="Q41" i="15"/>
  <c r="P41" i="15"/>
  <c r="O41" i="15"/>
  <c r="N41" i="15"/>
  <c r="H41" i="15"/>
  <c r="C41" i="15"/>
  <c r="B41" i="15"/>
  <c r="A41" i="15"/>
  <c r="W40" i="15"/>
  <c r="V40" i="15"/>
  <c r="Q40" i="15"/>
  <c r="P40" i="15"/>
  <c r="O40" i="15"/>
  <c r="N40" i="15"/>
  <c r="C40" i="15"/>
  <c r="B40" i="15"/>
  <c r="A40" i="15"/>
  <c r="W39" i="15"/>
  <c r="V39" i="15"/>
  <c r="Q39" i="15"/>
  <c r="P39" i="15"/>
  <c r="O39" i="15"/>
  <c r="N39" i="15"/>
  <c r="H39" i="15"/>
  <c r="C39" i="15"/>
  <c r="J39" i="15"/>
  <c r="L39" i="15"/>
  <c r="R39" i="15"/>
  <c r="T39" i="15"/>
  <c r="B39" i="15"/>
  <c r="A39" i="15"/>
  <c r="W38" i="15"/>
  <c r="V38" i="15"/>
  <c r="Q38" i="15"/>
  <c r="P38" i="15"/>
  <c r="O38" i="15"/>
  <c r="N38" i="15"/>
  <c r="H38" i="15"/>
  <c r="C38" i="15"/>
  <c r="J38" i="15"/>
  <c r="L38" i="15"/>
  <c r="B38" i="15"/>
  <c r="A38" i="15"/>
  <c r="W37" i="15"/>
  <c r="V37" i="15"/>
  <c r="Q37" i="15"/>
  <c r="P37" i="15"/>
  <c r="O37" i="15"/>
  <c r="N37" i="15"/>
  <c r="H37" i="15"/>
  <c r="C37" i="15"/>
  <c r="B37" i="15"/>
  <c r="A37" i="15"/>
  <c r="W36" i="15"/>
  <c r="V36" i="15"/>
  <c r="Q36" i="15"/>
  <c r="P36" i="15"/>
  <c r="O36" i="15"/>
  <c r="N36" i="15"/>
  <c r="H36" i="15"/>
  <c r="C36" i="15"/>
  <c r="B36" i="15"/>
  <c r="A36" i="15"/>
  <c r="W35" i="15"/>
  <c r="V35" i="15"/>
  <c r="Q35" i="15"/>
  <c r="P35" i="15"/>
  <c r="O35" i="15"/>
  <c r="N35" i="15"/>
  <c r="H35" i="15"/>
  <c r="C35" i="15"/>
  <c r="B35" i="15"/>
  <c r="A35" i="15"/>
  <c r="W34" i="15"/>
  <c r="V34" i="15"/>
  <c r="Q34" i="15"/>
  <c r="P34" i="15"/>
  <c r="O34" i="15"/>
  <c r="N34" i="15"/>
  <c r="H34" i="15"/>
  <c r="G34" i="15"/>
  <c r="F34" i="15"/>
  <c r="E34" i="15"/>
  <c r="D34" i="15"/>
  <c r="C34" i="15"/>
  <c r="B34" i="15"/>
  <c r="A34" i="15"/>
  <c r="W33" i="15"/>
  <c r="V33" i="15"/>
  <c r="Q33" i="15"/>
  <c r="P33" i="15"/>
  <c r="O33" i="15"/>
  <c r="N33" i="15"/>
  <c r="H33" i="15"/>
  <c r="C33" i="15"/>
  <c r="B33" i="15"/>
  <c r="A33" i="15"/>
  <c r="W32" i="15"/>
  <c r="V32" i="15"/>
  <c r="Q32" i="15"/>
  <c r="P32" i="15"/>
  <c r="O32" i="15"/>
  <c r="N32" i="15"/>
  <c r="H32" i="15"/>
  <c r="G32" i="15"/>
  <c r="D32" i="15"/>
  <c r="C32" i="15"/>
  <c r="B32" i="15"/>
  <c r="A32" i="15"/>
  <c r="W31" i="15"/>
  <c r="V31" i="15"/>
  <c r="Q31" i="15"/>
  <c r="P31" i="15"/>
  <c r="O31" i="15"/>
  <c r="N31" i="15"/>
  <c r="I31" i="15"/>
  <c r="H31" i="15"/>
  <c r="G31" i="15"/>
  <c r="F31" i="15"/>
  <c r="J31" i="15"/>
  <c r="L31" i="15"/>
  <c r="R31" i="15"/>
  <c r="T31" i="15"/>
  <c r="E31" i="15"/>
  <c r="D31" i="15"/>
  <c r="C31" i="15"/>
  <c r="B31" i="15"/>
  <c r="A31" i="15"/>
  <c r="W30" i="15"/>
  <c r="V30" i="15"/>
  <c r="Q30" i="15"/>
  <c r="P30" i="15"/>
  <c r="O30" i="15"/>
  <c r="N30" i="15"/>
  <c r="H30" i="15"/>
  <c r="C30" i="15"/>
  <c r="B30" i="15"/>
  <c r="A30" i="15"/>
  <c r="W21" i="15"/>
  <c r="V21" i="15"/>
  <c r="P21" i="15"/>
  <c r="O21" i="15"/>
  <c r="N21" i="15"/>
  <c r="B21" i="15"/>
  <c r="A21" i="15"/>
  <c r="W20" i="15"/>
  <c r="V20" i="15"/>
  <c r="Q20" i="15"/>
  <c r="P20" i="15"/>
  <c r="O20" i="15"/>
  <c r="N20" i="15"/>
  <c r="B20" i="15"/>
  <c r="A20" i="15"/>
  <c r="W19" i="15"/>
  <c r="V19" i="15"/>
  <c r="Q19" i="15"/>
  <c r="O19" i="15"/>
  <c r="N19" i="15"/>
  <c r="B19" i="15"/>
  <c r="A19" i="15"/>
  <c r="W18" i="15"/>
  <c r="V18" i="15"/>
  <c r="P18" i="15"/>
  <c r="O18" i="15"/>
  <c r="N18" i="15"/>
  <c r="B18" i="15"/>
  <c r="A18" i="15"/>
  <c r="W17" i="15"/>
  <c r="V17" i="15"/>
  <c r="P17" i="15"/>
  <c r="O17" i="15"/>
  <c r="N17" i="15"/>
  <c r="B17" i="15"/>
  <c r="A17" i="15"/>
  <c r="W16" i="15"/>
  <c r="V16" i="15"/>
  <c r="Q16" i="15"/>
  <c r="P16" i="15"/>
  <c r="O16" i="15"/>
  <c r="N16" i="15"/>
  <c r="C16" i="15"/>
  <c r="B16" i="15"/>
  <c r="A16" i="15"/>
  <c r="W15" i="15"/>
  <c r="V15" i="15"/>
  <c r="Q15" i="15"/>
  <c r="O15" i="15"/>
  <c r="N15" i="15"/>
  <c r="B15" i="15"/>
  <c r="A15" i="15"/>
  <c r="W14" i="15"/>
  <c r="V14" i="15"/>
  <c r="P14" i="15"/>
  <c r="O14" i="15"/>
  <c r="N14" i="15"/>
  <c r="B14" i="15"/>
  <c r="A14" i="15"/>
  <c r="W13" i="15"/>
  <c r="V13" i="15"/>
  <c r="P13" i="15"/>
  <c r="O13" i="15"/>
  <c r="N13" i="15"/>
  <c r="B13" i="15"/>
  <c r="A13" i="15"/>
  <c r="W12" i="15"/>
  <c r="V12" i="15"/>
  <c r="Q12" i="15"/>
  <c r="O12" i="15"/>
  <c r="N12" i="15"/>
  <c r="B12" i="15"/>
  <c r="A12" i="15"/>
  <c r="W11" i="15"/>
  <c r="V11" i="15"/>
  <c r="P11" i="15"/>
  <c r="O11" i="15"/>
  <c r="N11" i="15"/>
  <c r="B11" i="15"/>
  <c r="A11" i="15"/>
  <c r="W10" i="15"/>
  <c r="V10" i="15"/>
  <c r="Q10" i="15"/>
  <c r="O10" i="15"/>
  <c r="N10" i="15"/>
  <c r="B10" i="15"/>
  <c r="A10" i="15"/>
  <c r="W9" i="15"/>
  <c r="V9" i="15"/>
  <c r="P9" i="15"/>
  <c r="O9" i="15"/>
  <c r="N9" i="15"/>
  <c r="B9" i="15"/>
  <c r="A9" i="15"/>
  <c r="W8" i="15"/>
  <c r="V8" i="15"/>
  <c r="P8" i="15"/>
  <c r="O8" i="15"/>
  <c r="N8" i="15"/>
  <c r="B8" i="15"/>
  <c r="A8" i="15"/>
  <c r="J36" i="15"/>
  <c r="L36" i="15"/>
  <c r="R36" i="15"/>
  <c r="T36" i="15"/>
  <c r="J34" i="15"/>
  <c r="L34" i="15"/>
  <c r="J17" i="15"/>
  <c r="K17" i="15"/>
  <c r="J40" i="7"/>
  <c r="E40" i="7"/>
  <c r="L40" i="7"/>
  <c r="L39" i="7"/>
  <c r="J32" i="15"/>
  <c r="L32" i="15"/>
  <c r="J19" i="15"/>
  <c r="J21" i="15"/>
  <c r="F19" i="10"/>
  <c r="F19" i="7"/>
  <c r="J40" i="15"/>
  <c r="J11" i="15"/>
  <c r="K11" i="15"/>
  <c r="J15" i="15"/>
  <c r="E40" i="10"/>
  <c r="I40" i="10"/>
  <c r="J34" i="13"/>
  <c r="K34" i="13"/>
  <c r="J37" i="13"/>
  <c r="J39" i="13"/>
  <c r="L39" i="13"/>
  <c r="J42" i="13"/>
  <c r="K42" i="13"/>
  <c r="J45" i="13"/>
  <c r="L45" i="13"/>
  <c r="F40" i="6"/>
  <c r="C40" i="2"/>
  <c r="J10" i="15"/>
  <c r="L10" i="15"/>
  <c r="R10" i="15"/>
  <c r="T10" i="15"/>
  <c r="J17" i="13"/>
  <c r="L17" i="13"/>
  <c r="R17" i="13"/>
  <c r="T17" i="13"/>
  <c r="J38" i="13"/>
  <c r="J8" i="13"/>
  <c r="L8" i="13"/>
  <c r="R8" i="13"/>
  <c r="T8" i="13"/>
  <c r="D19" i="10"/>
  <c r="C19" i="8"/>
  <c r="O19" i="8"/>
  <c r="N40" i="8"/>
  <c r="H40" i="6"/>
  <c r="J9" i="15"/>
  <c r="J33" i="15"/>
  <c r="K33" i="15"/>
  <c r="J37" i="15"/>
  <c r="L37" i="15"/>
  <c r="J41" i="15"/>
  <c r="L41" i="15"/>
  <c r="R41" i="15"/>
  <c r="J33" i="13"/>
  <c r="H19" i="8"/>
  <c r="D19" i="8"/>
  <c r="C40" i="8"/>
  <c r="I19" i="6"/>
  <c r="E19" i="7"/>
  <c r="J19" i="7"/>
  <c r="J30" i="15"/>
  <c r="L30" i="15"/>
  <c r="J35" i="15"/>
  <c r="J14" i="13"/>
  <c r="K14" i="13"/>
  <c r="O19" i="10"/>
  <c r="K40" i="10"/>
  <c r="N40" i="10"/>
  <c r="J41" i="13"/>
  <c r="K41" i="13"/>
  <c r="Q18" i="10"/>
  <c r="F40" i="10"/>
  <c r="J40" i="10"/>
  <c r="Q39" i="10"/>
  <c r="L40" i="8"/>
  <c r="J40" i="8"/>
  <c r="D40" i="6"/>
  <c r="J18" i="2"/>
  <c r="K19" i="7"/>
  <c r="L33" i="15"/>
  <c r="R33" i="15"/>
  <c r="T33" i="15"/>
  <c r="L40" i="15"/>
  <c r="R40" i="15"/>
  <c r="T40" i="15"/>
  <c r="K40" i="15"/>
  <c r="L43" i="15"/>
  <c r="R43" i="15"/>
  <c r="T43" i="15"/>
  <c r="K43" i="15"/>
  <c r="L35" i="15"/>
  <c r="R35" i="15"/>
  <c r="T35" i="15"/>
  <c r="K35" i="15"/>
  <c r="L14" i="13"/>
  <c r="R14" i="13"/>
  <c r="K19" i="8"/>
  <c r="G40" i="8"/>
  <c r="G19" i="6"/>
  <c r="C19" i="6"/>
  <c r="G40" i="6"/>
  <c r="G40" i="2"/>
  <c r="J16" i="15"/>
  <c r="J20" i="13"/>
  <c r="L20" i="13"/>
  <c r="M20" i="13"/>
  <c r="L42" i="13"/>
  <c r="G19" i="10"/>
  <c r="H40" i="8"/>
  <c r="I19" i="2"/>
  <c r="J19" i="2"/>
  <c r="H40" i="2"/>
  <c r="D40" i="2"/>
  <c r="J12" i="15"/>
  <c r="J14" i="15"/>
  <c r="J31" i="13"/>
  <c r="L31" i="13"/>
  <c r="J21" i="13"/>
  <c r="C19" i="10"/>
  <c r="P19" i="10"/>
  <c r="N19" i="8"/>
  <c r="L19" i="8"/>
  <c r="J19" i="8"/>
  <c r="M40" i="8"/>
  <c r="D19" i="6"/>
  <c r="J8" i="15"/>
  <c r="K39" i="13"/>
  <c r="J22" i="13"/>
  <c r="L22" i="13"/>
  <c r="J15" i="13"/>
  <c r="J19" i="13"/>
  <c r="M19" i="8"/>
  <c r="I19" i="8"/>
  <c r="F19" i="8"/>
  <c r="I40" i="8"/>
  <c r="E40" i="8"/>
  <c r="O40" i="8"/>
  <c r="K19" i="6"/>
  <c r="E19" i="6"/>
  <c r="L18" i="6"/>
  <c r="J40" i="6"/>
  <c r="C40" i="6"/>
  <c r="I40" i="2"/>
  <c r="E40" i="2"/>
  <c r="H19" i="10"/>
  <c r="K40" i="8"/>
  <c r="O39" i="8"/>
  <c r="J19" i="6"/>
  <c r="H19" i="6"/>
  <c r="L39" i="6"/>
  <c r="K31" i="15"/>
  <c r="S31" i="15"/>
  <c r="U31" i="15"/>
  <c r="K36" i="15"/>
  <c r="K39" i="15"/>
  <c r="S39" i="15"/>
  <c r="U39" i="15"/>
  <c r="J13" i="15"/>
  <c r="K13" i="15"/>
  <c r="J18" i="13"/>
  <c r="J16" i="13"/>
  <c r="J40" i="13"/>
  <c r="J44" i="13"/>
  <c r="K44" i="13"/>
  <c r="E19" i="10"/>
  <c r="I19" i="10"/>
  <c r="L40" i="10"/>
  <c r="M19" i="10"/>
  <c r="L19" i="10"/>
  <c r="P40" i="10"/>
  <c r="O18" i="8"/>
  <c r="G19" i="8"/>
  <c r="E19" i="8"/>
  <c r="F40" i="8"/>
  <c r="D40" i="8"/>
  <c r="F19" i="6"/>
  <c r="K40" i="6"/>
  <c r="I40" i="6"/>
  <c r="L40" i="6"/>
  <c r="E40" i="6"/>
  <c r="F40" i="2"/>
  <c r="J40" i="2"/>
  <c r="G19" i="7"/>
  <c r="L18" i="7"/>
  <c r="F40" i="7"/>
  <c r="D40" i="7"/>
  <c r="H40" i="7"/>
  <c r="C40" i="7"/>
  <c r="G40" i="7"/>
  <c r="L22" i="17"/>
  <c r="R22" i="17"/>
  <c r="S22" i="17"/>
  <c r="J13" i="17"/>
  <c r="L13" i="17"/>
  <c r="J42" i="17"/>
  <c r="K42" i="17"/>
  <c r="J45" i="17"/>
  <c r="L45" i="17"/>
  <c r="R45" i="17"/>
  <c r="L21" i="17"/>
  <c r="M21" i="17"/>
  <c r="T23" i="17"/>
  <c r="S23" i="17"/>
  <c r="U23" i="17"/>
  <c r="J8" i="17"/>
  <c r="L8" i="17"/>
  <c r="R8" i="17"/>
  <c r="J11" i="17"/>
  <c r="L11" i="17"/>
  <c r="J32" i="17"/>
  <c r="L32" i="17"/>
  <c r="R32" i="17"/>
  <c r="J14" i="17"/>
  <c r="K14" i="17"/>
  <c r="J20" i="17"/>
  <c r="K20" i="17"/>
  <c r="J35" i="17"/>
  <c r="L35" i="17"/>
  <c r="R35" i="17"/>
  <c r="J36" i="17"/>
  <c r="L36" i="17"/>
  <c r="R36" i="17"/>
  <c r="S36" i="17"/>
  <c r="J38" i="17"/>
  <c r="L38" i="17"/>
  <c r="J39" i="17"/>
  <c r="K39" i="17"/>
  <c r="J43" i="17"/>
  <c r="K43" i="17"/>
  <c r="J44" i="17"/>
  <c r="K44" i="17"/>
  <c r="J16" i="17"/>
  <c r="L16" i="17"/>
  <c r="R16" i="17"/>
  <c r="S16" i="17"/>
  <c r="J19" i="17"/>
  <c r="L19" i="17"/>
  <c r="R19" i="17"/>
  <c r="S19" i="17"/>
  <c r="J9" i="17"/>
  <c r="L9" i="17"/>
  <c r="J12" i="17"/>
  <c r="L12" i="17"/>
  <c r="J15" i="17"/>
  <c r="L15" i="17"/>
  <c r="J18" i="17"/>
  <c r="K18" i="17"/>
  <c r="J33" i="17"/>
  <c r="K33" i="17"/>
  <c r="J34" i="17"/>
  <c r="K34" i="17"/>
  <c r="J37" i="17"/>
  <c r="L37" i="17"/>
  <c r="R37" i="17"/>
  <c r="J41" i="17"/>
  <c r="K41" i="17"/>
  <c r="J40" i="17"/>
  <c r="L40" i="17"/>
  <c r="R40" i="17"/>
  <c r="S40" i="17"/>
  <c r="J17" i="17"/>
  <c r="K17" i="17"/>
  <c r="J10" i="17"/>
  <c r="L10" i="17"/>
  <c r="M10" i="17"/>
  <c r="L43" i="17"/>
  <c r="R43" i="17"/>
  <c r="S43" i="17"/>
  <c r="K14" i="15"/>
  <c r="L14" i="15"/>
  <c r="L19" i="15"/>
  <c r="K19" i="15"/>
  <c r="L9" i="15"/>
  <c r="K9" i="15"/>
  <c r="L17" i="15"/>
  <c r="K20" i="15"/>
  <c r="L20" i="15"/>
  <c r="J13" i="13"/>
  <c r="L37" i="13"/>
  <c r="K37" i="13"/>
  <c r="K10" i="15"/>
  <c r="R38" i="15"/>
  <c r="M38" i="15"/>
  <c r="M10" i="15"/>
  <c r="M31" i="15"/>
  <c r="K37" i="15"/>
  <c r="M39" i="15"/>
  <c r="K41" i="15"/>
  <c r="K42" i="15"/>
  <c r="L8" i="15"/>
  <c r="K8" i="15"/>
  <c r="S10" i="15"/>
  <c r="U10" i="15"/>
  <c r="K18" i="15"/>
  <c r="L18" i="15"/>
  <c r="R32" i="15"/>
  <c r="M32" i="15"/>
  <c r="R34" i="15"/>
  <c r="M34" i="15"/>
  <c r="R37" i="15"/>
  <c r="M37" i="15"/>
  <c r="R42" i="15"/>
  <c r="M42" i="15"/>
  <c r="K32" i="15"/>
  <c r="K34" i="15"/>
  <c r="M36" i="15"/>
  <c r="K38" i="15"/>
  <c r="M40" i="15"/>
  <c r="S35" i="15"/>
  <c r="U35" i="15"/>
  <c r="S36" i="15"/>
  <c r="U36" i="15"/>
  <c r="S40" i="15"/>
  <c r="U40" i="15"/>
  <c r="S43" i="15"/>
  <c r="U43" i="15"/>
  <c r="L13" i="15"/>
  <c r="L38" i="13"/>
  <c r="K38" i="13"/>
  <c r="J12" i="13"/>
  <c r="J43" i="13"/>
  <c r="L44" i="13"/>
  <c r="K45" i="13"/>
  <c r="K20" i="13"/>
  <c r="M14" i="13"/>
  <c r="K22" i="13"/>
  <c r="R20" i="13"/>
  <c r="J11" i="13"/>
  <c r="J9" i="13"/>
  <c r="J10" i="13"/>
  <c r="K31" i="13"/>
  <c r="J32" i="13"/>
  <c r="M39" i="13"/>
  <c r="R39" i="13"/>
  <c r="L40" i="13"/>
  <c r="K40" i="13"/>
  <c r="K21" i="13"/>
  <c r="L21" i="13"/>
  <c r="Q40" i="10"/>
  <c r="L33" i="13"/>
  <c r="K33" i="13"/>
  <c r="J35" i="13"/>
  <c r="J36" i="13"/>
  <c r="K8" i="13"/>
  <c r="S14" i="13"/>
  <c r="U14" i="13"/>
  <c r="L21" i="15"/>
  <c r="K21" i="15"/>
  <c r="M43" i="15"/>
  <c r="L15" i="15"/>
  <c r="K15" i="15"/>
  <c r="L34" i="13"/>
  <c r="L41" i="13"/>
  <c r="R41" i="13"/>
  <c r="T14" i="13"/>
  <c r="S33" i="15"/>
  <c r="U33" i="15"/>
  <c r="L11" i="15"/>
  <c r="L19" i="7"/>
  <c r="M17" i="13"/>
  <c r="K17" i="13"/>
  <c r="S17" i="13"/>
  <c r="U17" i="13"/>
  <c r="Q19" i="10"/>
  <c r="L19" i="6"/>
  <c r="R30" i="15"/>
  <c r="M30" i="15"/>
  <c r="M35" i="15"/>
  <c r="M22" i="17"/>
  <c r="K30" i="15"/>
  <c r="M8" i="13"/>
  <c r="M33" i="15"/>
  <c r="M41" i="15"/>
  <c r="S8" i="13"/>
  <c r="U8" i="13"/>
  <c r="L42" i="17"/>
  <c r="R42" i="17"/>
  <c r="S42" i="17"/>
  <c r="L18" i="17"/>
  <c r="R18" i="17"/>
  <c r="S18" i="17"/>
  <c r="K13" i="17"/>
  <c r="K8" i="17"/>
  <c r="S8" i="17"/>
  <c r="U8" i="17"/>
  <c r="M8" i="17"/>
  <c r="L16" i="13"/>
  <c r="K16" i="13"/>
  <c r="L12" i="15"/>
  <c r="K12" i="15"/>
  <c r="K16" i="15"/>
  <c r="L16" i="15"/>
  <c r="L18" i="13"/>
  <c r="K18" i="13"/>
  <c r="L19" i="13"/>
  <c r="K19" i="13"/>
  <c r="L15" i="13"/>
  <c r="K15" i="13"/>
  <c r="R42" i="13"/>
  <c r="M42" i="13"/>
  <c r="R22" i="13"/>
  <c r="T22" i="13"/>
  <c r="M22" i="13"/>
  <c r="K35" i="17"/>
  <c r="S35" i="17"/>
  <c r="R21" i="17"/>
  <c r="K16" i="17"/>
  <c r="L34" i="17"/>
  <c r="K45" i="17"/>
  <c r="S45" i="17"/>
  <c r="L17" i="17"/>
  <c r="M17" i="17"/>
  <c r="K11" i="17"/>
  <c r="K32" i="17"/>
  <c r="S32" i="17"/>
  <c r="T22" i="17"/>
  <c r="U22" i="17"/>
  <c r="M16" i="17"/>
  <c r="L41" i="17"/>
  <c r="R41" i="17"/>
  <c r="S41" i="17"/>
  <c r="K37" i="17"/>
  <c r="S37" i="17"/>
  <c r="L20" i="17"/>
  <c r="R20" i="17"/>
  <c r="S20" i="17"/>
  <c r="K19" i="17"/>
  <c r="M19" i="17"/>
  <c r="K15" i="17"/>
  <c r="K36" i="17"/>
  <c r="L39" i="17"/>
  <c r="L14" i="17"/>
  <c r="R14" i="17"/>
  <c r="S14" i="17"/>
  <c r="K12" i="17"/>
  <c r="L44" i="17"/>
  <c r="R44" i="17"/>
  <c r="S44" i="17"/>
  <c r="K38" i="17"/>
  <c r="R38" i="17"/>
  <c r="S38" i="17"/>
  <c r="K9" i="17"/>
  <c r="L33" i="17"/>
  <c r="K40" i="17"/>
  <c r="R10" i="17"/>
  <c r="S10" i="17"/>
  <c r="K10" i="17"/>
  <c r="M35" i="17"/>
  <c r="T19" i="17"/>
  <c r="U19" i="17"/>
  <c r="M37" i="17"/>
  <c r="M45" i="17"/>
  <c r="T16" i="17"/>
  <c r="U16" i="17"/>
  <c r="T8" i="17"/>
  <c r="M43" i="17"/>
  <c r="M12" i="17"/>
  <c r="R12" i="17"/>
  <c r="S12" i="17"/>
  <c r="R15" i="17"/>
  <c r="S15" i="17"/>
  <c r="M15" i="17"/>
  <c r="R13" i="17"/>
  <c r="M13" i="17"/>
  <c r="R11" i="17"/>
  <c r="M11" i="17"/>
  <c r="M42" i="17"/>
  <c r="M40" i="17"/>
  <c r="M38" i="17"/>
  <c r="M36" i="17"/>
  <c r="M32" i="17"/>
  <c r="R9" i="17"/>
  <c r="M9" i="17"/>
  <c r="M31" i="13"/>
  <c r="R31" i="13"/>
  <c r="K43" i="13"/>
  <c r="L43" i="13"/>
  <c r="T32" i="15"/>
  <c r="S32" i="15"/>
  <c r="U32" i="15"/>
  <c r="M8" i="15"/>
  <c r="R8" i="15"/>
  <c r="S39" i="13"/>
  <c r="U39" i="13"/>
  <c r="T39" i="13"/>
  <c r="T20" i="13"/>
  <c r="S20" i="13"/>
  <c r="U20" i="13"/>
  <c r="M45" i="13"/>
  <c r="R45" i="13"/>
  <c r="L10" i="13"/>
  <c r="K10" i="13"/>
  <c r="L12" i="13"/>
  <c r="K12" i="13"/>
  <c r="R18" i="15"/>
  <c r="M18" i="15"/>
  <c r="R20" i="15"/>
  <c r="M20" i="15"/>
  <c r="M9" i="15"/>
  <c r="R9" i="15"/>
  <c r="M19" i="15"/>
  <c r="R19" i="15"/>
  <c r="L35" i="13"/>
  <c r="K35" i="13"/>
  <c r="M33" i="13"/>
  <c r="R33" i="13"/>
  <c r="R21" i="13"/>
  <c r="M21" i="13"/>
  <c r="L32" i="13"/>
  <c r="K32" i="13"/>
  <c r="K9" i="13"/>
  <c r="L9" i="13"/>
  <c r="T42" i="15"/>
  <c r="S42" i="15"/>
  <c r="U42" i="15"/>
  <c r="T34" i="15"/>
  <c r="S34" i="15"/>
  <c r="U34" i="15"/>
  <c r="R14" i="15"/>
  <c r="M14" i="15"/>
  <c r="T37" i="15"/>
  <c r="S37" i="15"/>
  <c r="U37" i="15"/>
  <c r="L13" i="13"/>
  <c r="K13" i="13"/>
  <c r="L36" i="13"/>
  <c r="K36" i="13"/>
  <c r="R13" i="15"/>
  <c r="M13" i="15"/>
  <c r="M34" i="13"/>
  <c r="R34" i="13"/>
  <c r="M40" i="13"/>
  <c r="R40" i="13"/>
  <c r="L11" i="13"/>
  <c r="K11" i="13"/>
  <c r="R44" i="13"/>
  <c r="M44" i="13"/>
  <c r="M38" i="13"/>
  <c r="R38" i="13"/>
  <c r="R11" i="15"/>
  <c r="M11" i="15"/>
  <c r="T38" i="15"/>
  <c r="S38" i="15"/>
  <c r="U38" i="15"/>
  <c r="R37" i="13"/>
  <c r="M37" i="13"/>
  <c r="R17" i="15"/>
  <c r="M17" i="15"/>
  <c r="T41" i="15"/>
  <c r="S41" i="15"/>
  <c r="U41" i="15"/>
  <c r="M41" i="13"/>
  <c r="R21" i="15"/>
  <c r="M21" i="15"/>
  <c r="M15" i="15"/>
  <c r="R15" i="15"/>
  <c r="T30" i="15"/>
  <c r="S30" i="15"/>
  <c r="U30" i="15"/>
  <c r="S9" i="17"/>
  <c r="M33" i="17"/>
  <c r="R33" i="17"/>
  <c r="S33" i="17"/>
  <c r="M18" i="17"/>
  <c r="M39" i="17"/>
  <c r="R39" i="17"/>
  <c r="S39" i="17"/>
  <c r="S13" i="17"/>
  <c r="U13" i="17"/>
  <c r="S21" i="17"/>
  <c r="U21" i="17"/>
  <c r="S11" i="17"/>
  <c r="U11" i="17"/>
  <c r="M34" i="17"/>
  <c r="R34" i="17"/>
  <c r="S34" i="17"/>
  <c r="U34" i="17"/>
  <c r="M41" i="17"/>
  <c r="S42" i="13"/>
  <c r="U42" i="13"/>
  <c r="T42" i="13"/>
  <c r="M44" i="17"/>
  <c r="R18" i="13"/>
  <c r="M18" i="13"/>
  <c r="R12" i="15"/>
  <c r="M12" i="15"/>
  <c r="S22" i="13"/>
  <c r="U22" i="13"/>
  <c r="R15" i="13"/>
  <c r="M15" i="13"/>
  <c r="R16" i="15"/>
  <c r="M16" i="15"/>
  <c r="U12" i="17"/>
  <c r="M19" i="13"/>
  <c r="R19" i="13"/>
  <c r="M16" i="13"/>
  <c r="R16" i="13"/>
  <c r="T21" i="17"/>
  <c r="M14" i="17"/>
  <c r="R17" i="17"/>
  <c r="U10" i="17"/>
  <c r="M20" i="17"/>
  <c r="U33" i="17"/>
  <c r="T10" i="17"/>
  <c r="T36" i="17"/>
  <c r="U36" i="17"/>
  <c r="T40" i="17"/>
  <c r="U40" i="17"/>
  <c r="T12" i="17"/>
  <c r="T11" i="17"/>
  <c r="T43" i="17"/>
  <c r="U43" i="17"/>
  <c r="T20" i="17"/>
  <c r="U20" i="17"/>
  <c r="T9" i="17"/>
  <c r="U9" i="17"/>
  <c r="U44" i="17"/>
  <c r="T44" i="17"/>
  <c r="U45" i="17"/>
  <c r="T45" i="17"/>
  <c r="T38" i="17"/>
  <c r="U38" i="17"/>
  <c r="T41" i="17"/>
  <c r="U41" i="17"/>
  <c r="T37" i="17"/>
  <c r="U37" i="17"/>
  <c r="T32" i="17"/>
  <c r="U32" i="17"/>
  <c r="T42" i="17"/>
  <c r="U42" i="17"/>
  <c r="T13" i="17"/>
  <c r="T15" i="17"/>
  <c r="U15" i="17"/>
  <c r="T18" i="17"/>
  <c r="U18" i="17"/>
  <c r="U14" i="17"/>
  <c r="T14" i="17"/>
  <c r="U35" i="17"/>
  <c r="T35" i="17"/>
  <c r="M32" i="13"/>
  <c r="R32" i="13"/>
  <c r="S40" i="13"/>
  <c r="U40" i="13"/>
  <c r="T40" i="13"/>
  <c r="T33" i="13"/>
  <c r="S33" i="13"/>
  <c r="U33" i="13"/>
  <c r="R43" i="13"/>
  <c r="M43" i="13"/>
  <c r="T37" i="13"/>
  <c r="S37" i="13"/>
  <c r="U37" i="13"/>
  <c r="R9" i="13"/>
  <c r="M9" i="13"/>
  <c r="S9" i="15"/>
  <c r="U9" i="15"/>
  <c r="T9" i="15"/>
  <c r="S31" i="13"/>
  <c r="U31" i="13"/>
  <c r="T31" i="13"/>
  <c r="S19" i="15"/>
  <c r="U19" i="15"/>
  <c r="T19" i="15"/>
  <c r="T45" i="13"/>
  <c r="S45" i="13"/>
  <c r="U45" i="13"/>
  <c r="S8" i="15"/>
  <c r="U8" i="15"/>
  <c r="T8" i="15"/>
  <c r="S11" i="15"/>
  <c r="U11" i="15"/>
  <c r="T11" i="15"/>
  <c r="S44" i="13"/>
  <c r="U44" i="13"/>
  <c r="T44" i="13"/>
  <c r="R36" i="13"/>
  <c r="M36" i="13"/>
  <c r="S14" i="15"/>
  <c r="U14" i="15"/>
  <c r="T14" i="15"/>
  <c r="S20" i="15"/>
  <c r="U20" i="15"/>
  <c r="T20" i="15"/>
  <c r="R12" i="13"/>
  <c r="M12" i="13"/>
  <c r="T38" i="13"/>
  <c r="S38" i="13"/>
  <c r="U38" i="13"/>
  <c r="T34" i="13"/>
  <c r="S34" i="13"/>
  <c r="U34" i="13"/>
  <c r="S17" i="15"/>
  <c r="U17" i="15"/>
  <c r="T17" i="15"/>
  <c r="R11" i="13"/>
  <c r="M11" i="13"/>
  <c r="S13" i="15"/>
  <c r="U13" i="15"/>
  <c r="T13" i="15"/>
  <c r="R13" i="13"/>
  <c r="M13" i="13"/>
  <c r="S41" i="13"/>
  <c r="U41" i="13"/>
  <c r="T41" i="13"/>
  <c r="T21" i="13"/>
  <c r="S21" i="13"/>
  <c r="U21" i="13"/>
  <c r="R35" i="13"/>
  <c r="M35" i="13"/>
  <c r="S18" i="15"/>
  <c r="U18" i="15"/>
  <c r="T18" i="15"/>
  <c r="R10" i="13"/>
  <c r="M10" i="13"/>
  <c r="S21" i="15"/>
  <c r="U21" i="15"/>
  <c r="T21" i="15"/>
  <c r="S15" i="15"/>
  <c r="U15" i="15"/>
  <c r="T15" i="15"/>
  <c r="S17" i="17"/>
  <c r="U17" i="17"/>
  <c r="T17" i="17"/>
  <c r="S16" i="15"/>
  <c r="U16" i="15"/>
  <c r="T16" i="15"/>
  <c r="S12" i="15"/>
  <c r="U12" i="15"/>
  <c r="T12" i="15"/>
  <c r="S18" i="13"/>
  <c r="U18" i="13"/>
  <c r="T18" i="13"/>
  <c r="S19" i="13"/>
  <c r="U19" i="13"/>
  <c r="T19" i="13"/>
  <c r="T16" i="13"/>
  <c r="S16" i="13"/>
  <c r="U16" i="13"/>
  <c r="S15" i="13"/>
  <c r="U15" i="13"/>
  <c r="T15" i="13"/>
  <c r="T39" i="17"/>
  <c r="U39" i="17"/>
  <c r="T34" i="17"/>
  <c r="T33" i="17"/>
  <c r="T10" i="13"/>
  <c r="S10" i="13"/>
  <c r="U10" i="13"/>
  <c r="S35" i="13"/>
  <c r="U35" i="13"/>
  <c r="T35" i="13"/>
  <c r="T36" i="13"/>
  <c r="S36" i="13"/>
  <c r="U36" i="13"/>
  <c r="S9" i="13"/>
  <c r="U9" i="13"/>
  <c r="T9" i="13"/>
  <c r="S43" i="13"/>
  <c r="U43" i="13"/>
  <c r="T43" i="13"/>
  <c r="S32" i="13"/>
  <c r="U32" i="13"/>
  <c r="T32" i="13"/>
  <c r="T13" i="13"/>
  <c r="S13" i="13"/>
  <c r="U13" i="13"/>
  <c r="S11" i="13"/>
  <c r="U11" i="13"/>
  <c r="T11" i="13"/>
  <c r="S12" i="13"/>
  <c r="U12" i="13"/>
  <c r="T12" i="13"/>
  <c r="Q58" i="23"/>
  <c r="I59" i="23"/>
  <c r="I60" i="23"/>
  <c r="K60" i="23"/>
  <c r="L60" i="23"/>
  <c r="Q60" i="23"/>
  <c r="I61" i="23"/>
  <c r="Q61" i="23"/>
  <c r="Q62" i="23"/>
  <c r="I63" i="23"/>
  <c r="K63" i="23"/>
  <c r="L63" i="23"/>
  <c r="Q63" i="23"/>
  <c r="I64" i="23"/>
  <c r="Q64" i="23"/>
  <c r="I66" i="23"/>
  <c r="K66" i="23"/>
  <c r="L66" i="23"/>
  <c r="Q33" i="23"/>
  <c r="I33" i="23"/>
  <c r="J33" i="23"/>
  <c r="Q32" i="23"/>
  <c r="I32" i="23"/>
  <c r="K32" i="23"/>
  <c r="L32" i="23"/>
  <c r="Q66" i="23"/>
  <c r="K65" i="23"/>
  <c r="L65" i="23"/>
  <c r="J65" i="23"/>
  <c r="K33" i="23"/>
  <c r="L33" i="23"/>
  <c r="I8" i="23"/>
  <c r="J8" i="23"/>
  <c r="S29" i="23"/>
  <c r="U29" i="23"/>
  <c r="J29" i="23"/>
  <c r="K9" i="23"/>
  <c r="L9" i="23"/>
  <c r="J9" i="23"/>
  <c r="K13" i="23"/>
  <c r="L13" i="23"/>
  <c r="J13" i="23"/>
  <c r="K17" i="23"/>
  <c r="L17" i="23"/>
  <c r="J17" i="23"/>
  <c r="J20" i="23"/>
  <c r="K20" i="23"/>
  <c r="L20" i="23"/>
  <c r="S20" i="23"/>
  <c r="U20" i="23"/>
  <c r="K21" i="23"/>
  <c r="L21" i="23"/>
  <c r="J21" i="23"/>
  <c r="J24" i="23"/>
  <c r="K24" i="23"/>
  <c r="L24" i="23"/>
  <c r="K25" i="23"/>
  <c r="L25" i="23"/>
  <c r="J25" i="23"/>
  <c r="J28" i="23"/>
  <c r="K28" i="23"/>
  <c r="L28" i="23"/>
  <c r="K10" i="23"/>
  <c r="L10" i="23"/>
  <c r="J10" i="23"/>
  <c r="J11" i="23"/>
  <c r="K11" i="23"/>
  <c r="L11" i="23"/>
  <c r="K14" i="23"/>
  <c r="L14" i="23"/>
  <c r="J14" i="23"/>
  <c r="J15" i="23"/>
  <c r="K15" i="23"/>
  <c r="L15" i="23"/>
  <c r="K18" i="23"/>
  <c r="L18" i="23"/>
  <c r="J18" i="23"/>
  <c r="J19" i="23"/>
  <c r="K19" i="23"/>
  <c r="L19" i="23"/>
  <c r="K22" i="23"/>
  <c r="L22" i="23"/>
  <c r="J22" i="23"/>
  <c r="J23" i="23"/>
  <c r="K23" i="23"/>
  <c r="L23" i="23"/>
  <c r="K26" i="23"/>
  <c r="L26" i="23"/>
  <c r="J26" i="23"/>
  <c r="K27" i="23"/>
  <c r="L27" i="23"/>
  <c r="J27" i="23"/>
  <c r="J12" i="23"/>
  <c r="K12" i="23"/>
  <c r="L12" i="23"/>
  <c r="J16" i="23"/>
  <c r="K16" i="23"/>
  <c r="L16" i="23"/>
  <c r="K30" i="23"/>
  <c r="L30" i="23"/>
  <c r="K42" i="23"/>
  <c r="L42" i="23"/>
  <c r="J42" i="23"/>
  <c r="K44" i="23"/>
  <c r="L44" i="23"/>
  <c r="J44" i="23"/>
  <c r="K46" i="23"/>
  <c r="L46" i="23"/>
  <c r="J46" i="23"/>
  <c r="K48" i="23"/>
  <c r="L48" i="23"/>
  <c r="J48" i="23"/>
  <c r="K50" i="23"/>
  <c r="L50" i="23"/>
  <c r="J50" i="23"/>
  <c r="K52" i="23"/>
  <c r="L52" i="23"/>
  <c r="J52" i="23"/>
  <c r="K54" i="23"/>
  <c r="L54" i="23"/>
  <c r="J54" i="23"/>
  <c r="K56" i="23"/>
  <c r="L56" i="23"/>
  <c r="J56" i="23"/>
  <c r="K58" i="23"/>
  <c r="L58" i="23"/>
  <c r="J58" i="23"/>
  <c r="J60" i="23"/>
  <c r="K62" i="23"/>
  <c r="L62" i="23"/>
  <c r="J62" i="23"/>
  <c r="K64" i="23"/>
  <c r="L64" i="23"/>
  <c r="J64" i="23"/>
  <c r="K31" i="23"/>
  <c r="L31" i="23"/>
  <c r="J31" i="23"/>
  <c r="K43" i="23"/>
  <c r="L43" i="23"/>
  <c r="J43" i="23"/>
  <c r="K45" i="23"/>
  <c r="L45" i="23"/>
  <c r="J45" i="23"/>
  <c r="K47" i="23"/>
  <c r="L47" i="23"/>
  <c r="J47" i="23"/>
  <c r="K49" i="23"/>
  <c r="L49" i="23"/>
  <c r="J49" i="23"/>
  <c r="K51" i="23"/>
  <c r="L51" i="23"/>
  <c r="J51" i="23"/>
  <c r="K53" i="23"/>
  <c r="L53" i="23"/>
  <c r="J53" i="23"/>
  <c r="K55" i="23"/>
  <c r="L55" i="23"/>
  <c r="J55" i="23"/>
  <c r="K57" i="23"/>
  <c r="L57" i="23"/>
  <c r="J57" i="23"/>
  <c r="K59" i="23"/>
  <c r="L59" i="23"/>
  <c r="J59" i="23"/>
  <c r="K61" i="23"/>
  <c r="L61" i="23"/>
  <c r="J61" i="23"/>
  <c r="K31" i="21"/>
  <c r="K30" i="21"/>
  <c r="K29" i="21"/>
  <c r="K28" i="21"/>
  <c r="K27" i="21"/>
  <c r="K26" i="21"/>
  <c r="J63" i="23"/>
  <c r="S14" i="23"/>
  <c r="U14" i="23"/>
  <c r="J32" i="23"/>
  <c r="J66" i="23"/>
  <c r="S66" i="23"/>
  <c r="S65" i="23"/>
  <c r="K8" i="23"/>
  <c r="L8" i="23"/>
  <c r="S32" i="23"/>
  <c r="S33" i="23"/>
  <c r="S19" i="23"/>
  <c r="U19" i="23"/>
  <c r="T20" i="23"/>
  <c r="V20" i="23"/>
  <c r="S23" i="23"/>
  <c r="U23" i="23"/>
  <c r="T29" i="23"/>
  <c r="V29" i="23"/>
  <c r="S15" i="23"/>
  <c r="U15" i="23"/>
  <c r="S53" i="23"/>
  <c r="U53" i="23"/>
  <c r="S27" i="23"/>
  <c r="U27" i="23"/>
  <c r="S22" i="23"/>
  <c r="U22" i="23"/>
  <c r="S28" i="23"/>
  <c r="U28" i="23"/>
  <c r="S30" i="23"/>
  <c r="U30" i="23"/>
  <c r="S51" i="23"/>
  <c r="U51" i="23"/>
  <c r="S59" i="23"/>
  <c r="U59" i="23"/>
  <c r="S43" i="23"/>
  <c r="U43" i="23"/>
  <c r="S61" i="23"/>
  <c r="U61" i="23"/>
  <c r="S45" i="23"/>
  <c r="U45" i="23"/>
  <c r="S21" i="23"/>
  <c r="S63" i="23"/>
  <c r="U63" i="23"/>
  <c r="S55" i="23"/>
  <c r="U55" i="23"/>
  <c r="S47" i="23"/>
  <c r="U47" i="23"/>
  <c r="S57" i="23"/>
  <c r="U57" i="23"/>
  <c r="S49" i="23"/>
  <c r="U49" i="23"/>
  <c r="S11" i="23"/>
  <c r="U11" i="23"/>
  <c r="S13" i="23"/>
  <c r="S60" i="23"/>
  <c r="S54" i="23"/>
  <c r="S48" i="23"/>
  <c r="S42" i="23"/>
  <c r="T19" i="23"/>
  <c r="V19" i="23"/>
  <c r="T14" i="23"/>
  <c r="V14" i="23"/>
  <c r="S62" i="23"/>
  <c r="S56" i="23"/>
  <c r="S50" i="23"/>
  <c r="S46" i="23"/>
  <c r="S31" i="23"/>
  <c r="S26" i="23"/>
  <c r="S18" i="23"/>
  <c r="S10" i="23"/>
  <c r="S16" i="23"/>
  <c r="S8" i="23"/>
  <c r="S64" i="23"/>
  <c r="S58" i="23"/>
  <c r="S52" i="23"/>
  <c r="S44" i="23"/>
  <c r="S25" i="23"/>
  <c r="S17" i="23"/>
  <c r="S9" i="23"/>
  <c r="S24" i="23"/>
  <c r="S12" i="23"/>
  <c r="S31" i="21"/>
  <c r="L31" i="21"/>
  <c r="S30" i="21"/>
  <c r="L30" i="21"/>
  <c r="S29" i="21"/>
  <c r="L29" i="21"/>
  <c r="S28" i="21"/>
  <c r="L28" i="21"/>
  <c r="S27" i="21"/>
  <c r="L27" i="21"/>
  <c r="S26" i="21"/>
  <c r="L26" i="21"/>
  <c r="T27" i="23"/>
  <c r="V27" i="23"/>
  <c r="U65" i="23"/>
  <c r="T65" i="23"/>
  <c r="V65" i="23"/>
  <c r="U66" i="23"/>
  <c r="T66" i="23"/>
  <c r="V66" i="23"/>
  <c r="U33" i="23"/>
  <c r="T33" i="23"/>
  <c r="V33" i="23"/>
  <c r="U32" i="23"/>
  <c r="T32" i="23"/>
  <c r="V32" i="23"/>
  <c r="T23" i="23"/>
  <c r="V23" i="23"/>
  <c r="T15" i="23"/>
  <c r="V15" i="23"/>
  <c r="T30" i="23"/>
  <c r="V30" i="23"/>
  <c r="T53" i="23"/>
  <c r="V53" i="23"/>
  <c r="T43" i="23"/>
  <c r="V43" i="23"/>
  <c r="T28" i="23"/>
  <c r="V28" i="23"/>
  <c r="T22" i="23"/>
  <c r="V22" i="23"/>
  <c r="T45" i="23"/>
  <c r="V45" i="23"/>
  <c r="T63" i="23"/>
  <c r="V63" i="23"/>
  <c r="T61" i="23"/>
  <c r="V61" i="23"/>
  <c r="T51" i="23"/>
  <c r="V51" i="23"/>
  <c r="T11" i="23"/>
  <c r="V11" i="23"/>
  <c r="T59" i="23"/>
  <c r="V59" i="23"/>
  <c r="T49" i="23"/>
  <c r="V49" i="23"/>
  <c r="T55" i="23"/>
  <c r="V55" i="23"/>
  <c r="T57" i="23"/>
  <c r="V57" i="23"/>
  <c r="T47" i="23"/>
  <c r="V47" i="23"/>
  <c r="U13" i="23"/>
  <c r="T13" i="23"/>
  <c r="V13" i="23"/>
  <c r="U21" i="23"/>
  <c r="T21" i="23"/>
  <c r="V21" i="23"/>
  <c r="U24" i="23"/>
  <c r="T24" i="23"/>
  <c r="V24" i="23"/>
  <c r="U18" i="23"/>
  <c r="T18" i="23"/>
  <c r="V18" i="23"/>
  <c r="U64" i="23"/>
  <c r="T64" i="23"/>
  <c r="V64" i="23"/>
  <c r="U8" i="23"/>
  <c r="T8" i="23"/>
  <c r="V8" i="23"/>
  <c r="U50" i="23"/>
  <c r="T50" i="23"/>
  <c r="V50" i="23"/>
  <c r="U60" i="23"/>
  <c r="T60" i="23"/>
  <c r="V60" i="23"/>
  <c r="U9" i="23"/>
  <c r="T9" i="23"/>
  <c r="V9" i="23"/>
  <c r="U44" i="23"/>
  <c r="T44" i="23"/>
  <c r="V44" i="23"/>
  <c r="U26" i="23"/>
  <c r="T26" i="23"/>
  <c r="V26" i="23"/>
  <c r="U56" i="23"/>
  <c r="T56" i="23"/>
  <c r="V56" i="23"/>
  <c r="U42" i="23"/>
  <c r="T42" i="23"/>
  <c r="V42" i="23"/>
  <c r="U17" i="23"/>
  <c r="T17" i="23"/>
  <c r="V17" i="23"/>
  <c r="U52" i="23"/>
  <c r="T52" i="23"/>
  <c r="V52" i="23"/>
  <c r="U16" i="23"/>
  <c r="T16" i="23"/>
  <c r="V16" i="23"/>
  <c r="U31" i="23"/>
  <c r="T31" i="23"/>
  <c r="V31" i="23"/>
  <c r="U62" i="23"/>
  <c r="T62" i="23"/>
  <c r="V62" i="23"/>
  <c r="U48" i="23"/>
  <c r="T48" i="23"/>
  <c r="V48" i="23"/>
  <c r="U12" i="23"/>
  <c r="T12" i="23"/>
  <c r="V12" i="23"/>
  <c r="U25" i="23"/>
  <c r="T25" i="23"/>
  <c r="V25" i="23"/>
  <c r="U58" i="23"/>
  <c r="T58" i="23"/>
  <c r="V58" i="23"/>
  <c r="U10" i="23"/>
  <c r="T10" i="23"/>
  <c r="V10" i="23"/>
  <c r="U46" i="23"/>
  <c r="T46" i="23"/>
  <c r="V46" i="23"/>
  <c r="U54" i="23"/>
  <c r="T54" i="23"/>
  <c r="V54" i="23"/>
  <c r="U31" i="21"/>
  <c r="T31" i="21"/>
  <c r="V31" i="21"/>
  <c r="T30" i="21"/>
  <c r="V30" i="21"/>
  <c r="U30" i="21"/>
  <c r="T29" i="21"/>
  <c r="V29" i="21"/>
  <c r="U29" i="21"/>
  <c r="T28" i="21"/>
  <c r="V28" i="21"/>
  <c r="U28" i="21"/>
  <c r="T27" i="21"/>
  <c r="V27" i="21"/>
  <c r="U27" i="21"/>
  <c r="T26" i="21"/>
  <c r="V26" i="21"/>
  <c r="U26" i="21"/>
  <c r="Q46" i="27" l="1"/>
  <c r="I21" i="27"/>
  <c r="J21" i="27" s="1"/>
  <c r="I49" i="27"/>
  <c r="J49" i="27" s="1"/>
  <c r="Q23" i="27"/>
  <c r="I47" i="27"/>
  <c r="J47" i="27" s="1"/>
  <c r="Q24" i="27"/>
  <c r="Q21" i="27"/>
  <c r="I23" i="27"/>
  <c r="J23" i="27" s="1"/>
  <c r="Q48" i="27"/>
  <c r="Q22" i="27"/>
  <c r="Q49" i="27"/>
  <c r="I48" i="27"/>
  <c r="K48" i="27" s="1"/>
  <c r="L48" i="27" s="1"/>
  <c r="Q47" i="27"/>
  <c r="I24" i="27"/>
  <c r="J24" i="27" s="1"/>
  <c r="I22" i="27"/>
  <c r="J22" i="27" s="1"/>
  <c r="I46" i="27"/>
  <c r="K46" i="27" s="1"/>
  <c r="K49" i="27"/>
  <c r="L49" i="27" s="1"/>
  <c r="I10" i="27"/>
  <c r="K10" i="27" s="1"/>
  <c r="L10" i="27" s="1"/>
  <c r="Q15" i="27"/>
  <c r="I42" i="27"/>
  <c r="K42" i="27" s="1"/>
  <c r="L42" i="27" s="1"/>
  <c r="Q10" i="27"/>
  <c r="Q18" i="27"/>
  <c r="Q34" i="27"/>
  <c r="Q38" i="27"/>
  <c r="Q42" i="27"/>
  <c r="Q39" i="27"/>
  <c r="Q13" i="27"/>
  <c r="I14" i="27"/>
  <c r="J14" i="27" s="1"/>
  <c r="I13" i="27"/>
  <c r="K13" i="27" s="1"/>
  <c r="L13" i="27" s="1"/>
  <c r="Q44" i="27"/>
  <c r="I18" i="27"/>
  <c r="K18" i="27" s="1"/>
  <c r="L18" i="27" s="1"/>
  <c r="I34" i="27"/>
  <c r="K34" i="27" s="1"/>
  <c r="L34" i="27" s="1"/>
  <c r="Q36" i="27"/>
  <c r="I19" i="27"/>
  <c r="K19" i="27" s="1"/>
  <c r="L19" i="27" s="1"/>
  <c r="I39" i="27"/>
  <c r="K39" i="27" s="1"/>
  <c r="L39" i="27" s="1"/>
  <c r="I8" i="27"/>
  <c r="K8" i="27" s="1"/>
  <c r="L8" i="27" s="1"/>
  <c r="Q9" i="27"/>
  <c r="I11" i="27"/>
  <c r="J11" i="27" s="1"/>
  <c r="Q12" i="27"/>
  <c r="Q14" i="27"/>
  <c r="I15" i="27"/>
  <c r="K15" i="27" s="1"/>
  <c r="L15" i="27" s="1"/>
  <c r="I16" i="27"/>
  <c r="J16" i="27" s="1"/>
  <c r="Q17" i="27"/>
  <c r="Q20" i="27"/>
  <c r="I33" i="27"/>
  <c r="K33" i="27" s="1"/>
  <c r="L33" i="27" s="1"/>
  <c r="Q33" i="27"/>
  <c r="I35" i="27"/>
  <c r="J35" i="27" s="1"/>
  <c r="I37" i="27"/>
  <c r="K37" i="27" s="1"/>
  <c r="Q37" i="27"/>
  <c r="I38" i="27"/>
  <c r="J38" i="27" s="1"/>
  <c r="Q40" i="27"/>
  <c r="I41" i="27"/>
  <c r="K41" i="27" s="1"/>
  <c r="L41" i="27" s="1"/>
  <c r="Q41" i="27"/>
  <c r="I43" i="27"/>
  <c r="K43" i="27" s="1"/>
  <c r="L43" i="27" s="1"/>
  <c r="I45" i="27"/>
  <c r="K45" i="27" s="1"/>
  <c r="L45" i="27" s="1"/>
  <c r="Q45" i="27"/>
  <c r="Q11" i="27"/>
  <c r="I12" i="27"/>
  <c r="K12" i="27" s="1"/>
  <c r="L12" i="27" s="1"/>
  <c r="Q19" i="27"/>
  <c r="I20" i="27"/>
  <c r="J20" i="27" s="1"/>
  <c r="Q8" i="27"/>
  <c r="I9" i="27"/>
  <c r="K9" i="27" s="1"/>
  <c r="L9" i="27" s="1"/>
  <c r="Q16" i="27"/>
  <c r="I17" i="27"/>
  <c r="K17" i="27" s="1"/>
  <c r="L17" i="27" s="1"/>
  <c r="Q35" i="27"/>
  <c r="I36" i="27"/>
  <c r="K36" i="27" s="1"/>
  <c r="L36" i="27" s="1"/>
  <c r="I40" i="27"/>
  <c r="K40" i="27" s="1"/>
  <c r="L40" i="27" s="1"/>
  <c r="Q43" i="27"/>
  <c r="I44" i="27"/>
  <c r="K44" i="27" s="1"/>
  <c r="L44" i="27" s="1"/>
  <c r="Q34" i="25"/>
  <c r="Q42" i="25"/>
  <c r="Q33" i="25"/>
  <c r="I34" i="25"/>
  <c r="J34" i="25" s="1"/>
  <c r="Q40" i="25"/>
  <c r="Q41" i="25"/>
  <c r="Q9" i="25"/>
  <c r="Q17" i="25"/>
  <c r="Q8" i="25"/>
  <c r="I9" i="25"/>
  <c r="J9" i="25" s="1"/>
  <c r="I14" i="25"/>
  <c r="J14" i="25" s="1"/>
  <c r="I17" i="25"/>
  <c r="J17" i="25" s="1"/>
  <c r="Q19" i="25"/>
  <c r="Q22" i="25"/>
  <c r="Q11" i="25"/>
  <c r="Q16" i="25"/>
  <c r="I22" i="25"/>
  <c r="K22" i="25" s="1"/>
  <c r="L22" i="25" s="1"/>
  <c r="Q32" i="25"/>
  <c r="I38" i="25"/>
  <c r="J38" i="25" s="1"/>
  <c r="I42" i="25"/>
  <c r="J42" i="25" s="1"/>
  <c r="I13" i="25"/>
  <c r="J13" i="25" s="1"/>
  <c r="Q20" i="25"/>
  <c r="I10" i="25"/>
  <c r="J10" i="25" s="1"/>
  <c r="I18" i="25"/>
  <c r="K18" i="25" s="1"/>
  <c r="L18" i="25" s="1"/>
  <c r="Q21" i="25"/>
  <c r="I33" i="25"/>
  <c r="J33" i="25" s="1"/>
  <c r="I37" i="25"/>
  <c r="J37" i="25" s="1"/>
  <c r="I41" i="25"/>
  <c r="K41" i="25" s="1"/>
  <c r="I45" i="25"/>
  <c r="J45" i="25" s="1"/>
  <c r="I8" i="25"/>
  <c r="K8" i="25" s="1"/>
  <c r="L8" i="25" s="1"/>
  <c r="Q10" i="25"/>
  <c r="Q15" i="25"/>
  <c r="I16" i="25"/>
  <c r="J16" i="25" s="1"/>
  <c r="Q18" i="25"/>
  <c r="I21" i="25"/>
  <c r="Q31" i="25"/>
  <c r="Q36" i="25"/>
  <c r="Q39" i="25"/>
  <c r="Q44" i="25"/>
  <c r="I31" i="25"/>
  <c r="K31" i="25" s="1"/>
  <c r="I39" i="25"/>
  <c r="J39" i="25" s="1"/>
  <c r="I11" i="25"/>
  <c r="J11" i="25" s="1"/>
  <c r="Q14" i="25"/>
  <c r="I15" i="25"/>
  <c r="J15" i="25" s="1"/>
  <c r="I19" i="25"/>
  <c r="J19" i="25" s="1"/>
  <c r="I32" i="25"/>
  <c r="K32" i="25" s="1"/>
  <c r="L32" i="25" s="1"/>
  <c r="I35" i="25"/>
  <c r="J35" i="25" s="1"/>
  <c r="Q35" i="25"/>
  <c r="I36" i="25"/>
  <c r="J36" i="25" s="1"/>
  <c r="Q38" i="25"/>
  <c r="I40" i="25"/>
  <c r="J40" i="25" s="1"/>
  <c r="I43" i="25"/>
  <c r="J43" i="25" s="1"/>
  <c r="Q43" i="25"/>
  <c r="I44" i="25"/>
  <c r="J44" i="25" s="1"/>
  <c r="I12" i="25"/>
  <c r="K12" i="25" s="1"/>
  <c r="L12" i="25" s="1"/>
  <c r="Q37" i="25"/>
  <c r="Q45" i="25"/>
  <c r="K34" i="25"/>
  <c r="L34" i="25" s="1"/>
  <c r="Q13" i="25"/>
  <c r="I20" i="25"/>
  <c r="K21" i="25"/>
  <c r="L21" i="25" s="1"/>
  <c r="J21" i="25"/>
  <c r="Q12" i="25"/>
  <c r="K14" i="25"/>
  <c r="L14" i="25" s="1"/>
  <c r="K10" i="25"/>
  <c r="L10" i="25" s="1"/>
  <c r="K37" i="25"/>
  <c r="L37" i="25" s="1"/>
  <c r="K45" i="25"/>
  <c r="L45" i="25" s="1"/>
  <c r="K21" i="27" l="1"/>
  <c r="L21" i="27" s="1"/>
  <c r="K14" i="27"/>
  <c r="L14" i="27" s="1"/>
  <c r="K47" i="27"/>
  <c r="L47" i="27" s="1"/>
  <c r="J48" i="27"/>
  <c r="J10" i="27"/>
  <c r="J46" i="27"/>
  <c r="K22" i="27"/>
  <c r="L22" i="27" s="1"/>
  <c r="K23" i="27"/>
  <c r="L23" i="27" s="1"/>
  <c r="L46" i="27"/>
  <c r="S46" i="27"/>
  <c r="U46" i="27" s="1"/>
  <c r="S47" i="27"/>
  <c r="U47" i="27" s="1"/>
  <c r="J42" i="27"/>
  <c r="K24" i="27"/>
  <c r="L24" i="27" s="1"/>
  <c r="S10" i="27"/>
  <c r="U10" i="27" s="1"/>
  <c r="S21" i="27"/>
  <c r="U21" i="27" s="1"/>
  <c r="S23" i="27"/>
  <c r="S49" i="27"/>
  <c r="S48" i="27"/>
  <c r="S45" i="27"/>
  <c r="U45" i="27" s="1"/>
  <c r="J18" i="27"/>
  <c r="K20" i="27"/>
  <c r="L20" i="27" s="1"/>
  <c r="J33" i="27"/>
  <c r="J19" i="27"/>
  <c r="J13" i="27"/>
  <c r="J39" i="27"/>
  <c r="S33" i="27"/>
  <c r="U33" i="27" s="1"/>
  <c r="J8" i="27"/>
  <c r="J44" i="27"/>
  <c r="J17" i="27"/>
  <c r="K38" i="27"/>
  <c r="L38" i="27" s="1"/>
  <c r="J12" i="27"/>
  <c r="S36" i="27"/>
  <c r="U36" i="27" s="1"/>
  <c r="J36" i="27"/>
  <c r="S42" i="27"/>
  <c r="U42" i="27" s="1"/>
  <c r="K35" i="27"/>
  <c r="L35" i="27" s="1"/>
  <c r="K11" i="27"/>
  <c r="L11" i="27" s="1"/>
  <c r="J40" i="27"/>
  <c r="S18" i="27"/>
  <c r="U18" i="27" s="1"/>
  <c r="J37" i="27"/>
  <c r="L37" i="27"/>
  <c r="S37" i="27"/>
  <c r="U37" i="27" s="1"/>
  <c r="J43" i="27"/>
  <c r="J15" i="27"/>
  <c r="J41" i="27"/>
  <c r="S17" i="27"/>
  <c r="U17" i="27" s="1"/>
  <c r="J34" i="27"/>
  <c r="J45" i="27"/>
  <c r="J9" i="27"/>
  <c r="K16" i="27"/>
  <c r="L16" i="27" s="1"/>
  <c r="S43" i="27"/>
  <c r="U43" i="27" s="1"/>
  <c r="S40" i="27"/>
  <c r="U40" i="27" s="1"/>
  <c r="S39" i="27"/>
  <c r="U39" i="27" s="1"/>
  <c r="S14" i="27"/>
  <c r="U14" i="27" s="1"/>
  <c r="S44" i="27"/>
  <c r="U44" i="27" s="1"/>
  <c r="S19" i="27"/>
  <c r="S8" i="27"/>
  <c r="U8" i="27" s="1"/>
  <c r="S41" i="27"/>
  <c r="U41" i="27" s="1"/>
  <c r="S34" i="27"/>
  <c r="S13" i="27"/>
  <c r="S9" i="27"/>
  <c r="S12" i="27"/>
  <c r="S15" i="27"/>
  <c r="J8" i="25"/>
  <c r="K13" i="25"/>
  <c r="L13" i="25" s="1"/>
  <c r="K38" i="25"/>
  <c r="L38" i="25" s="1"/>
  <c r="S8" i="25"/>
  <c r="U8" i="25" s="1"/>
  <c r="K9" i="25"/>
  <c r="K11" i="25"/>
  <c r="L11" i="25" s="1"/>
  <c r="K19" i="25"/>
  <c r="L19" i="25" s="1"/>
  <c r="K42" i="25"/>
  <c r="L42" i="25" s="1"/>
  <c r="K17" i="25"/>
  <c r="L17" i="25" s="1"/>
  <c r="J22" i="25"/>
  <c r="K16" i="25"/>
  <c r="K43" i="25"/>
  <c r="L43" i="25" s="1"/>
  <c r="J32" i="25"/>
  <c r="S45" i="25"/>
  <c r="U45" i="25" s="1"/>
  <c r="J12" i="25"/>
  <c r="K39" i="25"/>
  <c r="S38" i="25"/>
  <c r="U38" i="25" s="1"/>
  <c r="K44" i="25"/>
  <c r="L44" i="25" s="1"/>
  <c r="J31" i="25"/>
  <c r="J18" i="25"/>
  <c r="L31" i="25"/>
  <c r="S31" i="25"/>
  <c r="U31" i="25" s="1"/>
  <c r="S32" i="25"/>
  <c r="K15" i="25"/>
  <c r="J41" i="25"/>
  <c r="K40" i="25"/>
  <c r="S34" i="25"/>
  <c r="K33" i="25"/>
  <c r="L33" i="25" s="1"/>
  <c r="S21" i="25"/>
  <c r="U21" i="25" s="1"/>
  <c r="K36" i="25"/>
  <c r="S36" i="25" s="1"/>
  <c r="K35" i="25"/>
  <c r="L35" i="25" s="1"/>
  <c r="S42" i="25"/>
  <c r="S14" i="25"/>
  <c r="U14" i="25" s="1"/>
  <c r="L41" i="25"/>
  <c r="S41" i="25"/>
  <c r="S43" i="25"/>
  <c r="S37" i="25"/>
  <c r="T8" i="25"/>
  <c r="V8" i="25" s="1"/>
  <c r="S22" i="25"/>
  <c r="S18" i="25"/>
  <c r="S44" i="25"/>
  <c r="S10" i="25"/>
  <c r="L9" i="25"/>
  <c r="S9" i="25"/>
  <c r="K20" i="25"/>
  <c r="J20" i="25"/>
  <c r="S12" i="25"/>
  <c r="U12" i="25" s="1"/>
  <c r="S13" i="25"/>
  <c r="U13" i="25" s="1"/>
  <c r="S22" i="27" l="1"/>
  <c r="U22" i="27" s="1"/>
  <c r="T21" i="27"/>
  <c r="V21" i="27" s="1"/>
  <c r="T47" i="27"/>
  <c r="V47" i="27" s="1"/>
  <c r="T46" i="27"/>
  <c r="V46" i="27" s="1"/>
  <c r="T10" i="27"/>
  <c r="V10" i="27" s="1"/>
  <c r="S24" i="27"/>
  <c r="U24" i="27" s="1"/>
  <c r="T45" i="27"/>
  <c r="V45" i="27" s="1"/>
  <c r="S20" i="27"/>
  <c r="U20" i="27" s="1"/>
  <c r="U23" i="27"/>
  <c r="T23" i="27"/>
  <c r="V23" i="27" s="1"/>
  <c r="U48" i="27"/>
  <c r="T48" i="27"/>
  <c r="V48" i="27" s="1"/>
  <c r="U49" i="27"/>
  <c r="T49" i="27"/>
  <c r="V49" i="27" s="1"/>
  <c r="T18" i="27"/>
  <c r="V18" i="27" s="1"/>
  <c r="S38" i="27"/>
  <c r="U38" i="27" s="1"/>
  <c r="T33" i="27"/>
  <c r="V33" i="27" s="1"/>
  <c r="T42" i="27"/>
  <c r="V42" i="27" s="1"/>
  <c r="S11" i="27"/>
  <c r="U11" i="27" s="1"/>
  <c r="T36" i="27"/>
  <c r="V36" i="27" s="1"/>
  <c r="T40" i="27"/>
  <c r="V40" i="27" s="1"/>
  <c r="S35" i="27"/>
  <c r="T35" i="27" s="1"/>
  <c r="V35" i="27" s="1"/>
  <c r="T37" i="27"/>
  <c r="V37" i="27" s="1"/>
  <c r="T14" i="27"/>
  <c r="V14" i="27" s="1"/>
  <c r="S16" i="27"/>
  <c r="T16" i="27" s="1"/>
  <c r="V16" i="27" s="1"/>
  <c r="T17" i="27"/>
  <c r="V17" i="27" s="1"/>
  <c r="T39" i="27"/>
  <c r="V39" i="27" s="1"/>
  <c r="T44" i="27"/>
  <c r="V44" i="27" s="1"/>
  <c r="T43" i="27"/>
  <c r="V43" i="27" s="1"/>
  <c r="T41" i="27"/>
  <c r="V41" i="27" s="1"/>
  <c r="U19" i="27"/>
  <c r="T19" i="27"/>
  <c r="V19" i="27" s="1"/>
  <c r="T8" i="27"/>
  <c r="V8" i="27" s="1"/>
  <c r="U9" i="27"/>
  <c r="T9" i="27"/>
  <c r="V9" i="27" s="1"/>
  <c r="U34" i="27"/>
  <c r="T34" i="27"/>
  <c r="V34" i="27" s="1"/>
  <c r="U15" i="27"/>
  <c r="T15" i="27"/>
  <c r="V15" i="27" s="1"/>
  <c r="U12" i="27"/>
  <c r="T12" i="27"/>
  <c r="V12" i="27" s="1"/>
  <c r="U13" i="27"/>
  <c r="T13" i="27"/>
  <c r="V13" i="27" s="1"/>
  <c r="S11" i="25"/>
  <c r="S19" i="25"/>
  <c r="U19" i="25" s="1"/>
  <c r="T38" i="25"/>
  <c r="V38" i="25" s="1"/>
  <c r="T12" i="25"/>
  <c r="V12" i="25" s="1"/>
  <c r="T19" i="25"/>
  <c r="V19" i="25" s="1"/>
  <c r="S17" i="25"/>
  <c r="U17" i="25" s="1"/>
  <c r="L39" i="25"/>
  <c r="S39" i="25"/>
  <c r="S35" i="25"/>
  <c r="L36" i="25"/>
  <c r="T45" i="25"/>
  <c r="V45" i="25" s="1"/>
  <c r="T31" i="25"/>
  <c r="V31" i="25" s="1"/>
  <c r="S33" i="25"/>
  <c r="U33" i="25" s="1"/>
  <c r="L16" i="25"/>
  <c r="S16" i="25"/>
  <c r="L15" i="25"/>
  <c r="S15" i="25"/>
  <c r="T14" i="25"/>
  <c r="V14" i="25" s="1"/>
  <c r="L40" i="25"/>
  <c r="S40" i="25"/>
  <c r="U32" i="25"/>
  <c r="T32" i="25"/>
  <c r="V32" i="25" s="1"/>
  <c r="U34" i="25"/>
  <c r="T34" i="25"/>
  <c r="V34" i="25" s="1"/>
  <c r="T21" i="25"/>
  <c r="V21" i="25" s="1"/>
  <c r="U42" i="25"/>
  <c r="T42" i="25"/>
  <c r="V42" i="25" s="1"/>
  <c r="U41" i="25"/>
  <c r="T41" i="25"/>
  <c r="V41" i="25" s="1"/>
  <c r="U18" i="25"/>
  <c r="T18" i="25"/>
  <c r="V18" i="25" s="1"/>
  <c r="L20" i="25"/>
  <c r="S20" i="25"/>
  <c r="U22" i="25"/>
  <c r="T22" i="25"/>
  <c r="V22" i="25" s="1"/>
  <c r="U43" i="25"/>
  <c r="T43" i="25"/>
  <c r="V43" i="25" s="1"/>
  <c r="T13" i="25"/>
  <c r="V13" i="25" s="1"/>
  <c r="U37" i="25"/>
  <c r="T37" i="25"/>
  <c r="V37" i="25" s="1"/>
  <c r="U11" i="25"/>
  <c r="T11" i="25"/>
  <c r="V11" i="25" s="1"/>
  <c r="U10" i="25"/>
  <c r="T10" i="25"/>
  <c r="V10" i="25" s="1"/>
  <c r="U35" i="25"/>
  <c r="T35" i="25"/>
  <c r="V35" i="25" s="1"/>
  <c r="U9" i="25"/>
  <c r="T9" i="25"/>
  <c r="V9" i="25" s="1"/>
  <c r="U36" i="25"/>
  <c r="T36" i="25"/>
  <c r="V36" i="25" s="1"/>
  <c r="U44" i="25"/>
  <c r="T44" i="25"/>
  <c r="V44" i="25" s="1"/>
  <c r="T22" i="27" l="1"/>
  <c r="V22" i="27" s="1"/>
  <c r="T38" i="27"/>
  <c r="V38" i="27" s="1"/>
  <c r="T20" i="27"/>
  <c r="V20" i="27" s="1"/>
  <c r="T24" i="27"/>
  <c r="V24" i="27" s="1"/>
  <c r="T11" i="27"/>
  <c r="V11" i="27" s="1"/>
  <c r="U35" i="27"/>
  <c r="U16" i="27"/>
  <c r="T17" i="25"/>
  <c r="V17" i="25" s="1"/>
  <c r="T33" i="25"/>
  <c r="V33" i="25" s="1"/>
  <c r="U39" i="25"/>
  <c r="T39" i="25"/>
  <c r="V39" i="25" s="1"/>
  <c r="U16" i="25"/>
  <c r="T16" i="25"/>
  <c r="V16" i="25" s="1"/>
  <c r="U40" i="25"/>
  <c r="T40" i="25"/>
  <c r="V40" i="25" s="1"/>
  <c r="U15" i="25"/>
  <c r="T15" i="25"/>
  <c r="V15" i="25" s="1"/>
  <c r="U20" i="25"/>
  <c r="T20" i="25"/>
  <c r="V20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Microsoft Office User</author>
    <author>May Mauseth</author>
  </authors>
  <commentList>
    <comment ref="R7" authorId="0" shapeId="0" xr:uid="{0EF929D1-DE73-E74C-82D9-25F8FAAFE8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1" shapeId="0" xr:uid="{C2867225-A5BB-B747-AAE3-444504DF91D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18" authorId="2" shapeId="0" xr:uid="{E8679D1F-3EBC-A44E-826B-C19032853C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R32" authorId="0" shapeId="0" xr:uid="{62010D4B-95B9-F54F-8E11-C56CD14AC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0" authorId="1" shapeId="0" xr:uid="{E2367CAD-0E50-3F40-9320-F99A47A6AD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43" authorId="2" shapeId="0" xr:uid="{B94E0C9A-FF0F-0749-80EA-5E1A903316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5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110</t>
        </r>
      </text>
    </comment>
    <comment ref="C7" authorId="0" shapeId="0" xr:uid="{00000000-0006-0000-06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7</t>
        </r>
      </text>
    </comment>
    <comment ref="D7" authorId="0" shapeId="0" xr:uid="{00000000-0006-0000-06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12% off usage for 12 months</t>
        </r>
      </text>
    </comment>
    <comment ref="E7" authorId="0" shapeId="0" xr:uid="{00000000-0006-0000-06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7" authorId="0" shapeId="0" xr:uid="{00000000-0006-0000-06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G7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H7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I7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7%</t>
        </r>
      </text>
    </comment>
    <comment ref="J7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</t>
        </r>
      </text>
    </comment>
    <comment ref="K7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</t>
        </r>
      </text>
    </comment>
    <comment ref="A22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116 combined with 110</t>
        </r>
      </text>
    </comment>
    <comment ref="C43" authorId="0" shapeId="0" xr:uid="{00000000-0006-0000-06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7</t>
        </r>
      </text>
    </comment>
    <comment ref="D43" authorId="0" shapeId="0" xr:uid="{00000000-0006-0000-06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12% off usage for 12 months</t>
        </r>
      </text>
    </comment>
    <comment ref="E43" authorId="0" shapeId="0" xr:uid="{00000000-0006-0000-06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43" authorId="0" shapeId="0" xr:uid="{00000000-0006-0000-06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G43" authorId="0" shapeId="0" xr:uid="{00000000-0006-0000-0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H43" authorId="0" shapeId="0" xr:uid="{00000000-0006-0000-06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I43" authorId="0" shapeId="0" xr:uid="{00000000-0006-0000-06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7%</t>
        </r>
      </text>
    </comment>
    <comment ref="J43" authorId="0" shapeId="0" xr:uid="{00000000-0006-0000-06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</t>
        </r>
      </text>
    </comment>
    <comment ref="K43" authorId="0" shapeId="0" xr:uid="{00000000-0006-0000-06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</t>
        </r>
      </text>
    </comment>
    <comment ref="H45" authorId="0" shapeId="0" xr:uid="{00000000-0006-0000-06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contract length</t>
        </r>
      </text>
    </comment>
    <comment ref="H46" authorId="0" shapeId="0" xr:uid="{00000000-0006-0000-06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D47" authorId="0" shapeId="0" xr:uid="{00000000-0006-0000-0600-00001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H48" authorId="0" shapeId="0" xr:uid="{00000000-0006-0000-06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J48" authorId="1" shapeId="0" xr:uid="{00000000-0006-0000-0600-00001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D49" authorId="0" shapeId="0" xr:uid="{00000000-0006-0000-06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5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110</t>
        </r>
      </text>
    </comment>
    <comment ref="C7" authorId="0" shapeId="0" xr:uid="{00000000-0006-0000-07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14</t>
        </r>
      </text>
    </comment>
    <comment ref="D7" authorId="0" shapeId="0" xr:uid="{00000000-0006-0000-07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7" authorId="0" shapeId="0" xr:uid="{00000000-0006-0000-07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7" authorId="0" shapeId="0" xr:uid="{00000000-0006-0000-07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G7" authorId="0" shapeId="0" xr:uid="{00000000-0006-0000-07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I7" authorId="0" shapeId="0" xr:uid="{00000000-0006-0000-07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 Offer - Available from 1 August 2012</t>
        </r>
      </text>
    </comment>
    <comment ref="A22" authorId="0" shapeId="0" xr:uid="{00000000-0006-0000-07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116 combined with 110</t>
        </r>
      </text>
    </comment>
    <comment ref="C43" authorId="0" shapeId="0" xr:uid="{00000000-0006-0000-0700-00000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14</t>
        </r>
      </text>
    </comment>
    <comment ref="D43" authorId="0" shapeId="0" xr:uid="{00000000-0006-0000-07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43" authorId="0" shapeId="0" xr:uid="{00000000-0006-0000-07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43" authorId="0" shapeId="0" xr:uid="{00000000-0006-0000-07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G43" authorId="0" shapeId="0" xr:uid="{00000000-0006-0000-07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H43" authorId="0" shapeId="0" xr:uid="{00000000-0006-0000-07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I43" authorId="0" shapeId="0" xr:uid="{00000000-0006-0000-07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 Offer - Available from 1 August 2012</t>
        </r>
      </text>
    </comment>
    <comment ref="H45" authorId="0" shapeId="0" xr:uid="{00000000-0006-0000-07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contract length</t>
        </r>
      </text>
    </comment>
    <comment ref="H46" authorId="0" shapeId="0" xr:uid="{00000000-0006-0000-07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D47" authorId="0" shapeId="0" xr:uid="{00000000-0006-0000-07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H48" authorId="0" shapeId="0" xr:uid="{00000000-0006-0000-07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D49" authorId="0" shapeId="0" xr:uid="{00000000-0006-0000-07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P9" authorId="0" shapeId="0" xr:uid="{B8A520E9-1296-BE40-AFBD-5648CE1B28B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includes 6 months free membership</t>
        </r>
      </text>
    </comment>
    <comment ref="BP26" authorId="0" shapeId="0" xr:uid="{030C2FBF-3F5A-4D4E-A39E-7D14F911A08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includes 6 months free membership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A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6" authorId="1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6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I6" authorId="0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Deal</t>
        </r>
      </text>
    </comment>
    <comment ref="J6" authorId="0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K6" authorId="0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14%
Released 24 July 2015</t>
        </r>
      </text>
    </comment>
    <comment ref="L6" authorId="0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N6" authorId="0" shapeId="0" xr:uid="{00000000-0006-0000-0A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O6" authorId="1" shapeId="0" xr:uid="{00000000-0006-0000-0A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R6" authorId="1" shapeId="0" xr:uid="{00000000-0006-0000-0A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your way</t>
        </r>
      </text>
    </comment>
    <comment ref="E7" authorId="0" shapeId="0" xr:uid="{00000000-0006-0000-0A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7" authorId="0" shapeId="0" xr:uid="{00000000-0006-0000-0A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7" authorId="0" shapeId="0" xr:uid="{00000000-0006-0000-0A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7" authorId="0" shapeId="0" xr:uid="{00000000-0006-0000-0A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7" authorId="0" shapeId="0" xr:uid="{00000000-0006-0000-0A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7" authorId="0" shapeId="0" xr:uid="{00000000-0006-0000-0A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7" authorId="0" shapeId="0" xr:uid="{00000000-0006-0000-0A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7" authorId="0" shapeId="0" xr:uid="{00000000-0006-0000-0A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7" authorId="0" shapeId="0" xr:uid="{00000000-0006-0000-0A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N7" authorId="0" shapeId="0" xr:uid="{00000000-0006-0000-0A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O7" authorId="0" shapeId="0" xr:uid="{00000000-0006-0000-0A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P7" authorId="0" shapeId="0" xr:uid="{00000000-0006-0000-0A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Q7" authorId="0" shapeId="0" xr:uid="{00000000-0006-0000-0A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R7" authorId="0" shapeId="0" xr:uid="{00000000-0006-0000-0A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11" authorId="0" shapeId="0" xr:uid="{00000000-0006-0000-0A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11" authorId="0" shapeId="0" xr:uid="{00000000-0006-0000-0A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J11" authorId="0" shapeId="0" xr:uid="{00000000-0006-0000-0A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L11" authorId="0" shapeId="0" xr:uid="{00000000-0006-0000-0A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G12" authorId="1" shapeId="0" xr:uid="{00000000-0006-0000-0A00-00001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1000+1500</t>
        </r>
      </text>
    </comment>
    <comment ref="H12" authorId="0" shapeId="0" xr:uid="{00000000-0006-0000-0A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12" authorId="0" shapeId="0" xr:uid="{00000000-0006-0000-0A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J12" authorId="0" shapeId="0" xr:uid="{00000000-0006-0000-0A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L12" authorId="0" shapeId="0" xr:uid="{00000000-0006-0000-0A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Q12" authorId="1" shapeId="0" xr:uid="{00000000-0006-0000-0A00-00002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300+700
</t>
        </r>
      </text>
    </comment>
    <comment ref="G13" authorId="1" shapeId="0" xr:uid="{00000000-0006-0000-0A00-00002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2500+2500
</t>
        </r>
      </text>
    </comment>
    <comment ref="I13" authorId="1" shapeId="0" xr:uid="{00000000-0006-0000-0A00-00002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1000+1500
</t>
        </r>
      </text>
    </comment>
    <comment ref="H14" authorId="1" shapeId="0" xr:uid="{00000000-0006-0000-0A00-00002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E28" authorId="0" shapeId="0" xr:uid="{00000000-0006-0000-0A00-00002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I28" authorId="0" shapeId="0" xr:uid="{00000000-0006-0000-0A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J28" authorId="0" shapeId="0" xr:uid="{00000000-0006-0000-0A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K28" authorId="0" shapeId="0" xr:uid="{00000000-0006-0000-0A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14%
Released 24 July 2015</t>
        </r>
      </text>
    </comment>
    <comment ref="L28" authorId="0" shapeId="0" xr:uid="{00000000-0006-0000-0A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N28" authorId="0" shapeId="0" xr:uid="{00000000-0006-0000-0A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O28" authorId="1" shapeId="0" xr:uid="{00000000-0006-0000-0A00-00002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R28" authorId="1" shapeId="0" xr:uid="{00000000-0006-0000-0A00-00002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E29" authorId="0" shapeId="0" xr:uid="{00000000-0006-0000-0A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29" authorId="0" shapeId="0" xr:uid="{00000000-0006-0000-0A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29" authorId="0" shapeId="0" xr:uid="{00000000-0006-0000-0A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29" authorId="0" shapeId="0" xr:uid="{00000000-0006-0000-0A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29" authorId="0" shapeId="0" xr:uid="{00000000-0006-0000-0A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29" authorId="0" shapeId="0" xr:uid="{00000000-0006-0000-0A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29" authorId="0" shapeId="0" xr:uid="{00000000-0006-0000-0A00-00003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29" authorId="0" shapeId="0" xr:uid="{00000000-0006-0000-0A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29" authorId="0" shapeId="0" xr:uid="{00000000-0006-0000-0A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N29" authorId="0" shapeId="0" xr:uid="{00000000-0006-0000-0A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O29" authorId="0" shapeId="0" xr:uid="{00000000-0006-0000-0A00-00003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P29" authorId="0" shapeId="0" xr:uid="{00000000-0006-0000-0A00-00003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Q29" authorId="0" shapeId="0" xr:uid="{00000000-0006-0000-0A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R29" authorId="0" shapeId="0" xr:uid="{00000000-0006-0000-0A00-00003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33" authorId="0" shapeId="0" xr:uid="{00000000-0006-0000-0A00-00003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33" authorId="0" shapeId="0" xr:uid="{00000000-0006-0000-0A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J33" authorId="0" shapeId="0" xr:uid="{00000000-0006-0000-0A00-00003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L33" authorId="0" shapeId="0" xr:uid="{00000000-0006-0000-0A00-00003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G34" authorId="1" shapeId="0" xr:uid="{00000000-0006-0000-0A00-00004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1000+1500</t>
        </r>
      </text>
    </comment>
    <comment ref="H34" authorId="0" shapeId="0" xr:uid="{00000000-0006-0000-0A00-00004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34" authorId="0" shapeId="0" xr:uid="{00000000-0006-0000-0A00-00004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J34" authorId="0" shapeId="0" xr:uid="{00000000-0006-0000-0A00-00004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L34" authorId="0" shapeId="0" xr:uid="{00000000-0006-0000-0A00-00004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Q34" authorId="1" shapeId="0" xr:uid="{00000000-0006-0000-0A00-00004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300+700
</t>
        </r>
      </text>
    </comment>
    <comment ref="G35" authorId="1" shapeId="0" xr:uid="{00000000-0006-0000-0A00-00004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2500+2500
</t>
        </r>
      </text>
    </comment>
    <comment ref="I35" authorId="1" shapeId="0" xr:uid="{00000000-0006-0000-0A00-00004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1000+1500
</t>
        </r>
      </text>
    </comment>
    <comment ref="H36" authorId="1" shapeId="0" xr:uid="{00000000-0006-0000-0A00-00004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H37" authorId="0" shapeId="0" xr:uid="{00000000-0006-0000-0A00-00004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
</t>
        </r>
      </text>
    </comment>
    <comment ref="I37" authorId="0" shapeId="0" xr:uid="{00000000-0006-0000-0A00-00004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J37" authorId="0" shapeId="0" xr:uid="{00000000-0006-0000-0A00-00004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K37" authorId="1" shapeId="0" xr:uid="{00000000-0006-0000-0A00-00004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L37" authorId="0" shapeId="0" xr:uid="{00000000-0006-0000-0A00-00004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N37" authorId="1" shapeId="0" xr:uid="{00000000-0006-0000-0A00-00004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O37" authorId="1" shapeId="0" xr:uid="{00000000-0006-0000-0A00-00004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E53" authorId="0" shapeId="0" xr:uid="{00000000-0006-0000-0A00-00005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53" authorId="1" shapeId="0" xr:uid="{00000000-0006-0000-0A00-00005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53" authorId="1" shapeId="0" xr:uid="{00000000-0006-0000-0A00-00005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H53" authorId="1" shapeId="0" xr:uid="{00000000-0006-0000-0A00-00005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</t>
        </r>
      </text>
    </comment>
    <comment ref="I53" authorId="0" shapeId="0" xr:uid="{00000000-0006-0000-0A00-00005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Deal</t>
        </r>
      </text>
    </comment>
    <comment ref="J53" authorId="0" shapeId="0" xr:uid="{00000000-0006-0000-0A00-00005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K53" authorId="0" shapeId="0" xr:uid="{00000000-0006-0000-0A00-00005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14%
Released 24 July 2015</t>
        </r>
      </text>
    </comment>
    <comment ref="L53" authorId="0" shapeId="0" xr:uid="{00000000-0006-0000-0A00-00005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M53" authorId="1" shapeId="0" xr:uid="{00000000-0006-0000-0A00-00005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</t>
        </r>
      </text>
    </comment>
    <comment ref="N53" authorId="0" shapeId="0" xr:uid="{00000000-0006-0000-0A00-00005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O53" authorId="1" shapeId="0" xr:uid="{00000000-0006-0000-0A00-00005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R53" authorId="1" shapeId="0" xr:uid="{00000000-0006-0000-0A00-00005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your way</t>
        </r>
      </text>
    </comment>
    <comment ref="J58" authorId="1" shapeId="0" xr:uid="{00000000-0006-0000-0A00-00005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L58" authorId="1" shapeId="0" xr:uid="{00000000-0006-0000-0A00-00005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N58" authorId="1" shapeId="0" xr:uid="{00000000-0006-0000-0A00-00005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E59" authorId="1" shapeId="0" xr:uid="{00000000-0006-0000-0A00-00005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Dual fuel dicount of 10%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B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1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6" authorId="1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H6" authorId="1" shapeId="0" xr:uid="{00000000-0006-0000-0B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</t>
        </r>
      </text>
    </comment>
    <comment ref="I6" authorId="0" shapeId="0" xr:uid="{00000000-0006-0000-0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J6" authorId="1" shapeId="0" xr:uid="{00000000-0006-0000-0B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K6" authorId="0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L6" authorId="0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June 2014</t>
        </r>
      </text>
    </comment>
    <comment ref="M6" authorId="0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O6" authorId="0" shapeId="0" xr:uid="{00000000-0006-0000-0B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P6" authorId="1" shapeId="0" xr:uid="{00000000-0006-0000-0B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E7" authorId="0" shapeId="0" xr:uid="{00000000-0006-0000-0B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7" authorId="0" shapeId="0" xr:uid="{00000000-0006-0000-0B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7" authorId="0" shapeId="0" xr:uid="{00000000-0006-0000-0B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7" authorId="0" shapeId="0" xr:uid="{00000000-0006-0000-0B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7" authorId="0" shapeId="0" xr:uid="{00000000-0006-0000-0B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7" authorId="0" shapeId="0" xr:uid="{00000000-0006-0000-0B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K7" authorId="0" shapeId="0" xr:uid="{00000000-0006-0000-0B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7" authorId="0" shapeId="0" xr:uid="{00000000-0006-0000-0B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M7" authorId="0" shapeId="0" xr:uid="{00000000-0006-0000-0B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N7" authorId="0" shapeId="0" xr:uid="{00000000-0006-0000-0B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O7" authorId="0" shapeId="0" xr:uid="{00000000-0006-0000-0B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P7" authorId="0" shapeId="0" xr:uid="{00000000-0006-0000-0B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11" authorId="0" shapeId="0" xr:uid="{00000000-0006-0000-0B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11" authorId="0" shapeId="0" xr:uid="{00000000-0006-0000-0B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K11" authorId="0" shapeId="0" xr:uid="{00000000-0006-0000-0B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L11" authorId="0" shapeId="0" xr:uid="{00000000-0006-0000-0B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M11" authorId="0" shapeId="0" xr:uid="{00000000-0006-0000-0B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H12" authorId="0" shapeId="0" xr:uid="{00000000-0006-0000-0B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12" authorId="0" shapeId="0" xr:uid="{00000000-0006-0000-0B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K12" authorId="0" shapeId="0" xr:uid="{00000000-0006-0000-0B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M12" authorId="0" shapeId="0" xr:uid="{00000000-0006-0000-0B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H14" authorId="1" shapeId="0" xr:uid="{00000000-0006-0000-0B00-00002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E28" authorId="0" shapeId="0" xr:uid="{00000000-0006-0000-0B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28" authorId="1" shapeId="0" xr:uid="{00000000-0006-0000-0B00-00002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28" authorId="1" shapeId="0" xr:uid="{00000000-0006-0000-0B00-00002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H28" authorId="1" shapeId="0" xr:uid="{00000000-0006-0000-0B00-00002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</t>
        </r>
      </text>
    </comment>
    <comment ref="I28" authorId="0" shapeId="0" xr:uid="{00000000-0006-0000-0B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J28" authorId="1" shapeId="0" xr:uid="{00000000-0006-0000-0B00-00002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K28" authorId="0" shapeId="0" xr:uid="{00000000-0006-0000-0B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L28" authorId="0" shapeId="0" xr:uid="{00000000-0006-0000-0B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June 2014</t>
        </r>
      </text>
    </comment>
    <comment ref="M28" authorId="0" shapeId="0" xr:uid="{00000000-0006-0000-0B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O28" authorId="0" shapeId="0" xr:uid="{00000000-0006-0000-0B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P28" authorId="1" shapeId="0" xr:uid="{00000000-0006-0000-0B00-00002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E29" authorId="0" shapeId="0" xr:uid="{00000000-0006-0000-0B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29" authorId="0" shapeId="0" xr:uid="{00000000-0006-0000-0B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29" authorId="0" shapeId="0" xr:uid="{00000000-0006-0000-0B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29" authorId="0" shapeId="0" xr:uid="{00000000-0006-0000-0B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29" authorId="0" shapeId="0" xr:uid="{00000000-0006-0000-0B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K29" authorId="0" shapeId="0" xr:uid="{00000000-0006-0000-0B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29" authorId="0" shapeId="0" xr:uid="{00000000-0006-0000-0B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M29" authorId="0" shapeId="0" xr:uid="{00000000-0006-0000-0B00-00003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N29" authorId="0" shapeId="0" xr:uid="{00000000-0006-0000-0B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O29" authorId="0" shapeId="0" xr:uid="{00000000-0006-0000-0B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P29" authorId="0" shapeId="0" xr:uid="{00000000-0006-0000-0B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33" authorId="0" shapeId="0" xr:uid="{00000000-0006-0000-0B00-00003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33" authorId="0" shapeId="0" xr:uid="{00000000-0006-0000-0B00-00003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K33" authorId="0" shapeId="0" xr:uid="{00000000-0006-0000-0B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M33" authorId="0" shapeId="0" xr:uid="{00000000-0006-0000-0B00-00003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H34" authorId="0" shapeId="0" xr:uid="{00000000-0006-0000-0B00-00003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34" authorId="0" shapeId="0" xr:uid="{00000000-0006-0000-0B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K34" authorId="0" shapeId="0" xr:uid="{00000000-0006-0000-0B00-00003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M34" authorId="0" shapeId="0" xr:uid="{00000000-0006-0000-0B00-00003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H36" authorId="1" shapeId="0" xr:uid="{00000000-0006-0000-0B00-00004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H37" authorId="0" shapeId="0" xr:uid="{00000000-0006-0000-0B00-00004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
</t>
        </r>
      </text>
    </comment>
    <comment ref="I37" authorId="0" shapeId="0" xr:uid="{00000000-0006-0000-0B00-00004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K37" authorId="0" shapeId="0" xr:uid="{00000000-0006-0000-0B00-00004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L37" authorId="1" shapeId="0" xr:uid="{00000000-0006-0000-0B00-00004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M37" authorId="0" shapeId="0" xr:uid="{00000000-0006-0000-0B00-00004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O37" authorId="1" shapeId="0" xr:uid="{00000000-0006-0000-0B00-00004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P37" authorId="1" shapeId="0" xr:uid="{00000000-0006-0000-0B00-00004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E53" authorId="0" shapeId="0" xr:uid="{00000000-0006-0000-0B00-00004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1" shapeId="0" xr:uid="{00000000-0006-0000-0B00-00004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53" authorId="1" shapeId="0" xr:uid="{00000000-0006-0000-0B00-00004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H53" authorId="1" shapeId="0" xr:uid="{00000000-0006-0000-0B00-00004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</t>
        </r>
      </text>
    </comment>
    <comment ref="I53" authorId="0" shapeId="0" xr:uid="{00000000-0006-0000-0B00-00004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J53" authorId="1" shapeId="0" xr:uid="{00000000-0006-0000-0B00-00004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K53" authorId="0" shapeId="0" xr:uid="{00000000-0006-0000-0B00-00004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L53" authorId="0" shapeId="0" xr:uid="{00000000-0006-0000-0B00-00004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June 2014</t>
        </r>
      </text>
    </comment>
    <comment ref="M53" authorId="0" shapeId="0" xr:uid="{00000000-0006-0000-0B00-00005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O53" authorId="0" shapeId="0" xr:uid="{00000000-0006-0000-0B00-00005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P53" authorId="1" shapeId="0" xr:uid="{00000000-0006-0000-0B00-00005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K58" authorId="1" shapeId="0" xr:uid="{00000000-0006-0000-0B00-00005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M58" authorId="1" shapeId="0" xr:uid="{00000000-0006-0000-0B00-00005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O58" authorId="1" shapeId="0" xr:uid="{00000000-0006-0000-0B00-00005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E59" authorId="1" shapeId="0" xr:uid="{00000000-0006-0000-0B00-00005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 and voucher</t>
        </r>
      </text>
    </comment>
    <comment ref="F59" authorId="1" shapeId="0" xr:uid="{00000000-0006-0000-0B00-00005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C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Released 1 August 2013</t>
        </r>
      </text>
    </comment>
    <comment ref="F6" authorId="0" shapeId="0" xr:uid="{00000000-0006-0000-0C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July 2013</t>
        </r>
      </text>
    </comment>
    <comment ref="G6" authorId="0" shapeId="0" xr:uid="{00000000-0006-0000-0C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H6" authorId="0" shapeId="0" xr:uid="{00000000-0006-0000-0C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 Simply Save
Released on 11 March 2013</t>
        </r>
      </text>
    </comment>
    <comment ref="I6" authorId="0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Released August 2013</t>
        </r>
      </text>
    </comment>
    <comment ref="J6" authorId="0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Released 1 June 2013</t>
        </r>
      </text>
    </comment>
    <comment ref="K6" authorId="0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July 2013</t>
        </r>
      </text>
    </comment>
    <comment ref="L6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Released 7 July 2013</t>
        </r>
      </text>
    </comment>
    <comment ref="M6" authorId="0" shapeId="0" xr:uid="{00000000-0006-0000-0C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Released 5 June 2013</t>
        </r>
      </text>
    </comment>
    <comment ref="E7" authorId="0" shapeId="0" xr:uid="{00000000-0006-0000-0C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7" authorId="0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7" authorId="0" shapeId="0" xr:uid="{00000000-0006-0000-0C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7" authorId="0" shapeId="0" xr:uid="{00000000-0006-0000-0C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7" authorId="0" shapeId="0" xr:uid="{00000000-0006-0000-0C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7" authorId="0" shapeId="0" xr:uid="{00000000-0006-0000-0C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7" authorId="0" shapeId="0" xr:uid="{00000000-0006-0000-0C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7" authorId="0" shapeId="0" xr:uid="{00000000-0006-0000-0C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7" authorId="0" shapeId="0" xr:uid="{00000000-0006-0000-0C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11" authorId="0" shapeId="0" xr:uid="{00000000-0006-0000-0C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10.9578 kWh/day</t>
        </r>
      </text>
    </comment>
    <comment ref="H11" authorId="0" shapeId="0" xr:uid="{00000000-0006-0000-0C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11" authorId="0" shapeId="0" xr:uid="{00000000-0006-0000-0C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K11" authorId="0" shapeId="0" xr:uid="{00000000-0006-0000-0C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L11" authorId="0" shapeId="0" xr:uid="{00000000-0006-0000-0C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G12" authorId="0" shapeId="0" xr:uid="{00000000-0006-0000-0C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16.4384 kWh/day 
Block = 1000+1500
</t>
        </r>
      </text>
    </comment>
    <comment ref="H12" authorId="0" shapeId="0" xr:uid="{00000000-0006-0000-0C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12" authorId="0" shapeId="0" xr:uid="{00000000-0006-0000-0C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L12" authorId="0" shapeId="0" xr:uid="{00000000-0006-0000-0C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H14" authorId="1" shapeId="0" xr:uid="{00000000-0006-0000-0C00-00001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E28" authorId="0" shapeId="0" xr:uid="{00000000-0006-0000-0C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Released 1 August 2013</t>
        </r>
      </text>
    </comment>
    <comment ref="F28" authorId="0" shapeId="0" xr:uid="{00000000-0006-0000-0C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July 2013</t>
        </r>
      </text>
    </comment>
    <comment ref="G28" authorId="0" shapeId="0" xr:uid="{00000000-0006-0000-0C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H28" authorId="0" shapeId="0" xr:uid="{00000000-0006-0000-0C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 Simply Save
Released on 11 March 2013</t>
        </r>
      </text>
    </comment>
    <comment ref="I28" authorId="0" shapeId="0" xr:uid="{00000000-0006-0000-0C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Released August 2013</t>
        </r>
      </text>
    </comment>
    <comment ref="J28" authorId="0" shapeId="0" xr:uid="{00000000-0006-0000-0C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Released 1 June 2013</t>
        </r>
      </text>
    </comment>
    <comment ref="K28" authorId="0" shapeId="0" xr:uid="{00000000-0006-0000-0C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July 2013</t>
        </r>
      </text>
    </comment>
    <comment ref="L28" authorId="0" shapeId="0" xr:uid="{00000000-0006-0000-0C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Released 7 July 2013</t>
        </r>
      </text>
    </comment>
    <comment ref="M28" authorId="0" shapeId="0" xr:uid="{00000000-0006-0000-0C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Released 5 June 2013</t>
        </r>
      </text>
    </comment>
    <comment ref="E29" authorId="0" shapeId="0" xr:uid="{00000000-0006-0000-0C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29" authorId="0" shapeId="0" xr:uid="{00000000-0006-0000-0C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29" authorId="0" shapeId="0" xr:uid="{00000000-0006-0000-0C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29" authorId="0" shapeId="0" xr:uid="{00000000-0006-0000-0C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29" authorId="0" shapeId="0" xr:uid="{00000000-0006-0000-0C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29" authorId="0" shapeId="0" xr:uid="{00000000-0006-0000-0C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29" authorId="0" shapeId="0" xr:uid="{00000000-0006-0000-0C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29" authorId="0" shapeId="0" xr:uid="{00000000-0006-0000-0C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29" authorId="0" shapeId="0" xr:uid="{00000000-0006-0000-0C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33" authorId="0" shapeId="0" xr:uid="{00000000-0006-0000-0C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10.9578 kWh/day</t>
        </r>
      </text>
    </comment>
    <comment ref="H33" authorId="0" shapeId="0" xr:uid="{00000000-0006-0000-0C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I33" authorId="0" shapeId="0" xr:uid="{00000000-0006-0000-0C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L33" authorId="0" shapeId="0" xr:uid="{00000000-0006-0000-0C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kWh/day</t>
        </r>
      </text>
    </comment>
    <comment ref="G34" authorId="0" shapeId="0" xr:uid="{00000000-0006-0000-0C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16.4384 kWh/day 
Block = 1000+1500
</t>
        </r>
      </text>
    </comment>
    <comment ref="H34" authorId="0" shapeId="0" xr:uid="{00000000-0006-0000-0C00-00003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I34" authorId="0" shapeId="0" xr:uid="{00000000-0006-0000-0C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L34" authorId="0" shapeId="0" xr:uid="{00000000-0006-0000-0C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kWh/day</t>
        </r>
      </text>
    </comment>
    <comment ref="H36" authorId="1" shapeId="0" xr:uid="{00000000-0006-0000-0C00-00003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 blocks only</t>
        </r>
      </text>
    </comment>
    <comment ref="G37" authorId="0" shapeId="0" xr:uid="{00000000-0006-0000-0C00-00003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kWk/day</t>
        </r>
      </text>
    </comment>
    <comment ref="H37" authorId="0" shapeId="0" xr:uid="{00000000-0006-0000-0C00-00003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
NOTE: No inclining block</t>
        </r>
      </text>
    </comment>
    <comment ref="I37" authorId="0" shapeId="0" xr:uid="{00000000-0006-0000-0C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J37" authorId="0" shapeId="0" xr:uid="{00000000-0006-0000-0C00-00003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K37" authorId="1" shapeId="0" xr:uid="{00000000-0006-0000-0C00-00003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L37" authorId="0" shapeId="0" xr:uid="{00000000-0006-0000-0C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kWh/day</t>
        </r>
      </text>
    </comment>
    <comment ref="M37" authorId="1" shapeId="0" xr:uid="{00000000-0006-0000-0C00-00003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E53" authorId="0" shapeId="0" xr:uid="{00000000-0006-0000-0C00-00003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Released 1 August 2013</t>
        </r>
      </text>
    </comment>
    <comment ref="F53" authorId="0" shapeId="0" xr:uid="{00000000-0006-0000-0C00-00004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July 2013</t>
        </r>
      </text>
    </comment>
    <comment ref="G53" authorId="0" shapeId="0" xr:uid="{00000000-0006-0000-0C00-00004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H53" authorId="0" shapeId="0" xr:uid="{00000000-0006-0000-0C00-00004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 Simply Save
Released on 11 March 2013</t>
        </r>
      </text>
    </comment>
    <comment ref="I53" authorId="0" shapeId="0" xr:uid="{00000000-0006-0000-0C00-00004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Released August 2013</t>
        </r>
      </text>
    </comment>
    <comment ref="J53" authorId="0" shapeId="0" xr:uid="{00000000-0006-0000-0C00-00004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Released 1 June 2013</t>
        </r>
      </text>
    </comment>
    <comment ref="K53" authorId="0" shapeId="0" xr:uid="{00000000-0006-0000-0C00-00004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July 2013</t>
        </r>
      </text>
    </comment>
    <comment ref="L53" authorId="0" shapeId="0" xr:uid="{00000000-0006-0000-0C00-00004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Released 7 July 2013</t>
        </r>
      </text>
    </comment>
    <comment ref="M53" authorId="0" shapeId="0" xr:uid="{00000000-0006-0000-0C00-00004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Released 5 June 2013</t>
        </r>
      </text>
    </comment>
    <comment ref="F57" authorId="0" shapeId="0" xr:uid="{00000000-0006-0000-0C00-00004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L58" authorId="1" shapeId="0" xr:uid="{00000000-0006-0000-0C00-00004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E59" authorId="1" shapeId="0" xr:uid="{00000000-0006-0000-0C00-00004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bills are paid by direct debit and voucher for AGL shop</t>
        </r>
      </text>
    </comment>
    <comment ref="F59" authorId="0" shapeId="0" xr:uid="{00000000-0006-0000-0C00-00004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D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7</t>
        </r>
      </text>
    </comment>
    <comment ref="F6" authorId="0" shapeId="0" xr:uid="{00000000-0006-0000-0D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12% off usage for 12 months</t>
        </r>
      </text>
    </comment>
    <comment ref="G6" authorId="0" shapeId="0" xr:uid="{00000000-0006-0000-0D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6" authorId="0" shapeId="0" xr:uid="{00000000-0006-0000-0D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I6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J6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K6" authorId="0" shapeId="0" xr:uid="{00000000-0006-0000-0D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7%</t>
        </r>
      </text>
    </comment>
    <comment ref="L6" authorId="0" shapeId="0" xr:uid="{00000000-0006-0000-0D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</t>
        </r>
      </text>
    </comment>
    <comment ref="M6" authorId="0" shapeId="0" xr:uid="{00000000-0006-0000-0D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</t>
        </r>
      </text>
    </comment>
    <comment ref="E7" authorId="0" shapeId="0" xr:uid="{00000000-0006-0000-0D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7" authorId="0" shapeId="0" xr:uid="{00000000-0006-0000-0D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7" authorId="0" shapeId="0" xr:uid="{00000000-0006-0000-0D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7" authorId="0" shapeId="0" xr:uid="{00000000-0006-0000-0D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7" authorId="0" shapeId="0" xr:uid="{00000000-0006-0000-0D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7" authorId="0" shapeId="0" xr:uid="{00000000-0006-0000-0D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7" authorId="0" shapeId="0" xr:uid="{00000000-0006-0000-0D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7" authorId="0" shapeId="0" xr:uid="{00000000-0006-0000-0D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7" authorId="0" shapeId="0" xr:uid="{00000000-0006-0000-0D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11" authorId="0" shapeId="0" xr:uid="{00000000-0006-0000-0D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H11" authorId="0" shapeId="0" xr:uid="{00000000-0006-0000-0D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I11" authorId="0" shapeId="0" xr:uid="{00000000-0006-0000-0D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K11" authorId="0" shapeId="0" xr:uid="{00000000-0006-0000-0D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L11" authorId="0" shapeId="0" xr:uid="{00000000-0006-0000-0D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G12" authorId="0" shapeId="0" xr:uid="{00000000-0006-0000-0D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H12" authorId="0" shapeId="0" xr:uid="{00000000-0006-0000-0D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I12" authorId="0" shapeId="0" xr:uid="{00000000-0006-0000-0D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L12" authorId="0" shapeId="0" xr:uid="{00000000-0006-0000-0D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J28" authorId="0" shapeId="0" xr:uid="{00000000-0006-0000-0D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K28" authorId="0" shapeId="0" xr:uid="{00000000-0006-0000-0D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7%</t>
        </r>
      </text>
    </comment>
    <comment ref="L28" authorId="0" shapeId="0" xr:uid="{00000000-0006-0000-0D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</t>
        </r>
      </text>
    </comment>
    <comment ref="M28" authorId="0" shapeId="0" xr:uid="{00000000-0006-0000-0D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</t>
        </r>
      </text>
    </comment>
    <comment ref="E29" authorId="0" shapeId="0" xr:uid="{00000000-0006-0000-0D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29" authorId="0" shapeId="0" xr:uid="{00000000-0006-0000-0D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29" authorId="0" shapeId="0" xr:uid="{00000000-0006-0000-0D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29" authorId="0" shapeId="0" xr:uid="{00000000-0006-0000-0D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29" authorId="0" shapeId="0" xr:uid="{00000000-0006-0000-0D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29" authorId="0" shapeId="0" xr:uid="{00000000-0006-0000-0D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29" authorId="0" shapeId="0" xr:uid="{00000000-0006-0000-0D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L29" authorId="0" shapeId="0" xr:uid="{00000000-0006-0000-0D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M29" authorId="0" shapeId="0" xr:uid="{00000000-0006-0000-0D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33" authorId="0" shapeId="0" xr:uid="{00000000-0006-0000-0D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H33" authorId="0" shapeId="0" xr:uid="{00000000-0006-0000-0D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I33" authorId="0" shapeId="0" xr:uid="{00000000-0006-0000-0D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L33" authorId="0" shapeId="0" xr:uid="{00000000-0006-0000-0D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G34" authorId="0" shapeId="0" xr:uid="{00000000-0006-0000-0D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H34" authorId="0" shapeId="0" xr:uid="{00000000-0006-0000-0D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I34" authorId="0" shapeId="0" xr:uid="{00000000-0006-0000-0D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L34" authorId="0" shapeId="0" xr:uid="{00000000-0006-0000-0D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G37" authorId="0" shapeId="0" xr:uid="{00000000-0006-0000-0D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H37" authorId="0" shapeId="0" xr:uid="{00000000-0006-0000-0D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
NOTE: No inclining block</t>
        </r>
      </text>
    </comment>
    <comment ref="I37" authorId="0" shapeId="0" xr:uid="{00000000-0006-0000-0D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J37" authorId="0" shapeId="0" xr:uid="{00000000-0006-0000-0D00-00003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K37" authorId="1" shapeId="0" xr:uid="{00000000-0006-0000-0D00-00003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L37" authorId="0" shapeId="0" xr:uid="{00000000-0006-0000-0D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M37" authorId="1" shapeId="0" xr:uid="{00000000-0006-0000-0D00-00003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NOTE No inclining block</t>
        </r>
      </text>
    </comment>
    <comment ref="E53" authorId="0" shapeId="0" xr:uid="{00000000-0006-0000-0D00-00003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7</t>
        </r>
      </text>
    </comment>
    <comment ref="F53" authorId="0" shapeId="0" xr:uid="{00000000-0006-0000-0D00-00003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12% off usage for 12 months</t>
        </r>
      </text>
    </comment>
    <comment ref="G53" authorId="0" shapeId="0" xr:uid="{00000000-0006-0000-0D00-00003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0D00-00003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I53" authorId="0" shapeId="0" xr:uid="{00000000-0006-0000-0D00-00003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J53" authorId="0" shapeId="0" xr:uid="{00000000-0006-0000-0D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K53" authorId="0" shapeId="0" xr:uid="{00000000-0006-0000-0D00-00003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7%</t>
        </r>
      </text>
    </comment>
    <comment ref="L53" authorId="0" shapeId="0" xr:uid="{00000000-0006-0000-0D00-00003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</t>
        </r>
      </text>
    </comment>
    <comment ref="M53" authorId="0" shapeId="0" xr:uid="{00000000-0006-0000-0D00-00004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</t>
        </r>
      </text>
    </comment>
    <comment ref="J55" authorId="0" shapeId="0" xr:uid="{00000000-0006-0000-0D00-00004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contract length</t>
        </r>
      </text>
    </comment>
    <comment ref="J56" authorId="0" shapeId="0" xr:uid="{00000000-0006-0000-0D00-00004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F57" authorId="0" shapeId="0" xr:uid="{00000000-0006-0000-0D00-00004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J58" authorId="0" shapeId="0" xr:uid="{00000000-0006-0000-0D00-00004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L58" authorId="1" shapeId="0" xr:uid="{00000000-0006-0000-0D00-00004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F59" authorId="0" shapeId="0" xr:uid="{00000000-0006-0000-0D00-00004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E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14</t>
        </r>
      </text>
    </comment>
    <comment ref="F6" authorId="0" shapeId="0" xr:uid="{00000000-0006-0000-0E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6" authorId="0" shapeId="0" xr:uid="{00000000-0006-0000-0E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0E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I6" authorId="0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J6" authorId="0" shapeId="0" xr:uid="{00000000-0006-0000-0E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K6" authorId="0" shapeId="0" xr:uid="{00000000-0006-0000-0E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 Offer - Available from 1 August 2012</t>
        </r>
      </text>
    </comment>
    <comment ref="E7" authorId="0" shapeId="0" xr:uid="{00000000-0006-0000-0E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7" authorId="0" shapeId="0" xr:uid="{00000000-0006-0000-0E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7" authorId="0" shapeId="0" xr:uid="{00000000-0006-0000-0E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7" authorId="0" shapeId="0" xr:uid="{00000000-0006-0000-0E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7" authorId="0" shapeId="0" xr:uid="{00000000-0006-0000-0E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7" authorId="0" shapeId="0" xr:uid="{00000000-0006-0000-0E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7" authorId="0" shapeId="0" xr:uid="{00000000-0006-0000-0E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G11" authorId="0" shapeId="0" xr:uid="{00000000-0006-0000-0E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H11" authorId="0" shapeId="0" xr:uid="{00000000-0006-0000-0E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I11" authorId="0" shapeId="0" xr:uid="{00000000-0006-0000-0E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K11" authorId="0" shapeId="0" xr:uid="{00000000-0006-0000-0E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G12" authorId="0" shapeId="0" xr:uid="{00000000-0006-0000-0E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H12" authorId="0" shapeId="0" xr:uid="{00000000-0006-0000-0E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I12" authorId="0" shapeId="0" xr:uid="{00000000-0006-0000-0E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J28" authorId="0" shapeId="0" xr:uid="{00000000-0006-0000-0E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10</t>
        </r>
      </text>
    </comment>
    <comment ref="K28" authorId="0" shapeId="0" xr:uid="{00000000-0006-0000-0E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 Offer - Available from 1 August 2012</t>
        </r>
      </text>
    </comment>
    <comment ref="E29" authorId="0" shapeId="0" xr:uid="{00000000-0006-0000-0E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F29" authorId="0" shapeId="0" xr:uid="{00000000-0006-0000-0E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G29" authorId="0" shapeId="0" xr:uid="{00000000-0006-0000-0E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H29" authorId="0" shapeId="0" xr:uid="{00000000-0006-0000-0E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No seasonal variation in tariff rates</t>
        </r>
      </text>
    </comment>
    <comment ref="I29" authorId="0" shapeId="0" xr:uid="{00000000-0006-0000-0E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Jan to 31 March</t>
        </r>
      </text>
    </comment>
    <comment ref="J29" authorId="0" shapeId="0" xr:uid="{00000000-0006-0000-0E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K29" authorId="0" shapeId="0" xr:uid="{00000000-0006-0000-0E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Note: Tariff is not 
seasonal</t>
        </r>
      </text>
    </comment>
    <comment ref="G33" authorId="0" shapeId="0" xr:uid="{00000000-0006-0000-0E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H33" authorId="0" shapeId="0" xr:uid="{00000000-0006-0000-0E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I33" authorId="0" shapeId="0" xr:uid="{00000000-0006-0000-0E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3.2877 Mj/day</t>
        </r>
      </text>
    </comment>
    <comment ref="G34" authorId="0" shapeId="0" xr:uid="{00000000-0006-0000-0E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H34" authorId="0" shapeId="0" xr:uid="{00000000-0006-0000-0E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I34" authorId="0" shapeId="0" xr:uid="{00000000-0006-0000-0E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7.6712 Mj/day</t>
        </r>
      </text>
    </comment>
    <comment ref="G37" authorId="0" shapeId="0" xr:uid="{00000000-0006-0000-0E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H37" authorId="0" shapeId="0" xr:uid="{00000000-0006-0000-0E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I37" authorId="0" shapeId="0" xr:uid="{00000000-0006-0000-0E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J37" authorId="0" shapeId="0" xr:uid="{00000000-0006-0000-0E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tariff stipulates 21.9178 Mj/day</t>
        </r>
      </text>
    </comment>
    <comment ref="E53" authorId="0" shapeId="0" xr:uid="{00000000-0006-0000-0E00-00002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14</t>
        </r>
      </text>
    </comment>
    <comment ref="F53" authorId="0" shapeId="0" xr:uid="{00000000-0006-0000-0E00-00002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53" authorId="0" shapeId="0" xr:uid="{00000000-0006-0000-0E00-00002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53" authorId="0" shapeId="0" xr:uid="{00000000-0006-0000-0E00-00002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</t>
        </r>
      </text>
    </comment>
    <comment ref="I53" authorId="0" shapeId="0" xr:uid="{00000000-0006-0000-0E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Flexi Saver</t>
        </r>
      </text>
    </comment>
    <comment ref="J53" authorId="0" shapeId="0" xr:uid="{00000000-0006-0000-0E00-00002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53" authorId="0" shapeId="0" xr:uid="{00000000-0006-0000-0E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 Offer - Available from 1 August 2012</t>
        </r>
      </text>
    </comment>
    <comment ref="J55" authorId="0" shapeId="0" xr:uid="{00000000-0006-0000-0E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contract length</t>
        </r>
      </text>
    </comment>
    <comment ref="J56" authorId="0" shapeId="0" xr:uid="{00000000-0006-0000-0E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F57" authorId="0" shapeId="0" xr:uid="{00000000-0006-0000-0E00-00003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J58" authorId="0" shapeId="0" xr:uid="{00000000-0006-0000-0E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Note that the latest Lumo Price Fact Sheet does not specify amount.</t>
        </r>
      </text>
    </comment>
    <comment ref="F59" authorId="0" shapeId="0" xr:uid="{00000000-0006-0000-0E00-00003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Microsoft Office User</author>
    <author>May Mauseth</author>
  </authors>
  <commentList>
    <comment ref="R7" authorId="0" shapeId="0" xr:uid="{3C94B856-9332-9749-8DA0-B781CF3C3C6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1" shapeId="0" xr:uid="{DD251F6A-1DB6-6241-9B3B-B0FF4FCA897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18" authorId="2" shapeId="0" xr:uid="{5828F532-DCE7-424E-BE4D-F5ECD4709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22" authorId="2" shapeId="0" xr:uid="{39703E0E-4208-154E-AC81-0DD07CF8CD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0" authorId="0" shapeId="0" xr:uid="{32185F16-7B4D-9F49-B965-B4240988F0F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38" authorId="1" shapeId="0" xr:uid="{53DD00ED-44C9-5B48-BE35-0A37E88F372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41" authorId="2" shapeId="0" xr:uid="{5E632587-156F-4042-A1D9-E24ED67DEB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45" authorId="1" shapeId="0" xr:uid="{D7093223-42F0-6D4F-AFEB-9306C861C7B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R7" authorId="0" shapeId="0" xr:uid="{450BC587-D858-AA43-B832-23E7473C30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8" authorId="1" shapeId="0" xr:uid="{819E4133-1482-0140-9039-69E88F9C2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1" shapeId="0" xr:uid="{11F935EB-D5E9-2E49-89A6-1B1D254093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2" authorId="1" shapeId="0" xr:uid="{8BD7DB90-46C0-784B-BC06-98F608EE09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41" authorId="0" shapeId="0" xr:uid="{43578610-4515-5142-ADC3-B8411A271C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2" authorId="1" shapeId="0" xr:uid="{64323DBF-6019-394D-B40D-93F6A5BBBA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55" authorId="1" shapeId="0" xr:uid="{E36F56D4-01FD-5649-B71D-F910136E1D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6B3820D-FFF8-C042-B672-4EDA687BD16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40" authorId="0" shapeId="0" xr:uid="{FE4F1DBE-6202-3A4D-AC6D-67B31EFF3B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R17" authorId="0" shapeId="0" xr:uid="{5C23C666-B6A0-C049-A2A0-133EF1586A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R19" authorId="0" shapeId="0" xr:uid="{43C9DA39-0E0B-6143-B9C4-4618A7CE4D3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23" authorId="0" shapeId="0" xr:uid="{81B68DB9-F214-4941-9426-AA06179C11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43" authorId="0" shapeId="0" xr:uid="{892B8A77-3773-C148-A640-8CCD109679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R45" authorId="0" shapeId="0" xr:uid="{6B244218-8A1A-9D43-9F6C-D8AE0A865EF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49" authorId="0" shapeId="0" xr:uid="{E7F71284-B5E5-9841-989D-AE6C89FE2CF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200-000001000000}">
      <text>
        <r>
          <rPr>
            <b/>
            <sz val="9"/>
            <color indexed="81"/>
            <rFont val="Verdana"/>
            <family val="2"/>
          </rPr>
          <t>Seasonal tariff: 25% of consumption allocated to 3 summer months and 75% to 9 winter months</t>
        </r>
      </text>
    </comment>
    <comment ref="B31" authorId="0" shapeId="0" xr:uid="{00000000-0006-0000-0200-000002000000}">
      <text>
        <r>
          <rPr>
            <b/>
            <sz val="9"/>
            <color indexed="81"/>
            <rFont val="Verdana"/>
            <family val="2"/>
          </rPr>
          <t>Seasonal tariff: 25% of consumption allocated to 3 summer months and 75% to 9 winter months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5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110</t>
        </r>
      </text>
    </comment>
    <comment ref="C7" authorId="0" shapeId="0" xr:uid="{00000000-0006-0000-03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7" authorId="1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1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7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</t>
        </r>
      </text>
    </comment>
    <comment ref="G7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Deal</t>
        </r>
      </text>
    </comment>
    <comment ref="H7" authorId="0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I7" authorId="0" shapeId="0" xr:uid="{00000000-0006-0000-0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14%
Released 24 July 2015</t>
        </r>
      </text>
    </comment>
    <comment ref="J7" authorId="0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K7" authorId="1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</t>
        </r>
      </text>
    </comment>
    <comment ref="L7" authorId="0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M7" authorId="1" shapeId="0" xr:uid="{00000000-0006-0000-03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P7" authorId="1" shapeId="0" xr:uid="{00000000-0006-0000-03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your way</t>
        </r>
      </text>
    </comment>
    <comment ref="A22" authorId="0" shapeId="0" xr:uid="{00000000-0006-0000-03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116 combined with 110</t>
        </r>
      </text>
    </comment>
    <comment ref="C43" authorId="0" shapeId="0" xr:uid="{00000000-0006-0000-03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43" authorId="1" shapeId="0" xr:uid="{00000000-0006-0000-0300-00001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43" authorId="1" shapeId="0" xr:uid="{00000000-0006-0000-03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43" authorId="1" shapeId="0" xr:uid="{00000000-0006-0000-0300-00001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</t>
        </r>
      </text>
    </comment>
    <comment ref="G43" authorId="0" shapeId="0" xr:uid="{00000000-0006-0000-03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Deal</t>
        </r>
      </text>
    </comment>
    <comment ref="H43" authorId="0" shapeId="0" xr:uid="{00000000-0006-0000-03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I43" authorId="0" shapeId="0" xr:uid="{00000000-0006-0000-03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14%
Released 24 July 2015</t>
        </r>
      </text>
    </comment>
    <comment ref="J43" authorId="0" shapeId="0" xr:uid="{00000000-0006-0000-03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K43" authorId="1" shapeId="0" xr:uid="{00000000-0006-0000-0300-00001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</t>
        </r>
      </text>
    </comment>
    <comment ref="L43" authorId="0" shapeId="0" xr:uid="{00000000-0006-0000-03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M43" authorId="1" shapeId="0" xr:uid="{00000000-0006-0000-0300-00001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P43" authorId="1" shapeId="0" xr:uid="{00000000-0006-0000-0300-00001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your way</t>
        </r>
      </text>
    </comment>
    <comment ref="H48" authorId="1" shapeId="0" xr:uid="{00000000-0006-0000-03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J48" authorId="1" shapeId="0" xr:uid="{00000000-0006-0000-0300-00001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L48" authorId="1" shapeId="0" xr:uid="{00000000-0006-0000-0300-00001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C49" authorId="1" shapeId="0" xr:uid="{00000000-0006-0000-0300-00001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Dual fuel dicount of 10%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5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110</t>
        </r>
      </text>
    </comment>
    <comment ref="C7" authorId="0" shapeId="0" xr:uid="{00000000-0006-0000-04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7" authorId="1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1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F7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</t>
        </r>
      </text>
    </comment>
    <comment ref="G7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H7" authorId="1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I7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J7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June 2014</t>
        </r>
      </text>
    </comment>
    <comment ref="K7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M7" authorId="0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N7" authorId="1" shapeId="0" xr:uid="{00000000-0006-0000-04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A22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116 combined with 110</t>
        </r>
      </text>
    </comment>
    <comment ref="C43" authorId="0" shapeId="0" xr:uid="{00000000-0006-0000-04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43" authorId="1" shapeId="0" xr:uid="{00000000-0006-0000-0400-00000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43" authorId="1" shapeId="0" xr:uid="{00000000-0006-0000-0400-00001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F43" authorId="1" shapeId="0" xr:uid="{00000000-0006-0000-04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</t>
        </r>
      </text>
    </comment>
    <comment ref="G43" authorId="0" shapeId="0" xr:uid="{00000000-0006-0000-04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</t>
        </r>
      </text>
    </comment>
    <comment ref="H43" authorId="1" shapeId="0" xr:uid="{00000000-0006-0000-0400-00001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discounter</t>
        </r>
      </text>
    </comment>
    <comment ref="I43" authorId="0" shapeId="0" xr:uid="{00000000-0006-0000-04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</t>
        </r>
      </text>
    </comment>
    <comment ref="J43" authorId="0" shapeId="0" xr:uid="{00000000-0006-0000-04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June 2014</t>
        </r>
      </text>
    </comment>
    <comment ref="K43" authorId="0" shapeId="0" xr:uid="{00000000-0006-0000-04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</t>
        </r>
      </text>
    </comment>
    <comment ref="M43" authorId="0" shapeId="0" xr:uid="{00000000-0006-0000-04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</t>
        </r>
      </text>
    </comment>
    <comment ref="N43" authorId="1" shapeId="0" xr:uid="{00000000-0006-0000-0400-00001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 Home Smart</t>
        </r>
      </text>
    </comment>
    <comment ref="I48" authorId="1" shapeId="0" xr:uid="{00000000-0006-0000-0400-00001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K48" authorId="1" shapeId="0" xr:uid="{00000000-0006-0000-0400-00001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M48" authorId="1" shapeId="0" xr:uid="{00000000-0006-0000-04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C49" authorId="1" shapeId="0" xr:uid="{00000000-0006-0000-0400-00001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 and voucher</t>
        </r>
      </text>
    </comment>
    <comment ref="D49" authorId="1" shapeId="0" xr:uid="{00000000-0006-0000-0400-00001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5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110</t>
        </r>
      </text>
    </comment>
    <comment ref="C7" authorId="0" shapeId="0" xr:uid="{00000000-0006-0000-05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Released 1 August 2013</t>
        </r>
      </text>
    </comment>
    <comment ref="D7" authorId="0" shapeId="0" xr:uid="{00000000-0006-0000-05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July 2013</t>
        </r>
      </text>
    </comment>
    <comment ref="E7" authorId="0" shapeId="0" xr:uid="{00000000-0006-0000-05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F7" authorId="0" shapeId="0" xr:uid="{00000000-0006-0000-05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 Simply Save
Released on 11 March 2013</t>
        </r>
      </text>
    </comment>
    <comment ref="G7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Released August 2013</t>
        </r>
      </text>
    </comment>
    <comment ref="H7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Released 1 June 2013</t>
        </r>
      </text>
    </comment>
    <comment ref="I7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July 2013</t>
        </r>
      </text>
    </comment>
    <comment ref="J7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Released 7 July 2013</t>
        </r>
      </text>
    </comment>
    <comment ref="K7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Released 5 June 2013</t>
        </r>
      </text>
    </comment>
    <comment ref="A22" authorId="0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116 combined with 110</t>
        </r>
      </text>
    </comment>
    <comment ref="C43" authorId="0" shapeId="0" xr:uid="{00000000-0006-0000-05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Released 1 August 2013</t>
        </r>
      </text>
    </comment>
    <comment ref="D43" authorId="0" shapeId="0" xr:uid="{00000000-0006-0000-05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July 2013</t>
        </r>
      </text>
    </comment>
    <comment ref="E43" authorId="0" shapeId="0" xr:uid="{00000000-0006-0000-05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F43" authorId="0" shapeId="0" xr:uid="{00000000-0006-0000-05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 Simply Save
Released on 11 March 2013</t>
        </r>
      </text>
    </comment>
    <comment ref="G43" authorId="0" shapeId="0" xr:uid="{00000000-0006-0000-05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Fair Go - Released August 2013</t>
        </r>
      </text>
    </comment>
    <comment ref="H43" authorId="0" shapeId="0" xr:uid="{00000000-0006-0000-05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Lumo Advantage 
Released 1 June 2013</t>
        </r>
      </text>
    </comment>
    <comment ref="I43" authorId="0" shapeId="0" xr:uid="{00000000-0006-0000-05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12%
Released July 2013</t>
        </r>
      </text>
    </comment>
    <comment ref="J43" authorId="0" shapeId="0" xr:uid="{00000000-0006-0000-05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Energy Saver
Released 7 July 2013</t>
        </r>
      </text>
    </comment>
    <comment ref="K43" authorId="0" shapeId="0" xr:uid="{00000000-0006-0000-05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Smile Power
Released 5 June 2013</t>
        </r>
      </text>
    </comment>
    <comment ref="D47" authorId="0" shapeId="0" xr:uid="{00000000-0006-0000-05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J48" authorId="1" shapeId="0" xr:uid="{00000000-0006-0000-0500-00001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PPIS does not stipulate</t>
        </r>
      </text>
    </comment>
    <comment ref="C49" authorId="1" shapeId="0" xr:uid="{00000000-0006-0000-0500-00001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bills are paid by direct debit and voucher for AGL shop</t>
        </r>
      </text>
    </comment>
    <comment ref="D49" authorId="0" shapeId="0" xr:uid="{00000000-0006-0000-05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sharedStrings.xml><?xml version="1.0" encoding="utf-8"?>
<sst xmlns="http://schemas.openxmlformats.org/spreadsheetml/2006/main" count="7601" uniqueCount="1109">
  <si>
    <t>Annual bill (incl GST)</t>
    <phoneticPr fontId="6" type="noConversion"/>
  </si>
  <si>
    <t>SA Power</t>
    <phoneticPr fontId="6" type="noConversion"/>
  </si>
  <si>
    <t>Single</t>
    <phoneticPr fontId="6" type="noConversion"/>
  </si>
  <si>
    <t>Simply Energy</t>
    <phoneticPr fontId="6" type="noConversion"/>
  </si>
  <si>
    <t xml:space="preserve">Autumn Sale </t>
    <phoneticPr fontId="6" type="noConversion"/>
  </si>
  <si>
    <t>Advantage</t>
    <phoneticPr fontId="6" type="noConversion"/>
  </si>
  <si>
    <t>Access to Lumo Ameego rewards program</t>
    <phoneticPr fontId="6" type="noConversion"/>
  </si>
  <si>
    <t>https://lumoenergy.com.au/~/media/lumo-energy/pdfs/20160601_pfs_sa_lumoadvantage.ashx</t>
  </si>
  <si>
    <t>y</t>
    <phoneticPr fontId="6" type="noConversion"/>
  </si>
  <si>
    <t>N</t>
    <phoneticPr fontId="6" type="noConversion"/>
  </si>
  <si>
    <t>o</t>
    <phoneticPr fontId="6" type="noConversion"/>
  </si>
  <si>
    <t>Peak 4th block</t>
    <phoneticPr fontId="6" type="noConversion"/>
  </si>
  <si>
    <t>Negotiated contract</t>
    <phoneticPr fontId="6" type="noConversion"/>
  </si>
  <si>
    <t>Account establishment fee applies</t>
    <phoneticPr fontId="6" type="noConversion"/>
  </si>
  <si>
    <t>Pay on time discount</t>
    <phoneticPr fontId="6" type="noConversion"/>
  </si>
  <si>
    <t>quarter</t>
    <phoneticPr fontId="6" type="noConversion"/>
  </si>
  <si>
    <t>SA-Single</t>
    <phoneticPr fontId="6" type="noConversion"/>
  </si>
  <si>
    <t>net</t>
    <phoneticPr fontId="6" type="noConversion"/>
  </si>
  <si>
    <t>N</t>
    <phoneticPr fontId="6" type="noConversion"/>
  </si>
  <si>
    <t xml:space="preserve">Account establishment fee applies. ETF only applied to the first year </t>
    <phoneticPr fontId="6" type="noConversion"/>
  </si>
  <si>
    <t>http://diamondenergy.com.au/wp-content/uploads/2016/08/DE-Energy-Price-Fact-Sheet-R-SAPN-16.pdf</t>
  </si>
  <si>
    <t>Changed</t>
    <phoneticPr fontId="6" type="noConversion"/>
  </si>
  <si>
    <t>y</t>
    <phoneticPr fontId="6" type="noConversion"/>
  </si>
  <si>
    <t>n</t>
    <phoneticPr fontId="6" type="noConversion"/>
  </si>
  <si>
    <t>SA-Controlled</t>
    <phoneticPr fontId="6" type="noConversion"/>
  </si>
  <si>
    <t>net</t>
    <phoneticPr fontId="6" type="noConversion"/>
  </si>
  <si>
    <t>N</t>
    <phoneticPr fontId="6" type="noConversion"/>
  </si>
  <si>
    <t>SA</t>
    <phoneticPr fontId="6" type="noConversion"/>
  </si>
  <si>
    <t xml:space="preserve"> to undertake this project.</t>
    <phoneticPr fontId="6" type="noConversion"/>
  </si>
  <si>
    <t>Origin Energy</t>
    <phoneticPr fontId="6" type="noConversion"/>
  </si>
  <si>
    <t>Saver</t>
    <phoneticPr fontId="6" type="noConversion"/>
  </si>
  <si>
    <t>y</t>
    <phoneticPr fontId="6" type="noConversion"/>
  </si>
  <si>
    <t>n</t>
    <phoneticPr fontId="6" type="noConversion"/>
  </si>
  <si>
    <t>n</t>
    <phoneticPr fontId="6" type="noConversion"/>
  </si>
  <si>
    <t>o</t>
    <phoneticPr fontId="6" type="noConversion"/>
  </si>
  <si>
    <t>n</t>
    <phoneticPr fontId="6" type="noConversion"/>
  </si>
  <si>
    <t>N</t>
    <phoneticPr fontId="6" type="noConversion"/>
  </si>
  <si>
    <t>n</t>
    <phoneticPr fontId="6" type="noConversion"/>
  </si>
  <si>
    <t>SA-Single-Seasonal</t>
    <phoneticPr fontId="6" type="noConversion"/>
  </si>
  <si>
    <t>o</t>
    <phoneticPr fontId="6" type="noConversion"/>
  </si>
  <si>
    <t xml:space="preserve">$25 credit if signing up online </t>
    <phoneticPr fontId="6" type="noConversion"/>
  </si>
  <si>
    <t>N</t>
    <phoneticPr fontId="6" type="noConversion"/>
  </si>
  <si>
    <t>https://lumoenergy.com.au/~/media/lumo-energy/pdfs/20160601_pfs_sa_lumoadvantage.ashx</t>
    <phoneticPr fontId="6" type="noConversion"/>
  </si>
  <si>
    <t>https://www.simplyenergy.com.au/docs/default-source/epfs_pdf_data/pricefactsheet_sim153655mr83483990453464788f06ff0000ae2471.pdf?Status=Master&amp;sfvrsn=2</t>
  </si>
  <si>
    <t>New</t>
    <phoneticPr fontId="6" type="noConversion"/>
  </si>
  <si>
    <t>SA</t>
    <phoneticPr fontId="6" type="noConversion"/>
  </si>
  <si>
    <t>SA Power</t>
    <phoneticPr fontId="6" type="noConversion"/>
  </si>
  <si>
    <t>Controlled</t>
    <phoneticPr fontId="6" type="noConversion"/>
  </si>
  <si>
    <t>SA-Controlled</t>
    <phoneticPr fontId="6" type="noConversion"/>
  </si>
  <si>
    <t>July 2016</t>
    <phoneticPr fontId="23" type="noConversion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</si>
  <si>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6" type="noConversion"/>
  </si>
  <si>
    <t xml:space="preserve">Account establishment fee applies. </t>
    <phoneticPr fontId="6" type="noConversion"/>
  </si>
  <si>
    <t>Annual consumption only</t>
    <phoneticPr fontId="6" type="noConversion"/>
  </si>
  <si>
    <t>https://connectto.dodo.com/EnergySignup2015/pricefactsheet/GetPdfDocument?filepath=PriceFactSheets%5cSaPowerNetworks%5cConsumer%5cPower%5cSA+Power+Networks+Residential+Electricity+Market+Offer+2016-05-27.pdf</t>
  </si>
  <si>
    <t>Dodo Power &amp; Gas</t>
    <phoneticPr fontId="6" type="noConversion"/>
  </si>
  <si>
    <t>https://cpg.commander.com/GeneralPricingInfo/ViewFile/SA%20Power%20Networks%20Residential%20Electricity%20Market%20Offer%202016-05-27-pdf</t>
  </si>
  <si>
    <t>Other incentives</t>
    <phoneticPr fontId="6" type="noConversion"/>
  </si>
  <si>
    <t>*All supply charges published as quarterly charges have been divided by 91 days.</t>
  </si>
  <si>
    <t>Single</t>
    <phoneticPr fontId="6" type="noConversion"/>
  </si>
  <si>
    <t>nso</t>
    <phoneticPr fontId="6" type="noConversion"/>
  </si>
  <si>
    <t>AGL</t>
    <phoneticPr fontId="6" type="noConversion"/>
  </si>
  <si>
    <t>http://www.sanctuaryenergy.com.au/pdf/2015Updates/SAN20027MR-SA-Negotiated.pdf</t>
  </si>
  <si>
    <t>Red Energy</t>
    <phoneticPr fontId="6" type="noConversion"/>
  </si>
  <si>
    <t>o</t>
    <phoneticPr fontId="6" type="noConversion"/>
  </si>
  <si>
    <t>Account credit</t>
  </si>
  <si>
    <t>N</t>
    <phoneticPr fontId="6" type="noConversion"/>
  </si>
  <si>
    <t>Urth Energy</t>
    <phoneticPr fontId="6" type="noConversion"/>
  </si>
  <si>
    <t>quarter</t>
    <phoneticPr fontId="6" type="noConversion"/>
  </si>
  <si>
    <t>Changed</t>
    <phoneticPr fontId="6" type="noConversion"/>
  </si>
  <si>
    <t>SA</t>
    <phoneticPr fontId="6" type="noConversion"/>
  </si>
  <si>
    <t>SA Power</t>
    <phoneticPr fontId="6" type="noConversion"/>
  </si>
  <si>
    <t>Controlled</t>
    <phoneticPr fontId="6" type="noConversion"/>
  </si>
  <si>
    <t>Insert quarterly consumption (kWh):</t>
  </si>
  <si>
    <t>Offer</t>
  </si>
  <si>
    <t>Supply charge</t>
  </si>
  <si>
    <t>Peak</t>
    <phoneticPr fontId="6" type="noConversion"/>
  </si>
  <si>
    <t>POT discount off bill (%)</t>
  </si>
  <si>
    <t>POT discount off usage (%)</t>
  </si>
  <si>
    <t>https://www.agl.com.au/-/media/AGLData/DistributorData/PDFs/PriceFactSheet_AGL187132MR.pdf</t>
  </si>
  <si>
    <t>SA</t>
    <phoneticPr fontId="6" type="noConversion"/>
  </si>
  <si>
    <t>SA Power</t>
    <phoneticPr fontId="6" type="noConversion"/>
  </si>
  <si>
    <t>Controlled</t>
    <phoneticPr fontId="6" type="noConversion"/>
  </si>
  <si>
    <t>n</t>
    <phoneticPr fontId="6" type="noConversion"/>
  </si>
  <si>
    <t>y</t>
    <phoneticPr fontId="6" type="noConversion"/>
  </si>
  <si>
    <t>s</t>
    <phoneticPr fontId="6" type="noConversion"/>
  </si>
  <si>
    <t>o</t>
    <phoneticPr fontId="6" type="noConversion"/>
  </si>
  <si>
    <t>N</t>
    <phoneticPr fontId="6" type="noConversion"/>
  </si>
  <si>
    <t>https://www.agl.com.au/-/media/AGLData/DistributorData/PDFs/PriceFactSheet_AGL187133MR.pdf</t>
  </si>
  <si>
    <t>y</t>
    <phoneticPr fontId="6" type="noConversion"/>
  </si>
  <si>
    <t>n</t>
    <phoneticPr fontId="6" type="noConversion"/>
  </si>
  <si>
    <t>EnergyAustralia</t>
    <phoneticPr fontId="6" type="noConversion"/>
  </si>
  <si>
    <t xml:space="preserve">Flexi Saver </t>
    <phoneticPr fontId="6" type="noConversion"/>
  </si>
  <si>
    <t>o</t>
    <phoneticPr fontId="6" type="noConversion"/>
  </si>
  <si>
    <t>N</t>
    <phoneticPr fontId="6" type="noConversion"/>
  </si>
  <si>
    <t>Annual bill incl conditional discounts (incl GST)</t>
    <phoneticPr fontId="6" type="noConversion"/>
  </si>
  <si>
    <t>y</t>
    <phoneticPr fontId="6" type="noConversion"/>
  </si>
  <si>
    <t>n</t>
    <phoneticPr fontId="6" type="noConversion"/>
  </si>
  <si>
    <t>Diamond Energy</t>
    <phoneticPr fontId="6" type="noConversion"/>
  </si>
  <si>
    <t>Annual bill incl guaranteed discounts (incl GST)</t>
    <phoneticPr fontId="6" type="noConversion"/>
  </si>
  <si>
    <t>Seasonal peak: off-peak rate (c/kWh)</t>
    <phoneticPr fontId="6" type="noConversion"/>
  </si>
  <si>
    <t>Winter Off-peak 4th block</t>
    <phoneticPr fontId="6" type="noConversion"/>
  </si>
  <si>
    <t>Discounts</t>
    <phoneticPr fontId="6" type="noConversion"/>
  </si>
  <si>
    <t>15% off usage</t>
    <phoneticPr fontId="6"/>
  </si>
  <si>
    <t>np</t>
    <phoneticPr fontId="6" type="noConversion"/>
  </si>
  <si>
    <t>Summer Peak balance</t>
    <phoneticPr fontId="6" type="noConversion"/>
  </si>
  <si>
    <t>4% off usage</t>
    <phoneticPr fontId="6"/>
  </si>
  <si>
    <t>3% off usage</t>
    <phoneticPr fontId="6"/>
  </si>
  <si>
    <t>no</t>
    <phoneticPr fontId="6" type="noConversion"/>
  </si>
  <si>
    <t>5% off usage</t>
    <phoneticPr fontId="6"/>
  </si>
  <si>
    <t>3% off usage</t>
    <phoneticPr fontId="6" type="noConversion"/>
  </si>
  <si>
    <t>5% off usage</t>
    <phoneticPr fontId="6" type="noConversion"/>
  </si>
  <si>
    <t>15% off usage</t>
    <phoneticPr fontId="6"/>
  </si>
  <si>
    <t>Cont' off peak 1st step (kWh)</t>
    <phoneticPr fontId="6" type="noConversion"/>
  </si>
  <si>
    <t>Cont' off peak 2nd rate</t>
    <phoneticPr fontId="6" type="noConversion"/>
  </si>
  <si>
    <t>Shoulder (c/kWh)</t>
    <phoneticPr fontId="6" type="noConversion"/>
  </si>
  <si>
    <t>Off-peak rate (c/kWh)</t>
    <phoneticPr fontId="6" type="noConversion"/>
  </si>
  <si>
    <t>Unchanged</t>
    <phoneticPr fontId="6" type="noConversion"/>
  </si>
  <si>
    <t>Single</t>
    <phoneticPr fontId="6" type="noConversion"/>
  </si>
  <si>
    <t>https://www.simplyenergy.com.au/docs/default-source/epfs_pdf_data/pricefactsheet_sim153658mr98483990453464788f06ff0000ae2471.pdf?Status=Master&amp;sfvrsn=2</t>
  </si>
  <si>
    <t>Momentum Energy</t>
    <phoneticPr fontId="6" type="noConversion"/>
  </si>
  <si>
    <t>SmilePower</t>
    <phoneticPr fontId="6" type="noConversion"/>
  </si>
  <si>
    <t>http://www.momentumenergy.com.au/docs/default-source/price-sheets/sa-smilepower-resi-sapower.pdf?sfvrsn=24</t>
  </si>
  <si>
    <t>Powerdirect</t>
    <phoneticPr fontId="6" type="noConversion"/>
  </si>
  <si>
    <t>18 percent</t>
    <phoneticPr fontId="6" type="noConversion"/>
  </si>
  <si>
    <t>o</t>
    <phoneticPr fontId="6" type="noConversion"/>
  </si>
  <si>
    <t>Single</t>
    <phoneticPr fontId="6" type="noConversion"/>
  </si>
  <si>
    <t>Additional discounts may be obtained through service bundling</t>
    <phoneticPr fontId="6" type="noConversion"/>
  </si>
  <si>
    <t>https://cpg.commander.com/GeneralPricingInfo/ViewFile/SA%20Power%20Networks%20Residential%20Electricity%20Market%20Offer%202015-12-16-pdf</t>
  </si>
  <si>
    <t>https://www.redenergy.com.au/docs/sa_price_fact_sheets/Red-Energy-SA-Living-Energy-Saver-Residential-SA-Power.pdf</t>
  </si>
  <si>
    <t>Sanctuary Energy</t>
    <phoneticPr fontId="6" type="noConversion"/>
  </si>
  <si>
    <t xml:space="preserve">*Some smaller retailers not included in this analysis may operate in the market.  </t>
    <phoneticPr fontId="6" type="noConversion"/>
  </si>
  <si>
    <t>Alinta Energy</t>
  </si>
  <si>
    <t>Click Energy</t>
  </si>
  <si>
    <t>Commander</t>
  </si>
  <si>
    <t>Diamond Energy</t>
  </si>
  <si>
    <t>Dodo Power &amp; Gas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</si>
  <si>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</si>
  <si>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</si>
  <si>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</si>
  <si>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</si>
  <si>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</si>
  <si>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</si>
  <si>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</si>
  <si>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Insert controlled off-peak proportion (%):</t>
  </si>
  <si>
    <t>this analysis include the three most common electricity offers based on meter type:</t>
  </si>
  <si>
    <t>Meter type</t>
    <phoneticPr fontId="6" type="noConversion"/>
  </si>
  <si>
    <t>Effective from</t>
    <phoneticPr fontId="6" type="noConversion"/>
  </si>
  <si>
    <t>3% off usage</t>
    <phoneticPr fontId="6"/>
  </si>
  <si>
    <t>Retail Market Offers July 2013 (inc GST)</t>
    <phoneticPr fontId="6" type="noConversion"/>
  </si>
  <si>
    <t>solar (net/gross)</t>
  </si>
  <si>
    <t>FIT (c/kWh)</t>
    <phoneticPr fontId="6" type="noConversion"/>
  </si>
  <si>
    <t>Green (y/n/o)</t>
    <phoneticPr fontId="6" type="noConversion"/>
  </si>
  <si>
    <t>Green note</t>
    <phoneticPr fontId="6" type="noConversion"/>
  </si>
  <si>
    <t xml:space="preserve">*Analysis of bills (consumption level/pattern variable) across retailers (inc GST) </t>
    <phoneticPr fontId="6" type="noConversion"/>
  </si>
  <si>
    <t>10% off bill</t>
    <phoneticPr fontId="6" type="noConversion"/>
  </si>
  <si>
    <t>7% off usage</t>
    <phoneticPr fontId="6" type="noConversion"/>
  </si>
  <si>
    <t>Late payment fee</t>
    <phoneticPr fontId="6" type="noConversion"/>
  </si>
  <si>
    <t>1) Single rate (also known as flat rate). Typically used in dual fuel households.</t>
  </si>
  <si>
    <t>Living Energy Saver</t>
    <phoneticPr fontId="6" type="noConversion"/>
  </si>
  <si>
    <t>Incentive type</t>
    <phoneticPr fontId="6" type="noConversion"/>
  </si>
  <si>
    <t>Approx. incentive value ($)</t>
    <phoneticPr fontId="6" type="noConversion"/>
  </si>
  <si>
    <t>St Vincent de Paul Society, SA Tariff-Tracking Project, Workbook 3: Electricity Market Offers</t>
    <phoneticPr fontId="6" type="noConversion"/>
  </si>
  <si>
    <t>SOUTH AUSTRALIA, SA POWER NETWORK</t>
    <phoneticPr fontId="6" type="noConversion"/>
  </si>
  <si>
    <t>Single rate</t>
    <phoneticPr fontId="6" type="noConversion"/>
  </si>
  <si>
    <t>Peak 2nd block</t>
    <phoneticPr fontId="6" type="noConversion"/>
  </si>
  <si>
    <t>Peak 3rd block</t>
    <phoneticPr fontId="6" type="noConversion"/>
  </si>
  <si>
    <t>quarter</t>
    <phoneticPr fontId="6" type="noConversion"/>
  </si>
  <si>
    <t>SA-Controlled-Seasonal</t>
    <phoneticPr fontId="6" type="noConversion"/>
  </si>
  <si>
    <t>y</t>
    <phoneticPr fontId="6" type="noConversion"/>
  </si>
  <si>
    <t>s</t>
    <phoneticPr fontId="6" type="noConversion"/>
  </si>
  <si>
    <t>Number of peak months</t>
    <phoneticPr fontId="6" type="noConversion"/>
  </si>
  <si>
    <t>Annual consumption only</t>
    <phoneticPr fontId="6" type="noConversion"/>
  </si>
  <si>
    <t>Annual bill (excl GST)</t>
  </si>
  <si>
    <t>Annual bill (incl GST)</t>
    <phoneticPr fontId="6" type="noConversion"/>
  </si>
  <si>
    <t>Guaranteed discount off bill (%)</t>
  </si>
  <si>
    <t>Guaranteed discount off usage (%)</t>
  </si>
  <si>
    <t>Guaranteed discount off bill (%)</t>
    <phoneticPr fontId="6" type="noConversion"/>
  </si>
  <si>
    <t>Guaranteed discount off usage (%)</t>
    <phoneticPr fontId="6" type="noConversion"/>
  </si>
  <si>
    <t>c/kWh Winter off-peak 4th block</t>
    <phoneticPr fontId="6" type="noConversion"/>
  </si>
  <si>
    <t>Controlled load</t>
    <phoneticPr fontId="6" type="noConversion"/>
  </si>
  <si>
    <t>AGL</t>
    <phoneticPr fontId="6" type="noConversion"/>
  </si>
  <si>
    <t>Origin</t>
    <phoneticPr fontId="6" type="noConversion"/>
  </si>
  <si>
    <t>10% off usage</t>
    <phoneticPr fontId="6"/>
  </si>
  <si>
    <t>https://secure.energyaustralia.com.au/EnergyPriceFactSheets/Docs/EPFS/E_R_S_GEASY_SA_20_28-07-2016.pdf</t>
  </si>
  <si>
    <t>n</t>
    <phoneticPr fontId="6" type="noConversion"/>
  </si>
  <si>
    <t>net</t>
    <phoneticPr fontId="6" type="noConversion"/>
  </si>
  <si>
    <t>o</t>
    <phoneticPr fontId="6" type="noConversion"/>
  </si>
  <si>
    <t>N</t>
    <phoneticPr fontId="6" type="noConversion"/>
  </si>
  <si>
    <t>https://secure.energyaustralia.com.au/EnergyPriceFactSheets/Docs/EPFS/E_R_S_GEASY_SA_20_28-07-2016.pdf</t>
    <phoneticPr fontId="6" type="noConversion"/>
  </si>
  <si>
    <t>https://customer.alintaenergy.com.au/AlintaCustomer/media/EnergyPlans/SA-FD20-ELEC-PFS-JUL2016.pdf?ext=.pdf</t>
    <phoneticPr fontId="6" type="noConversion"/>
  </si>
  <si>
    <t>http://www.sanctuaryenergy.com.au/pdf/2015Updates/SAN20027MR-SA-Negotiated.pdf</t>
    <phoneticPr fontId="6" type="noConversion"/>
  </si>
  <si>
    <t>Peak 4th rate (c/kWh)</t>
    <phoneticPr fontId="6" type="noConversion"/>
  </si>
  <si>
    <t>c/kWh Summer Peak 2nd block</t>
    <phoneticPr fontId="6" type="noConversion"/>
  </si>
  <si>
    <t>Retail Market Offers July 2012 (inc GST)</t>
    <phoneticPr fontId="6" type="noConversion"/>
  </si>
  <si>
    <t>Diamond</t>
    <phoneticPr fontId="6" type="noConversion"/>
  </si>
  <si>
    <t>no</t>
    <phoneticPr fontId="6" type="noConversion"/>
  </si>
  <si>
    <t>2 years</t>
    <phoneticPr fontId="6" type="noConversion"/>
  </si>
  <si>
    <t>unknown</t>
    <phoneticPr fontId="6" type="noConversion"/>
  </si>
  <si>
    <t>no</t>
    <phoneticPr fontId="6" type="noConversion"/>
  </si>
  <si>
    <t>Insert thereof controlled load (%):</t>
    <phoneticPr fontId="6" type="noConversion"/>
  </si>
  <si>
    <t>AGL</t>
    <phoneticPr fontId="6" type="noConversion"/>
  </si>
  <si>
    <t>changes to domestic energy offers in South Australia.  If regularly updated, this tariff-tracking tool can be used to:</t>
    <phoneticPr fontId="6" type="noConversion"/>
  </si>
  <si>
    <t>15% off bill</t>
    <phoneticPr fontId="6" type="noConversion"/>
  </si>
  <si>
    <t>Red</t>
    <phoneticPr fontId="6" type="noConversion"/>
  </si>
  <si>
    <t>Momentum</t>
    <phoneticPr fontId="6" type="noConversion"/>
  </si>
  <si>
    <t>$90-50</t>
    <phoneticPr fontId="6" type="noConversion"/>
  </si>
  <si>
    <t>$95-75</t>
    <phoneticPr fontId="6" type="noConversion"/>
  </si>
  <si>
    <t>no</t>
    <phoneticPr fontId="6" type="noConversion"/>
  </si>
  <si>
    <t>SA-Single</t>
    <phoneticPr fontId="6" type="noConversion"/>
  </si>
  <si>
    <t>Click Energy</t>
    <phoneticPr fontId="6" type="noConversion"/>
  </si>
  <si>
    <t>Off peak 1st step (kWh)</t>
    <phoneticPr fontId="6" type="noConversion"/>
  </si>
  <si>
    <t>Jade</t>
    <phoneticPr fontId="6" type="noConversion"/>
  </si>
  <si>
    <t>Monthly e-billing only.</t>
    <phoneticPr fontId="6" type="noConversion"/>
  </si>
  <si>
    <t>Off peak 2nd rate (c/kWh)</t>
    <phoneticPr fontId="6" type="noConversion"/>
  </si>
  <si>
    <t>Off peak 2nd step (kWh)</t>
    <phoneticPr fontId="6" type="noConversion"/>
  </si>
  <si>
    <t>Off peak 3rd rate (c/kWh)</t>
    <phoneticPr fontId="6" type="noConversion"/>
  </si>
  <si>
    <t>Off peak 3rd step (kWh)</t>
    <phoneticPr fontId="6" type="noConversion"/>
  </si>
  <si>
    <t>Off peak 4th rate (c/kWh)</t>
    <phoneticPr fontId="6" type="noConversion"/>
  </si>
  <si>
    <t>Seasonal Off-peak: Off-peak rate (c/kWh)</t>
    <phoneticPr fontId="6" type="noConversion"/>
  </si>
  <si>
    <t>Cont' off peak</t>
    <phoneticPr fontId="6" type="noConversion"/>
  </si>
  <si>
    <t>$95-45</t>
    <phoneticPr fontId="6" type="noConversion"/>
  </si>
  <si>
    <t>4th block (kWh)</t>
    <phoneticPr fontId="6" type="noConversion"/>
  </si>
  <si>
    <t>4% off usage</t>
    <phoneticPr fontId="6"/>
  </si>
  <si>
    <t>12% off usage</t>
    <phoneticPr fontId="6" type="noConversion"/>
  </si>
  <si>
    <t>1 year</t>
    <phoneticPr fontId="6" type="noConversion"/>
  </si>
  <si>
    <t>no</t>
    <phoneticPr fontId="6" type="noConversion"/>
  </si>
  <si>
    <t>3 years</t>
    <phoneticPr fontId="6" type="noConversion"/>
  </si>
  <si>
    <t>$75-50</t>
    <phoneticPr fontId="6" type="noConversion"/>
  </si>
  <si>
    <t>Retail Market Offers July 2014 (inc GST)</t>
    <phoneticPr fontId="6" type="noConversion"/>
  </si>
  <si>
    <t>would like to obtain information about energy offers available to you as a customer, see the AER’s Energy Made Easy website</t>
    <phoneticPr fontId="6" type="noConversion"/>
  </si>
  <si>
    <t>Bill impacts July 2015</t>
    <phoneticPr fontId="6" type="noConversion"/>
  </si>
  <si>
    <t>Winter Off-peak 1st block</t>
    <phoneticPr fontId="6" type="noConversion"/>
  </si>
  <si>
    <t>10% off bill</t>
    <phoneticPr fontId="6" type="noConversion"/>
  </si>
  <si>
    <t>https://www.originenergy.com.au/content/dam/origin/residential/docs/energy-price-fact-sheets/sa/20160616/SA_Electricity_Residential_SA%20Power%20Networks_OriginSaver14.PDF</t>
  </si>
  <si>
    <t>https://www.clickenergy.com.au/energy-price-fact-sheets/sa-power-networks/click-jade/292/</t>
  </si>
  <si>
    <t>Commander</t>
    <phoneticPr fontId="6" type="noConversion"/>
  </si>
  <si>
    <t>Market offer</t>
    <phoneticPr fontId="6" type="noConversion"/>
  </si>
  <si>
    <t>net</t>
    <phoneticPr fontId="6" type="noConversion"/>
  </si>
  <si>
    <t>Peak 5th block</t>
    <phoneticPr fontId="6" type="noConversion"/>
  </si>
  <si>
    <t>Peak balance</t>
    <phoneticPr fontId="6" type="noConversion"/>
  </si>
  <si>
    <t>Insert quartely consumption (kWh):</t>
    <phoneticPr fontId="6" type="noConversion"/>
  </si>
  <si>
    <t>Insert peak proportion (%):</t>
  </si>
  <si>
    <t>*As domestic electricity offers currently depend on the type of metering installed at the premises,</t>
  </si>
  <si>
    <t>Summer Peak 1st block</t>
    <phoneticPr fontId="6" type="noConversion"/>
  </si>
  <si>
    <t>ETSA Utilities network area 2012</t>
    <phoneticPr fontId="6" type="noConversion"/>
  </si>
  <si>
    <t>Tru</t>
    <phoneticPr fontId="6" type="noConversion"/>
  </si>
  <si>
    <t>Pacific Hydro</t>
    <phoneticPr fontId="6" type="noConversion"/>
  </si>
  <si>
    <t>Dodo</t>
    <phoneticPr fontId="6" type="noConversion"/>
  </si>
  <si>
    <t>Qenergy</t>
    <phoneticPr fontId="6" type="noConversion"/>
  </si>
  <si>
    <t>SA Power Networks</t>
    <phoneticPr fontId="6" type="noConversion"/>
  </si>
  <si>
    <t>Summer Peak 3rd block</t>
    <phoneticPr fontId="6" type="noConversion"/>
  </si>
  <si>
    <t>Summer Peak 4th block</t>
    <phoneticPr fontId="6" type="noConversion"/>
  </si>
  <si>
    <t>Purpose of project</t>
  </si>
  <si>
    <t>no</t>
    <phoneticPr fontId="6" type="noConversion"/>
  </si>
  <si>
    <t>no</t>
    <phoneticPr fontId="6" type="noConversion"/>
  </si>
  <si>
    <t>no</t>
    <phoneticPr fontId="6" type="noConversion"/>
  </si>
  <si>
    <t>14% off usage</t>
    <phoneticPr fontId="6" type="noConversion"/>
  </si>
  <si>
    <t>yes</t>
    <phoneticPr fontId="6" type="noConversion"/>
  </si>
  <si>
    <t>Discount</t>
    <phoneticPr fontId="6" type="noConversion"/>
  </si>
  <si>
    <t>11% off usage</t>
    <phoneticPr fontId="6" type="noConversion"/>
  </si>
  <si>
    <t>no</t>
    <phoneticPr fontId="6" type="noConversion"/>
  </si>
  <si>
    <t>12% off usage</t>
    <phoneticPr fontId="6" type="noConversion"/>
  </si>
  <si>
    <t>yes</t>
    <phoneticPr fontId="6" type="noConversion"/>
  </si>
  <si>
    <t>Powerdirect</t>
    <phoneticPr fontId="6" type="noConversion"/>
  </si>
  <si>
    <t>1st block (kWh)</t>
    <phoneticPr fontId="6" type="noConversion"/>
  </si>
  <si>
    <t>ID</t>
  </si>
  <si>
    <t>Timestamp</t>
    <phoneticPr fontId="6" type="noConversion"/>
  </si>
  <si>
    <t>State</t>
    <phoneticPr fontId="6" type="noConversion"/>
  </si>
  <si>
    <t>DB</t>
    <phoneticPr fontId="6" type="noConversion"/>
  </si>
  <si>
    <t>DB Zone</t>
    <phoneticPr fontId="6" type="noConversion"/>
  </si>
  <si>
    <t>SA-Controlled</t>
    <phoneticPr fontId="6" type="noConversion"/>
  </si>
  <si>
    <t>Split week tariff: Shoulder - weekends (c/kWh)</t>
    <phoneticPr fontId="6" type="noConversion"/>
  </si>
  <si>
    <t>Seasonal shoulder: off peak season rate (c/kWh)</t>
    <phoneticPr fontId="6" type="noConversion"/>
  </si>
  <si>
    <t>Time structure Code</t>
    <phoneticPr fontId="6" type="noConversion"/>
  </si>
  <si>
    <t>Seasonal? (y/n)</t>
    <phoneticPr fontId="6" type="noConversion"/>
  </si>
  <si>
    <t>Summer or winter peak (s/w)</t>
    <phoneticPr fontId="6" type="noConversion"/>
  </si>
  <si>
    <t>Restricted eligibility? (n/so/nso)</t>
    <phoneticPr fontId="6" type="noConversion"/>
  </si>
  <si>
    <t>Solar meter fee (c/day)</t>
    <phoneticPr fontId="6" type="noConversion"/>
  </si>
  <si>
    <t>Retailer</t>
  </si>
  <si>
    <t>Name</t>
    <phoneticPr fontId="6" type="noConversion"/>
  </si>
  <si>
    <t>Supply (c/day)</t>
  </si>
  <si>
    <t>Single or peak rate (c/kWh)</t>
    <phoneticPr fontId="6" type="noConversion"/>
  </si>
  <si>
    <t>block type</t>
  </si>
  <si>
    <t>Peak 1st step (kWh)</t>
    <phoneticPr fontId="6" type="noConversion"/>
  </si>
  <si>
    <t>no</t>
    <phoneticPr fontId="6" type="noConversion"/>
  </si>
  <si>
    <t>no</t>
    <phoneticPr fontId="6" type="noConversion"/>
  </si>
  <si>
    <t>20% off usage</t>
    <phoneticPr fontId="6" type="noConversion"/>
  </si>
  <si>
    <t>Dodo</t>
    <phoneticPr fontId="6" type="noConversion"/>
  </si>
  <si>
    <t>15% off usage</t>
    <phoneticPr fontId="6" type="noConversion"/>
  </si>
  <si>
    <t>$95-75</t>
    <phoneticPr fontId="6" type="noConversion"/>
  </si>
  <si>
    <t>unknown</t>
    <phoneticPr fontId="6" type="noConversion"/>
  </si>
  <si>
    <t>no</t>
    <phoneticPr fontId="6" type="noConversion"/>
  </si>
  <si>
    <t>no</t>
    <phoneticPr fontId="6" type="noConversion"/>
  </si>
  <si>
    <t>c/kWh Winter Off-peak balance</t>
    <phoneticPr fontId="6" type="noConversion"/>
  </si>
  <si>
    <t>c/per day Fixed charges</t>
    <phoneticPr fontId="6" type="noConversion"/>
  </si>
  <si>
    <t>Annual bill incl guaranteed discounts (excl GST)</t>
    <phoneticPr fontId="6" type="noConversion"/>
  </si>
  <si>
    <t>Lumo Energy</t>
    <phoneticPr fontId="6" type="noConversion"/>
  </si>
  <si>
    <t>POT discount off bill (%)</t>
    <phoneticPr fontId="6" type="noConversion"/>
  </si>
  <si>
    <t>POT discount off usage (%)</t>
    <phoneticPr fontId="6" type="noConversion"/>
  </si>
  <si>
    <t>DD discount off bill (%)</t>
    <phoneticPr fontId="6" type="noConversion"/>
  </si>
  <si>
    <t>DD discount off usage (%)</t>
    <phoneticPr fontId="6" type="noConversion"/>
  </si>
  <si>
    <t>E-bill discount off bill (%)</t>
    <phoneticPr fontId="6" type="noConversion"/>
  </si>
  <si>
    <t>E-bill discount off usage (%)</t>
    <phoneticPr fontId="6" type="noConversion"/>
  </si>
  <si>
    <t>Annual bill incl guaranteed discounts (excl GST)</t>
    <phoneticPr fontId="6" type="noConversion"/>
  </si>
  <si>
    <t>Annual bill incl conditional discounts (excl GST)</t>
    <phoneticPr fontId="6" type="noConversion"/>
  </si>
  <si>
    <t>Dual Fuel discount off usage (%)</t>
    <phoneticPr fontId="6" type="noConversion"/>
  </si>
  <si>
    <t>Retail Market Offers January 2013 (inc GST)</t>
    <phoneticPr fontId="6" type="noConversion"/>
  </si>
  <si>
    <t>3rd block (kWh)</t>
    <phoneticPr fontId="6" type="noConversion"/>
  </si>
  <si>
    <t xml:space="preserve">without prior written permission from the St Vincent de Paul Society. </t>
  </si>
  <si>
    <t>nso</t>
    <phoneticPr fontId="6" type="noConversion"/>
  </si>
  <si>
    <t>Alinta Energy</t>
    <phoneticPr fontId="6" type="noConversion"/>
  </si>
  <si>
    <t xml:space="preserve">*All spreadsheets are locked (apart from the interactive red cells), in order to ensure that formulas are not accidently </t>
    <phoneticPr fontId="6" type="noConversion"/>
  </si>
  <si>
    <t>Momentum</t>
    <phoneticPr fontId="6" type="noConversion"/>
  </si>
  <si>
    <t xml:space="preserve">1) Inform the community about changes to energy retail prices and increase consumer awareness </t>
  </si>
  <si>
    <t>NUOS</t>
  </si>
  <si>
    <t>Annual proportion of peak time</t>
  </si>
  <si>
    <t>Split week tariff: Shoulder - weekdays (c/kWh)</t>
    <phoneticPr fontId="6" type="noConversion"/>
  </si>
  <si>
    <t>Summer Peak 2nd block</t>
    <phoneticPr fontId="6" type="noConversion"/>
  </si>
  <si>
    <t>16% off usage</t>
    <phoneticPr fontId="6" type="noConversion"/>
  </si>
  <si>
    <t>no</t>
    <phoneticPr fontId="6" type="noConversion"/>
  </si>
  <si>
    <t>21% off usage</t>
    <phoneticPr fontId="6"/>
  </si>
  <si>
    <t>2 years</t>
    <phoneticPr fontId="6" type="noConversion"/>
  </si>
  <si>
    <t>20% off usage</t>
    <phoneticPr fontId="6" type="noConversion"/>
  </si>
  <si>
    <t>Commander</t>
    <phoneticPr fontId="6" type="noConversion"/>
  </si>
  <si>
    <t>SA-Controlled</t>
    <phoneticPr fontId="6" type="noConversion"/>
  </si>
  <si>
    <t>n</t>
    <phoneticPr fontId="6" type="noConversion"/>
  </si>
  <si>
    <t>Dodo Power &amp; Gas</t>
    <phoneticPr fontId="6" type="noConversion"/>
  </si>
  <si>
    <t>Market offer</t>
    <phoneticPr fontId="6" type="noConversion"/>
  </si>
  <si>
    <t>3% off bill</t>
    <phoneticPr fontId="6" type="noConversion"/>
  </si>
  <si>
    <t>yes</t>
    <phoneticPr fontId="6" type="noConversion"/>
  </si>
  <si>
    <t>ETSA Utilities network area 2015</t>
    <phoneticPr fontId="6" type="noConversion"/>
  </si>
  <si>
    <t>2 years</t>
    <phoneticPr fontId="6" type="noConversion"/>
  </si>
  <si>
    <t>Retailers:</t>
    <phoneticPr fontId="6" type="noConversion"/>
  </si>
  <si>
    <t>Red</t>
    <phoneticPr fontId="6" type="noConversion"/>
  </si>
  <si>
    <t>Bill impacts July 2012</t>
    <phoneticPr fontId="6" type="noConversion"/>
  </si>
  <si>
    <t>Insert annual consumption (KWh):</t>
    <phoneticPr fontId="6" type="noConversion"/>
  </si>
  <si>
    <t>ETSA Utilities</t>
    <phoneticPr fontId="6" type="noConversion"/>
  </si>
  <si>
    <t>Average</t>
    <phoneticPr fontId="6" type="noConversion"/>
  </si>
  <si>
    <t>Fair Deal</t>
    <phoneticPr fontId="6" type="noConversion"/>
  </si>
  <si>
    <t>quarter</t>
    <phoneticPr fontId="6" type="noConversion"/>
  </si>
  <si>
    <t>SA-Controlled</t>
    <phoneticPr fontId="6" type="noConversion"/>
  </si>
  <si>
    <t>n</t>
    <phoneticPr fontId="6" type="noConversion"/>
  </si>
  <si>
    <t>N</t>
    <phoneticPr fontId="6" type="noConversion"/>
  </si>
  <si>
    <t>c/kWh Winter Off-peak 2nd block</t>
    <phoneticPr fontId="6" type="noConversion"/>
  </si>
  <si>
    <t>Retail Market Offers July 2015 (exc GST)</t>
    <phoneticPr fontId="6" type="noConversion"/>
  </si>
  <si>
    <t>July 2014</t>
    <phoneticPr fontId="23" type="noConversion"/>
  </si>
  <si>
    <t>Dual fuel condition? (Y/N)</t>
    <phoneticPr fontId="6" type="noConversion"/>
  </si>
  <si>
    <t>Comments</t>
    <phoneticPr fontId="6" type="noConversion"/>
  </si>
  <si>
    <t>Source</t>
    <phoneticPr fontId="6" type="noConversion"/>
  </si>
  <si>
    <t>14% off usage</t>
    <phoneticPr fontId="6" type="noConversion"/>
  </si>
  <si>
    <t>no</t>
    <phoneticPr fontId="6" type="noConversion"/>
  </si>
  <si>
    <t>no</t>
    <phoneticPr fontId="6" type="noConversion"/>
  </si>
  <si>
    <t>no</t>
    <phoneticPr fontId="6" type="noConversion"/>
  </si>
  <si>
    <t>Annual bill incl guaranteed discounts</t>
  </si>
  <si>
    <t>Annual bill incl conditional discounts</t>
  </si>
  <si>
    <t>Controlled load</t>
    <phoneticPr fontId="6" type="noConversion"/>
  </si>
  <si>
    <t>Controlled Off-peak</t>
    <phoneticPr fontId="6" type="noConversion"/>
  </si>
  <si>
    <t>Controlled Off-peak balance</t>
    <phoneticPr fontId="6" type="noConversion"/>
  </si>
  <si>
    <t>Annual bill incl conditional discounts (excl GST)</t>
    <phoneticPr fontId="6" type="noConversion"/>
  </si>
  <si>
    <t>Contract length (months)</t>
  </si>
  <si>
    <t>Exit fee (yes/no)</t>
  </si>
  <si>
    <t>Peak</t>
    <phoneticPr fontId="6" type="noConversion"/>
  </si>
  <si>
    <t>Insert annual consumption (KWh):</t>
    <phoneticPr fontId="6" type="noConversion"/>
  </si>
  <si>
    <t>quarter</t>
    <phoneticPr fontId="6" type="noConversion"/>
  </si>
  <si>
    <t>http://www.urthenergy.com.au/client_images/1811676.pdf</t>
  </si>
  <si>
    <t>Changed</t>
    <phoneticPr fontId="6" type="noConversion"/>
  </si>
  <si>
    <t>Changed</t>
    <phoneticPr fontId="6" type="noConversion"/>
  </si>
  <si>
    <t xml:space="preserve">the winter/summer rates according to the retail offer (e.g. 3 month summer rate equals 25% of total peak consumption). </t>
    <phoneticPr fontId="6" type="noConversion"/>
  </si>
  <si>
    <t>c/kWh Summer Peak 4th block</t>
    <phoneticPr fontId="6" type="noConversion"/>
  </si>
  <si>
    <t>c/kWh Summer Peak balance</t>
    <phoneticPr fontId="6" type="noConversion"/>
  </si>
  <si>
    <t>c/kWh Winter Off-peak 3rd block</t>
    <phoneticPr fontId="6" type="noConversion"/>
  </si>
  <si>
    <t>Source: www.sapowernetworks.com.au</t>
    <phoneticPr fontId="6" type="noConversion"/>
  </si>
  <si>
    <t>20% off usage</t>
    <phoneticPr fontId="6"/>
  </si>
  <si>
    <t>$104.50-82.50</t>
    <phoneticPr fontId="6" type="noConversion"/>
  </si>
  <si>
    <t>3% off bill</t>
    <phoneticPr fontId="6"/>
  </si>
  <si>
    <t>4% off bill</t>
    <phoneticPr fontId="6"/>
  </si>
  <si>
    <t>Late payment fee</t>
    <phoneticPr fontId="6" type="noConversion"/>
  </si>
  <si>
    <t>no</t>
    <phoneticPr fontId="6" type="noConversion"/>
  </si>
  <si>
    <t>unknown</t>
    <phoneticPr fontId="6" type="noConversion"/>
  </si>
  <si>
    <t xml:space="preserve">The energy offers, tariffs and bill calculations presented in this workbook should be used as a general guide only and should not be </t>
  </si>
  <si>
    <t>12% off bill</t>
    <phoneticPr fontId="6" type="noConversion"/>
  </si>
  <si>
    <t>no</t>
    <phoneticPr fontId="6" type="noConversion"/>
  </si>
  <si>
    <t>Dual Fuel discount off bill (%)</t>
    <phoneticPr fontId="6" type="noConversion"/>
  </si>
  <si>
    <t>10% off bill</t>
    <phoneticPr fontId="6" type="noConversion"/>
  </si>
  <si>
    <t>no</t>
    <phoneticPr fontId="6" type="noConversion"/>
  </si>
  <si>
    <t>Energy Aus</t>
    <phoneticPr fontId="6" type="noConversion"/>
  </si>
  <si>
    <t>Energy Aus</t>
    <phoneticPr fontId="6" type="noConversion"/>
  </si>
  <si>
    <t>no</t>
    <phoneticPr fontId="6" type="noConversion"/>
  </si>
  <si>
    <t>12% off usage</t>
    <phoneticPr fontId="6" type="noConversion"/>
  </si>
  <si>
    <t>$75-50</t>
    <phoneticPr fontId="6" type="noConversion"/>
  </si>
  <si>
    <t>$90-50</t>
    <phoneticPr fontId="6" type="noConversion"/>
  </si>
  <si>
    <t>Tab colours:</t>
  </si>
  <si>
    <t>July 2013</t>
    <phoneticPr fontId="23" type="noConversion"/>
  </si>
  <si>
    <t>January 2013</t>
    <phoneticPr fontId="23" type="noConversion"/>
  </si>
  <si>
    <t>July 2012</t>
    <phoneticPr fontId="23" type="noConversion"/>
  </si>
  <si>
    <t xml:space="preserve">1 year </t>
    <phoneticPr fontId="6" type="noConversion"/>
  </si>
  <si>
    <t>Controlled off-peak 1st block (kWh)</t>
    <phoneticPr fontId="6" type="noConversion"/>
  </si>
  <si>
    <t>changed. The spreadsheets containing the tariff data are hidden.</t>
    <phoneticPr fontId="6" type="noConversion"/>
  </si>
  <si>
    <t xml:space="preserve">no parts may be adapted, reproduced, copied, stored, distributed, published or put to commercial use </t>
    <phoneticPr fontId="0" type="noConversion"/>
  </si>
  <si>
    <t>Alinta</t>
    <phoneticPr fontId="6" type="noConversion"/>
  </si>
  <si>
    <t>2 years</t>
  </si>
  <si>
    <t>3 years</t>
  </si>
  <si>
    <t>Contract length (months)</t>
    <phoneticPr fontId="6" type="noConversion"/>
  </si>
  <si>
    <t>ETF (Y/N)</t>
    <phoneticPr fontId="6" type="noConversion"/>
  </si>
  <si>
    <t>Limited benefit period? (months)</t>
    <phoneticPr fontId="6" type="noConversion"/>
  </si>
  <si>
    <t>Other Direct Debit Incentive (y/n)</t>
    <phoneticPr fontId="6" type="noConversion"/>
  </si>
  <si>
    <t>Service fee ($ per month)</t>
    <phoneticPr fontId="6" type="noConversion"/>
  </si>
  <si>
    <t>Solar (y/n)</t>
    <phoneticPr fontId="6" type="noConversion"/>
  </si>
  <si>
    <t>http://www.powerdirect.com.au/south-australia-energy-price-fact-sheets-residential/w1/i1064982/</t>
  </si>
  <si>
    <t>Peak 2nd rate (c/kWh)</t>
    <phoneticPr fontId="6" type="noConversion"/>
  </si>
  <si>
    <t>Peak 2nd step (kWh)</t>
    <phoneticPr fontId="6" type="noConversion"/>
  </si>
  <si>
    <t>Peak 3rd rate (c/kWh)</t>
    <phoneticPr fontId="6" type="noConversion"/>
  </si>
  <si>
    <t>Peak 3rd step (kWh)</t>
    <phoneticPr fontId="6" type="noConversion"/>
  </si>
  <si>
    <t>By May Mauseth Johnston, Alviss Consulting Pty Ltd</t>
    <phoneticPr fontId="8" type="noConversion"/>
  </si>
  <si>
    <t>2% off usage</t>
    <phoneticPr fontId="6"/>
  </si>
  <si>
    <t>6% off usage</t>
    <phoneticPr fontId="6" type="noConversion"/>
  </si>
  <si>
    <t>15% off usage</t>
    <phoneticPr fontId="6"/>
  </si>
  <si>
    <t>© St Vincent de Paul Society and Alviss Consulting Pty Ltd</t>
  </si>
  <si>
    <t>Single rate</t>
  </si>
  <si>
    <t>Winter Off-peak balance</t>
    <phoneticPr fontId="6" type="noConversion"/>
  </si>
  <si>
    <t>Fixed charges (per annum)</t>
    <phoneticPr fontId="6" type="noConversion"/>
  </si>
  <si>
    <t>AGL</t>
    <phoneticPr fontId="6" type="noConversion"/>
  </si>
  <si>
    <t xml:space="preserve">Savers </t>
    <phoneticPr fontId="6" type="noConversion"/>
  </si>
  <si>
    <t>SA-Single</t>
    <phoneticPr fontId="6" type="noConversion"/>
  </si>
  <si>
    <t>net</t>
    <phoneticPr fontId="6" type="noConversion"/>
  </si>
  <si>
    <t>https://www.agl.com.au/-/media/AGLData/DistributorData/PDFs/PriceFactSheet_AGL366822MR.pdf</t>
  </si>
  <si>
    <t>Changed</t>
  </si>
  <si>
    <t>SA-Controlled</t>
    <phoneticPr fontId="6" type="noConversion"/>
  </si>
  <si>
    <t>N</t>
    <phoneticPr fontId="6" type="noConversion"/>
  </si>
  <si>
    <t>https://www.agl.com.au/-/media/AGLData/DistributorData/PDFs/PriceFactSheet_AGL366821MR.pdf</t>
  </si>
  <si>
    <t>3% off usage</t>
    <phoneticPr fontId="6"/>
  </si>
  <si>
    <t>10% off usage</t>
    <phoneticPr fontId="6"/>
  </si>
  <si>
    <t>Lumo</t>
    <phoneticPr fontId="6" type="noConversion"/>
  </si>
  <si>
    <t>Powerdirect</t>
    <phoneticPr fontId="6" type="noConversion"/>
  </si>
  <si>
    <t>2nd block (kWh)</t>
    <phoneticPr fontId="6" type="noConversion"/>
  </si>
  <si>
    <t>www.energymadeeasy.gov.au or contact the energy retailers directly.</t>
    <phoneticPr fontId="6" type="noConversion"/>
  </si>
  <si>
    <t>Origin</t>
    <phoneticPr fontId="6" type="noConversion"/>
  </si>
  <si>
    <t>Tru</t>
    <phoneticPr fontId="6" type="noConversion"/>
  </si>
  <si>
    <t>Simply</t>
    <phoneticPr fontId="6" type="noConversion"/>
  </si>
  <si>
    <t>Alinta</t>
    <phoneticPr fontId="6" type="noConversion"/>
  </si>
  <si>
    <t>Lumo</t>
    <phoneticPr fontId="6" type="noConversion"/>
  </si>
  <si>
    <t>Powerdirect</t>
    <phoneticPr fontId="6" type="noConversion"/>
  </si>
  <si>
    <t>Controlled load 1st block</t>
    <phoneticPr fontId="6" type="noConversion"/>
  </si>
  <si>
    <t>Controlled load balance</t>
    <phoneticPr fontId="6" type="noConversion"/>
  </si>
  <si>
    <t>7% off bill</t>
    <phoneticPr fontId="6" type="noConversion"/>
  </si>
  <si>
    <t>DISCLAIMER:</t>
  </si>
  <si>
    <t>SA</t>
    <phoneticPr fontId="6" type="noConversion"/>
  </si>
  <si>
    <t>SA Power</t>
    <phoneticPr fontId="6" type="noConversion"/>
  </si>
  <si>
    <t>Single</t>
    <phoneticPr fontId="6" type="noConversion"/>
  </si>
  <si>
    <t>nso</t>
    <phoneticPr fontId="6" type="noConversion"/>
  </si>
  <si>
    <t>Alinta Energy</t>
    <phoneticPr fontId="6" type="noConversion"/>
  </si>
  <si>
    <t>https://customer.alintaenergy.com.au/AlintaCustomer/media/EnergyPlans/SA-FD20-ELEC-CL-PFS-JUL2016.pdf?ext=.pdf</t>
  </si>
  <si>
    <t>o</t>
    <phoneticPr fontId="6" type="noConversion"/>
  </si>
  <si>
    <t>n</t>
    <phoneticPr fontId="6" type="noConversion"/>
  </si>
  <si>
    <t>ETSA Utilities network area 2014</t>
    <phoneticPr fontId="6" type="noConversion"/>
  </si>
  <si>
    <t>Project outputs</t>
  </si>
  <si>
    <t>Insert thereof general consumption (%):</t>
    <phoneticPr fontId="6" type="noConversion"/>
  </si>
  <si>
    <t>c/kWh Controlled load balance</t>
    <phoneticPr fontId="6" type="noConversion"/>
  </si>
  <si>
    <t>Lumo</t>
    <phoneticPr fontId="6"/>
  </si>
  <si>
    <t>July 2015</t>
    <phoneticPr fontId="23" type="noConversion"/>
  </si>
  <si>
    <t>Update status</t>
    <phoneticPr fontId="6" type="noConversion"/>
  </si>
  <si>
    <t>SA</t>
    <phoneticPr fontId="6" type="noConversion"/>
  </si>
  <si>
    <t>SA Power</t>
    <phoneticPr fontId="6" type="noConversion"/>
  </si>
  <si>
    <t>Controlled</t>
    <phoneticPr fontId="6" type="noConversion"/>
  </si>
  <si>
    <t>n</t>
    <phoneticPr fontId="6" type="noConversion"/>
  </si>
  <si>
    <t xml:space="preserve">Savers </t>
    <phoneticPr fontId="6" type="noConversion"/>
  </si>
  <si>
    <t>$95-75</t>
    <phoneticPr fontId="6" type="noConversion"/>
  </si>
  <si>
    <t>Lumo</t>
    <phoneticPr fontId="6" type="noConversion"/>
  </si>
  <si>
    <t>Number of peak summer bills</t>
  </si>
  <si>
    <t>Annual proportion of off peak time</t>
  </si>
  <si>
    <t>Alinta</t>
    <phoneticPr fontId="6" type="noConversion"/>
  </si>
  <si>
    <t xml:space="preserve">* The electricity offers have seasonal rates (summer and winter). The quarterly consumption entered is allocated to </t>
    <phoneticPr fontId="6" type="noConversion"/>
  </si>
  <si>
    <t>Bill impacts July 2014</t>
    <phoneticPr fontId="6" type="noConversion"/>
  </si>
  <si>
    <t xml:space="preserve">in the workbook is not provided as financial advice. While we have taken great care to ensure accuracy of the information provided in this </t>
  </si>
  <si>
    <t>http://www.momentumenergy.com.au/docs/default-source/price-sheets/sa-smilepower-resi-sapower.pdf?sfvrsn=42</t>
  </si>
  <si>
    <t>Alinta Energy</t>
    <phoneticPr fontId="6" type="noConversion"/>
  </si>
  <si>
    <t>Fair Deal</t>
    <phoneticPr fontId="6" type="noConversion"/>
  </si>
  <si>
    <t>quarter</t>
    <phoneticPr fontId="6" type="noConversion"/>
  </si>
  <si>
    <t>https://www.alintaenergy.com.au/Alinta/media/EnergyPlans/SA-ELEC-PDS-FD25-JUL2017.pdf</t>
  </si>
  <si>
    <t>SA</t>
    <phoneticPr fontId="6" type="noConversion"/>
  </si>
  <si>
    <t>SA Power</t>
    <phoneticPr fontId="6" type="noConversion"/>
  </si>
  <si>
    <t>Controlled</t>
    <phoneticPr fontId="6" type="noConversion"/>
  </si>
  <si>
    <t>y</t>
    <phoneticPr fontId="6" type="noConversion"/>
  </si>
  <si>
    <t>n</t>
    <phoneticPr fontId="6" type="noConversion"/>
  </si>
  <si>
    <t>SA-Controlled</t>
    <phoneticPr fontId="6" type="noConversion"/>
  </si>
  <si>
    <t>n</t>
    <phoneticPr fontId="6" type="noConversion"/>
  </si>
  <si>
    <t>N</t>
    <phoneticPr fontId="6" type="noConversion"/>
  </si>
  <si>
    <t>Monthly e-billing only</t>
    <phoneticPr fontId="6" type="noConversion"/>
  </si>
  <si>
    <t>Monthly e-billing only</t>
    <phoneticPr fontId="6" type="noConversion"/>
  </si>
  <si>
    <t xml:space="preserve">St Vincent de Paul Society, South Australian Tariff-Tracking Project, Workbook 3: Electricity Market Offers </t>
    <phoneticPr fontId="6" type="noConversion"/>
  </si>
  <si>
    <t>Other features</t>
  </si>
  <si>
    <t>Origin</t>
  </si>
  <si>
    <t>AGL</t>
  </si>
  <si>
    <t>TRU</t>
  </si>
  <si>
    <t>Simply</t>
  </si>
  <si>
    <t>2 years</t>
    <phoneticPr fontId="6" type="noConversion"/>
  </si>
  <si>
    <t>Discount on usage</t>
  </si>
  <si>
    <t>no</t>
  </si>
  <si>
    <t>proportions (%) can be adjusted. All red cells contain variables for the user to insert</t>
  </si>
  <si>
    <t>Bill impacts July 2013</t>
    <phoneticPr fontId="6" type="noConversion"/>
  </si>
  <si>
    <t>c/kWh Summer Peak 2nd block</t>
    <phoneticPr fontId="6" type="noConversion"/>
  </si>
  <si>
    <t>7% off usage</t>
    <phoneticPr fontId="6"/>
  </si>
  <si>
    <t>NOTE: New tariffs took effect on 1 February 2013 (post deregulation)</t>
    <phoneticPr fontId="6" type="noConversion"/>
  </si>
  <si>
    <t>14% off usage</t>
    <phoneticPr fontId="6"/>
  </si>
  <si>
    <t>8% off usage</t>
    <phoneticPr fontId="6" type="noConversion"/>
  </si>
  <si>
    <t>Annual bill</t>
  </si>
  <si>
    <t xml:space="preserve">Controlled </t>
  </si>
  <si>
    <t>Load</t>
  </si>
  <si>
    <t xml:space="preserve">workbook, it is suitable for use only as a research and advocacy tool. We do not accept any legal responsibility for errors or inaccuracies. </t>
  </si>
  <si>
    <t>c/kWh Winter Off-peak 1st block</t>
    <phoneticPr fontId="6" type="noConversion"/>
  </si>
  <si>
    <t>Number of off-peak winter bills</t>
  </si>
  <si>
    <t>Simply</t>
    <phoneticPr fontId="6" type="noConversion"/>
  </si>
  <si>
    <t>Ealy Termination Fee</t>
  </si>
  <si>
    <t>c/kWh Summer Peak 3rd block</t>
    <phoneticPr fontId="6" type="noConversion"/>
  </si>
  <si>
    <t xml:space="preserve">this workbook or for any loss, economic or otherwise, suffered as a result of reliance on the information presented in this workbook. If you </t>
    <phoneticPr fontId="0" type="noConversion"/>
  </si>
  <si>
    <t>14% off usage</t>
    <phoneticPr fontId="6"/>
  </si>
  <si>
    <t>8% off usage</t>
    <phoneticPr fontId="6" type="noConversion"/>
  </si>
  <si>
    <t>4% off usage</t>
    <phoneticPr fontId="6"/>
  </si>
  <si>
    <t xml:space="preserve">St Vincent de Paul Society, South Australian Tariff-Tracking Project, Workbook 3: Electricity Market Offers </t>
    <phoneticPr fontId="6" type="noConversion"/>
  </si>
  <si>
    <t>c/kWh Summer Peak 1st block</t>
    <phoneticPr fontId="6" type="noConversion"/>
  </si>
  <si>
    <t>c/kWh Summer Peak 1st block</t>
    <phoneticPr fontId="6" type="noConversion"/>
  </si>
  <si>
    <t>South Australian Tariff-Tracking Project, St Vincent de Paul Society</t>
    <phoneticPr fontId="8" type="noConversion"/>
  </si>
  <si>
    <t>Fixed term</t>
  </si>
  <si>
    <t>https://www.originenergy.com.au/content/dam/origin/residential/docs/energy-price-fact-sheets/sa/1July2017/SA_Electricity_Residential_SA%20Power%20Networks_OriginSaver14.PDF</t>
  </si>
  <si>
    <t>Powerdirect</t>
    <phoneticPr fontId="6" type="noConversion"/>
  </si>
  <si>
    <t>http://www.powerdirect.com.au/src/</t>
  </si>
  <si>
    <t>Red Energy</t>
    <phoneticPr fontId="6" type="noConversion"/>
  </si>
  <si>
    <t>No exit fee saver</t>
    <phoneticPr fontId="6" type="noConversion"/>
  </si>
  <si>
    <t>net</t>
  </si>
  <si>
    <t>https://www.redenergy.com.au/docs/sa_price_fact_sheets/Red-Energy-SA-Easy-Saver-No-Exit-Fee-Residential-SA-Power.pdf</t>
  </si>
  <si>
    <t>Winter Off-peak 2nd block</t>
    <phoneticPr fontId="6" type="noConversion"/>
  </si>
  <si>
    <t>Winter Off-peak 3rd block</t>
    <phoneticPr fontId="6" type="noConversion"/>
  </si>
  <si>
    <t>Pay on time discount</t>
  </si>
  <si>
    <t>c/kWh Summer Peak 3rd block</t>
    <phoneticPr fontId="6" type="noConversion"/>
  </si>
  <si>
    <t>7% off usage</t>
    <phoneticPr fontId="6" type="noConversion"/>
  </si>
  <si>
    <t>Unknown</t>
    <phoneticPr fontId="6" type="noConversion"/>
  </si>
  <si>
    <t>no</t>
    <phoneticPr fontId="6" type="noConversion"/>
  </si>
  <si>
    <t>2) Controlled load (also known as dedicated circuit and controlled off-peak). Typically used for hot water and heating where no gas is available.</t>
  </si>
  <si>
    <t>This workbook contains:</t>
  </si>
  <si>
    <t>na</t>
    <phoneticPr fontId="6" type="noConversion"/>
  </si>
  <si>
    <t>Red</t>
    <phoneticPr fontId="6" type="noConversion"/>
  </si>
  <si>
    <t>No ETF after 12 months</t>
    <phoneticPr fontId="6" type="noConversion"/>
  </si>
  <si>
    <t>http://diamondenergy.com.au/wp-content/uploads/2017/06/DER-Energy-Price-Fact-Sheet-SA.pdf</t>
  </si>
  <si>
    <t>quarter</t>
    <phoneticPr fontId="6" type="noConversion"/>
  </si>
  <si>
    <t>y</t>
    <phoneticPr fontId="6" type="noConversion"/>
  </si>
  <si>
    <t>Dodo Power &amp; Gas</t>
    <phoneticPr fontId="6" type="noConversion"/>
  </si>
  <si>
    <t>https://connectto.dodo.com/EnergySignup2015/pricefactsheet/GetPdfDocument?filepath=PriceFactSheets%5cSaPowerNetworks%5cConsumer%5cPower%5cSA+Power+Networks+Residential+Electricity+Market+Offer+28-02-2017.pdf</t>
  </si>
  <si>
    <t>EnergyAustralia</t>
    <phoneticPr fontId="6" type="noConversion"/>
  </si>
  <si>
    <t xml:space="preserve">Flexi Saver </t>
    <phoneticPr fontId="6" type="noConversion"/>
  </si>
  <si>
    <t xml:space="preserve">$50 credit if signing up online </t>
  </si>
  <si>
    <t xml:space="preserve">The St Vincent de Paul Society and Alviss Consulting Pty Ltd do not accept liability for any action taken based on the information provided in  </t>
    <phoneticPr fontId="0" type="noConversion"/>
  </si>
  <si>
    <t>c/kWh Controlled load 1st block</t>
    <phoneticPr fontId="6" type="noConversion"/>
  </si>
  <si>
    <t>intellectual property and subject to copyright. Apart from any use permitted under the Copyright Act 1968 (Ctw),</t>
    <phoneticPr fontId="0" type="noConversion"/>
  </si>
  <si>
    <t>Other</t>
  </si>
  <si>
    <t>yes</t>
  </si>
  <si>
    <t>Fair Deal</t>
    <phoneticPr fontId="6" type="noConversion"/>
  </si>
  <si>
    <t>quarter</t>
    <phoneticPr fontId="6" type="noConversion"/>
  </si>
  <si>
    <t>SA-Single</t>
    <phoneticPr fontId="6" type="noConversion"/>
  </si>
  <si>
    <t>N</t>
    <phoneticPr fontId="6" type="noConversion"/>
  </si>
  <si>
    <t>Changed</t>
    <phoneticPr fontId="6" type="noConversion"/>
  </si>
  <si>
    <t>Controlled</t>
    <phoneticPr fontId="6" type="noConversion"/>
  </si>
  <si>
    <t>2) Monitor the impact tariff changes have on household bills and energy affordability</t>
  </si>
  <si>
    <t>Sanctuary Energy</t>
    <phoneticPr fontId="6" type="noConversion"/>
  </si>
  <si>
    <t>Negotiated contract</t>
    <phoneticPr fontId="6" type="noConversion"/>
  </si>
  <si>
    <t>Account establishment fee applies</t>
    <phoneticPr fontId="6" type="noConversion"/>
  </si>
  <si>
    <t>http://www.sanctuaryenergy.com.au/pdf/2017_Updates/PriceFactSheet_SAN370513MR.pdf</t>
  </si>
  <si>
    <t>Simply Energy</t>
    <phoneticPr fontId="6" type="noConversion"/>
  </si>
  <si>
    <t>Plus</t>
    <phoneticPr fontId="6" type="noConversion"/>
  </si>
  <si>
    <t>$25 account credit if signing up online</t>
    <phoneticPr fontId="6" type="noConversion"/>
  </si>
  <si>
    <t>Account credit</t>
    <phoneticPr fontId="6" type="noConversion"/>
  </si>
  <si>
    <t>Not available</t>
  </si>
  <si>
    <t>Account credit</t>
    <phoneticPr fontId="6" type="noConversion"/>
  </si>
  <si>
    <t>Not available</t>
    <phoneticPr fontId="6" type="noConversion"/>
  </si>
  <si>
    <t>Commander</t>
    <phoneticPr fontId="6" type="noConversion"/>
  </si>
  <si>
    <t>Market offer</t>
    <phoneticPr fontId="6" type="noConversion"/>
  </si>
  <si>
    <t>Additional discounts may be obtained through service bundling</t>
    <phoneticPr fontId="6" type="noConversion"/>
  </si>
  <si>
    <t>https://cpg.commander.com/GeneralPricingInfo/ViewFile/SA%20Power%20Networks%20Residential%20Electricity%20Market%20Offer%2001-09-2016-pdf</t>
  </si>
  <si>
    <t>Unchanged</t>
    <phoneticPr fontId="6" type="noConversion"/>
  </si>
  <si>
    <t>SA Power</t>
    <phoneticPr fontId="6" type="noConversion"/>
  </si>
  <si>
    <t>Controlled</t>
    <phoneticPr fontId="6" type="noConversion"/>
  </si>
  <si>
    <t>Diamond Energy</t>
    <phoneticPr fontId="6" type="noConversion"/>
  </si>
  <si>
    <t>Pay on time discount</t>
    <phoneticPr fontId="6" type="noConversion"/>
  </si>
  <si>
    <t>https://secure.energyaustralia.com.au/EnergyPriceFactSheets/Docs/EPFS/PriceFactSheet_ENE378454MR.pdf</t>
  </si>
  <si>
    <t>https://secure.energyaustralia.com.au/EnergyPriceFactSheets/Docs/EPFS/PriceFactSheet_ENE378455MR.pdf</t>
  </si>
  <si>
    <t>Lumo Energy</t>
    <phoneticPr fontId="6" type="noConversion"/>
  </si>
  <si>
    <t>Advantage</t>
    <phoneticPr fontId="6" type="noConversion"/>
  </si>
  <si>
    <t>Access to Lumo Ameego rewards program</t>
    <phoneticPr fontId="6" type="noConversion"/>
  </si>
  <si>
    <t>https://lumoenergy.com.au/~/media/price-change/20170601/residential/20170601_pfs_elec_sa_lumo_advantage.ashx</t>
  </si>
  <si>
    <t>Unchanged</t>
  </si>
  <si>
    <t>y</t>
    <phoneticPr fontId="6" type="noConversion"/>
  </si>
  <si>
    <t>n</t>
    <phoneticPr fontId="6" type="noConversion"/>
  </si>
  <si>
    <t>Momentum Energy</t>
    <phoneticPr fontId="6" type="noConversion"/>
  </si>
  <si>
    <t>SmilePower</t>
    <phoneticPr fontId="6" type="noConversion"/>
  </si>
  <si>
    <t>N</t>
    <phoneticPr fontId="6" type="noConversion"/>
  </si>
  <si>
    <t>Average</t>
    <phoneticPr fontId="6" type="noConversion"/>
  </si>
  <si>
    <t xml:space="preserve">This workbook is copyright. All works contained in it are St Vincent de Paul Society and Alviss Consulting’s  </t>
    <phoneticPr fontId="0" type="noConversion"/>
  </si>
  <si>
    <t>c/kWh Summer Peak 4th block</t>
    <phoneticPr fontId="6" type="noConversion"/>
  </si>
  <si>
    <t>c/kWh Summer Peak balance</t>
    <phoneticPr fontId="6" type="noConversion"/>
  </si>
  <si>
    <t>ETSA Utilities network area 2013</t>
    <phoneticPr fontId="6" type="noConversion"/>
  </si>
  <si>
    <t>Bill impacts January 2013</t>
    <phoneticPr fontId="6" type="noConversion"/>
  </si>
  <si>
    <t xml:space="preserve">relied upon. The workbook is not an appropriate substitute for obtaining an offer from an energy retailer.  The information presented </t>
  </si>
  <si>
    <t>no</t>
    <phoneticPr fontId="6" type="noConversion"/>
  </si>
  <si>
    <t>The main purpose of this workbook is to provide consumer advocates with a tool to track and analyse</t>
  </si>
  <si>
    <t>Origin Energy</t>
    <phoneticPr fontId="6" type="noConversion"/>
  </si>
  <si>
    <t>Saver</t>
    <phoneticPr fontId="6" type="noConversion"/>
  </si>
  <si>
    <r>
      <t>Report 1: South Australian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</si>
  <si>
    <r>
      <t>Report 2: South Australian</t>
    </r>
    <r>
      <rPr>
        <sz val="10"/>
        <rFont val="Arial"/>
        <family val="2"/>
      </rPr>
      <t xml:space="preserve"> Energy Prices, An update report 2012 - 2013</t>
    </r>
    <r>
      <rPr>
        <sz val="10"/>
        <rFont val="Verdana"/>
        <family val="2"/>
      </rPr>
      <t xml:space="preserve"> (August 2013)   </t>
    </r>
  </si>
  <si>
    <r>
      <t>Report 3: South Australian</t>
    </r>
    <r>
      <rPr>
        <sz val="10"/>
        <rFont val="Arial"/>
        <family val="2"/>
      </rPr>
      <t xml:space="preserve"> Energy Prices, An update report 2013 - 2014</t>
    </r>
    <r>
      <rPr>
        <sz val="10"/>
        <rFont val="Verdana"/>
        <family val="2"/>
      </rPr>
      <t xml:space="preserve"> (August 2014)   </t>
    </r>
  </si>
  <si>
    <r>
      <t>Report 4: South Australian</t>
    </r>
    <r>
      <rPr>
        <sz val="10"/>
        <rFont val="Arial"/>
        <family val="2"/>
      </rPr>
      <t xml:space="preserve"> Energy Prices, An update report 2014 - 2015</t>
    </r>
    <r>
      <rPr>
        <sz val="10"/>
        <rFont val="Verdana"/>
        <family val="2"/>
      </rPr>
      <t xml:space="preserve"> (August 2015)   </t>
    </r>
  </si>
  <si>
    <r>
      <t>Report 5: South Australian</t>
    </r>
    <r>
      <rPr>
        <sz val="10"/>
        <rFont val="Arial"/>
        <family val="2"/>
      </rPr>
      <t xml:space="preserve"> Energy Prices, An update report 2015 - 2016</t>
    </r>
    <r>
      <rPr>
        <sz val="10"/>
        <rFont val="Verdana"/>
        <family val="2"/>
      </rPr>
      <t xml:space="preserve"> (August 2016)   </t>
    </r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</si>
  <si>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</si>
  <si>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 xml:space="preserve">*The spreadsheets (bills) are interactive spreadsheet where quarterly consumption (kWh) and peak/off peak  </t>
  </si>
  <si>
    <t>July 2017</t>
  </si>
  <si>
    <t>July 2018</t>
  </si>
  <si>
    <t>Amaysim</t>
  </si>
  <si>
    <t>Q Energy</t>
  </si>
  <si>
    <t>Max. system capacity (kW)</t>
  </si>
  <si>
    <t>Online sign up discount off bill (%)</t>
  </si>
  <si>
    <t>Online sign up discount off usage (%)</t>
  </si>
  <si>
    <t>Membership fee ($ per year)</t>
  </si>
  <si>
    <t>Home office product? (y/blank)</t>
  </si>
  <si>
    <t>Price fix (months)</t>
  </si>
  <si>
    <t>Price fix (date)</t>
  </si>
  <si>
    <t>Agate</t>
    <phoneticPr fontId="6" type="noConversion"/>
  </si>
  <si>
    <t>SA</t>
    <phoneticPr fontId="3" type="noConversion"/>
  </si>
  <si>
    <t>SA Power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</si>
  <si>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</si>
  <si>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</si>
  <si>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</si>
  <si>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Commander</t>
    <phoneticPr fontId="3" type="noConversion"/>
  </si>
  <si>
    <t>Market offer</t>
    <phoneticPr fontId="3" type="noConversion"/>
  </si>
  <si>
    <t>quarter</t>
    <phoneticPr fontId="3" type="noConversion"/>
  </si>
  <si>
    <t>SA-Single</t>
    <phoneticPr fontId="3" type="noConversion"/>
  </si>
  <si>
    <t>Additional discounts may be obtained through service bundling</t>
    <phoneticPr fontId="3" type="noConversion"/>
  </si>
  <si>
    <t>N</t>
    <phoneticPr fontId="3" type="noConversion"/>
  </si>
  <si>
    <t>https://cpg.commander.com/GeneralPricingInfo/ViewFile/SA%20Power%20Networks%20Residential%20Electricity%20Market%20Offer%2010-08-2017-pdf</t>
  </si>
  <si>
    <t>Dodo Power &amp; Gas</t>
    <phoneticPr fontId="3" type="noConversion"/>
  </si>
  <si>
    <t>o</t>
    <phoneticPr fontId="3" type="noConversion"/>
  </si>
  <si>
    <t>o</t>
  </si>
  <si>
    <t>Momentum Energy</t>
    <phoneticPr fontId="3" type="noConversion"/>
  </si>
  <si>
    <t>SmilePower</t>
    <phoneticPr fontId="3" type="noConversion"/>
  </si>
  <si>
    <t>Red Energy</t>
    <phoneticPr fontId="3" type="noConversion"/>
  </si>
  <si>
    <t>No exit fee saver</t>
    <phoneticPr fontId="3" type="noConversion"/>
  </si>
  <si>
    <t>Electricity 4</t>
  </si>
  <si>
    <t>Monthly billing.</t>
  </si>
  <si>
    <t>Flexi Saver Home</t>
  </si>
  <si>
    <t>Not available</t>
    <phoneticPr fontId="7" type="noConversion"/>
  </si>
  <si>
    <t>Controlled</t>
    <phoneticPr fontId="3" type="noConversion"/>
  </si>
  <si>
    <t>SA-Controlled</t>
    <phoneticPr fontId="3" type="noConversion"/>
  </si>
  <si>
    <t>Anytime Saver</t>
    <phoneticPr fontId="6" type="noConversion"/>
  </si>
  <si>
    <t>https://www.redenergy.com.au/docs/sa_price_fact_sheets/Red-Energy-SA-Easy-Saver-No-Exit-Fee-Residential-SA-Power-Networks.pdf</t>
  </si>
  <si>
    <t>SA</t>
    <phoneticPr fontId="7" type="noConversion"/>
  </si>
  <si>
    <t>SA Power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</si>
  <si>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</si>
  <si>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</si>
  <si>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</si>
  <si>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Simply Energy</t>
    <phoneticPr fontId="7" type="noConversion"/>
  </si>
  <si>
    <t>quarter</t>
    <phoneticPr fontId="7" type="noConversion"/>
  </si>
  <si>
    <t>SA-Single</t>
    <phoneticPr fontId="7" type="noConversion"/>
  </si>
  <si>
    <t xml:space="preserve">$50 welcome credit for customers that sign up online </t>
  </si>
  <si>
    <t>Controlled</t>
    <phoneticPr fontId="7" type="noConversion"/>
  </si>
  <si>
    <t>SA-Controlled</t>
    <phoneticPr fontId="7" type="noConversion"/>
  </si>
  <si>
    <t>SA</t>
    <phoneticPr fontId="0" type="noConversion"/>
  </si>
  <si>
    <t>SA Power Networks</t>
  </si>
  <si>
    <t>Controlled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</si>
  <si>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</si>
  <si>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</si>
  <si>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</si>
  <si>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Smart Saver</t>
  </si>
  <si>
    <t>Alinta Energy</t>
    <phoneticPr fontId="0" type="noConversion"/>
  </si>
  <si>
    <t>No fuss</t>
  </si>
  <si>
    <t>quarter</t>
    <phoneticPr fontId="0" type="noConversion"/>
  </si>
  <si>
    <t>y</t>
  </si>
  <si>
    <t>n</t>
  </si>
  <si>
    <t>Click Energy</t>
    <phoneticPr fontId="0" type="noConversion"/>
  </si>
  <si>
    <t>Banksia</t>
  </si>
  <si>
    <t>Commander</t>
    <phoneticPr fontId="0" type="noConversion"/>
  </si>
  <si>
    <t>Market offer</t>
    <phoneticPr fontId="0" type="noConversion"/>
  </si>
  <si>
    <t>Diamond Energy</t>
    <phoneticPr fontId="7" type="noConversion"/>
  </si>
  <si>
    <t>Pay on time discount</t>
    <phoneticPr fontId="7" type="noConversion"/>
  </si>
  <si>
    <t>SA</t>
    <phoneticPr fontId="4" type="noConversion"/>
  </si>
  <si>
    <t>Controlled</t>
    <phoneticPr fontId="4" type="noConversion"/>
  </si>
  <si>
    <t>y</t>
    <phoneticPr fontId="4" type="noConversion"/>
  </si>
  <si>
    <t>n</t>
    <phoneticPr fontId="4" type="noConversion"/>
  </si>
  <si>
    <t>Dodo Power &amp; Gas</t>
    <phoneticPr fontId="4" type="noConversion"/>
  </si>
  <si>
    <t>Market offer</t>
    <phoneticPr fontId="4" type="noConversion"/>
  </si>
  <si>
    <t>quarter</t>
    <phoneticPr fontId="4" type="noConversion"/>
  </si>
  <si>
    <t>EnergyAustralia</t>
    <phoneticPr fontId="7" type="noConversion"/>
  </si>
  <si>
    <t>Total Plan Home</t>
  </si>
  <si>
    <t>SA</t>
    <phoneticPr fontId="5" type="noConversion"/>
  </si>
  <si>
    <t>Controlled</t>
    <phoneticPr fontId="5" type="noConversion"/>
  </si>
  <si>
    <t>y</t>
    <phoneticPr fontId="5" type="noConversion"/>
  </si>
  <si>
    <t>n</t>
    <phoneticPr fontId="5" type="noConversion"/>
  </si>
  <si>
    <t>Lumo Energy</t>
    <phoneticPr fontId="5" type="noConversion"/>
  </si>
  <si>
    <t>Basic</t>
  </si>
  <si>
    <t>SA</t>
    <phoneticPr fontId="8" type="noConversion"/>
  </si>
  <si>
    <t>Controlled</t>
    <phoneticPr fontId="8" type="noConversion"/>
  </si>
  <si>
    <t>y</t>
    <phoneticPr fontId="8" type="noConversion"/>
  </si>
  <si>
    <t>n</t>
    <phoneticPr fontId="8" type="noConversion"/>
  </si>
  <si>
    <t>Momentum Energy</t>
    <phoneticPr fontId="8" type="noConversion"/>
  </si>
  <si>
    <t>SmilePower Flexi</t>
    <phoneticPr fontId="8" type="noConversion"/>
  </si>
  <si>
    <t>quarter</t>
    <phoneticPr fontId="8" type="noConversion"/>
  </si>
  <si>
    <t>Origin Energy</t>
    <phoneticPr fontId="0" type="noConversion"/>
  </si>
  <si>
    <t>Flexi</t>
  </si>
  <si>
    <t>Powerdirect</t>
    <phoneticPr fontId="7" type="noConversion"/>
  </si>
  <si>
    <t>Discount Saver</t>
  </si>
  <si>
    <t>Red Energy</t>
    <phoneticPr fontId="4" type="noConversion"/>
  </si>
  <si>
    <t>No exit fee saver</t>
    <phoneticPr fontId="4" type="noConversion"/>
  </si>
  <si>
    <t>Energy Locals</t>
  </si>
  <si>
    <t>Simple Saver</t>
  </si>
  <si>
    <t>Simply Energy</t>
    <phoneticPr fontId="4" type="noConversion"/>
  </si>
  <si>
    <t>Plus</t>
    <phoneticPr fontId="4" type="noConversion"/>
  </si>
  <si>
    <t>nso</t>
    <phoneticPr fontId="0" type="noConversion"/>
  </si>
  <si>
    <t>Electricity as you go</t>
  </si>
  <si>
    <t>Powershop</t>
  </si>
  <si>
    <t>Shopper with Mega Pack</t>
  </si>
  <si>
    <t>Single</t>
    <phoneticPr fontId="0" type="noConversion"/>
  </si>
  <si>
    <t>Single</t>
    <phoneticPr fontId="4" type="noConversion"/>
  </si>
  <si>
    <t>Single</t>
    <phoneticPr fontId="5" type="noConversion"/>
  </si>
  <si>
    <t>Single</t>
    <phoneticPr fontId="8" type="noConversion"/>
  </si>
  <si>
    <t>Amber Electric</t>
  </si>
  <si>
    <t>Market offer</t>
  </si>
  <si>
    <t>nso</t>
  </si>
  <si>
    <t>Powerclub</t>
    <phoneticPr fontId="7" type="noConversion"/>
  </si>
  <si>
    <t>Powerbank Home</t>
  </si>
  <si>
    <t xml:space="preserve"> </t>
  </si>
  <si>
    <t>SA-Single</t>
    <phoneticPr fontId="0" type="noConversion"/>
  </si>
  <si>
    <t>o</t>
    <phoneticPr fontId="0" type="noConversion"/>
  </si>
  <si>
    <t>N</t>
    <phoneticPr fontId="0" type="noConversion"/>
  </si>
  <si>
    <t>New</t>
  </si>
  <si>
    <t>$50 gift card when switching to Click Energy</t>
  </si>
  <si>
    <t>Gift card</t>
  </si>
  <si>
    <t>https://www.energymadeeasy.gov.au/offer/936463?postcode=5000</t>
  </si>
  <si>
    <t>Bundling options to receive further discounts</t>
    <phoneticPr fontId="0" type="noConversion"/>
  </si>
  <si>
    <t>https://www.energymadeeasy.gov.au/offer/930746?postcode=5000</t>
  </si>
  <si>
    <t>N</t>
    <phoneticPr fontId="7" type="noConversion"/>
  </si>
  <si>
    <t>SA-Single</t>
    <phoneticPr fontId="4" type="noConversion"/>
  </si>
  <si>
    <t>o</t>
    <phoneticPr fontId="4" type="noConversion"/>
  </si>
  <si>
    <t>N</t>
    <phoneticPr fontId="4" type="noConversion"/>
  </si>
  <si>
    <t>https://www.energymadeeasy.gov.au/offer/928931?postcode=5000</t>
  </si>
  <si>
    <t>o</t>
    <phoneticPr fontId="7" type="noConversion"/>
  </si>
  <si>
    <t>https://www.energymadeeasy.gov.au/offer/900837?utm_source=EnergyAustralia&amp;utm_campaign=bpi-retailer&amp;utm_medium=retailer&amp;postcode=5000</t>
  </si>
  <si>
    <t>SA-Single</t>
    <phoneticPr fontId="5" type="noConversion"/>
  </si>
  <si>
    <t xml:space="preserve">$50 credit if signing up online. </t>
  </si>
  <si>
    <t>N</t>
    <phoneticPr fontId="5" type="noConversion"/>
  </si>
  <si>
    <t>Monthly billing.</t>
    <phoneticPr fontId="5" type="noConversion"/>
  </si>
  <si>
    <t>https://www.energymadeeasy.gov.au/offer/930474/print?postcode=5000&amp;fuelType=E&amp;distributor-E=42</t>
  </si>
  <si>
    <t>SA-Single</t>
    <phoneticPr fontId="8" type="noConversion"/>
  </si>
  <si>
    <t>N</t>
    <phoneticPr fontId="8" type="noConversion"/>
  </si>
  <si>
    <t>Monthly billing</t>
  </si>
  <si>
    <t>https://www.energymadeeasy.gov.au/offer/911807?postcode=5000</t>
  </si>
  <si>
    <t>https://www.energymadeeasy.gov.au/offer/929734/print?postcode=5000&amp;fuelType=E&amp;distributor-E=42</t>
  </si>
  <si>
    <t>https://www.energymadeeasy.gov.au/offer/687975?postcode=5000</t>
  </si>
  <si>
    <t xml:space="preserve">$30 account anniversary credit </t>
  </si>
  <si>
    <t>Account credit</t>
    <phoneticPr fontId="4" type="noConversion"/>
  </si>
  <si>
    <t>Not available</t>
    <phoneticPr fontId="4" type="noConversion"/>
  </si>
  <si>
    <t>https://www.energymadeeasy.gov.au/offer/923056?utm_source=amaysim+Energy&amp;utm_campaign=bpi-retailer&amp;utm_medium=retailer&amp;postcode=5000</t>
  </si>
  <si>
    <t>Available to smart meter customers only. Customer will be charged wholesale rates + network charges but monthly average will not exceed stipulated rates. Monthly billing.</t>
  </si>
  <si>
    <t>https://uploads-ssl.webflow.com/5be398fec98f64eddec9df1c/5be398fec98f64c42cc9df5f_LCL711480MR_CZae.pdf</t>
  </si>
  <si>
    <t>o</t>
    <phoneticPr fontId="5" type="noConversion"/>
  </si>
  <si>
    <t>To qualify for Pay on Time discount you must log in to Powershop at least once a month and buy enough of the Power Saver to cover your usage for your Account Review period. Monthly online payment</t>
  </si>
  <si>
    <t>https://s3-ap-southeast-2.amazonaws.com/psau-wordpress/wp-content/uploads/2019/06/30212117/PSH-SAPN-90701-MR.pdf</t>
  </si>
  <si>
    <t>A refundable contribution to your powerbank of $40 per 1,000 kWh of annual consumption must be paid. Monthly billing.</t>
  </si>
  <si>
    <t>https://www.energymadeeasy.gov.au/offer/959369?postcode=5000</t>
  </si>
  <si>
    <t>SA-Controlled</t>
    <phoneticPr fontId="0" type="noConversion"/>
  </si>
  <si>
    <t>https://www.energymadeeasy.gov.au/offer/936472?postcode=5000</t>
  </si>
  <si>
    <t>https://www.energymadeeasy.gov.au/offer/930745?postcode=5000</t>
  </si>
  <si>
    <t>SA-Controlled</t>
    <phoneticPr fontId="4" type="noConversion"/>
  </si>
  <si>
    <t>https://www.energymadeeasy.gov.au/offer/928930?postcode=5000</t>
  </si>
  <si>
    <t>https://www.energymadeeasy.gov.au/offer/900840?utm_source=EnergyAustralia&amp;utm_campaign=bpi-retailer&amp;utm_medium=retailer&amp;postcode=5000</t>
  </si>
  <si>
    <t>SA-Controlled</t>
    <phoneticPr fontId="5" type="noConversion"/>
  </si>
  <si>
    <t>https://www.energymadeeasy.gov.au/offer/930473/print?postcode=5000&amp;fuelType=E&amp;distributor-E=42</t>
  </si>
  <si>
    <t>SA-Controlled</t>
    <phoneticPr fontId="8" type="noConversion"/>
  </si>
  <si>
    <t>https://www.energymadeeasy.gov.au/offer/911806?postcode=5000</t>
  </si>
  <si>
    <t>https://www.energymadeeasy.gov.au/offer/929733/print?postcode=5000&amp;fuelType=E&amp;distributor-E=42</t>
  </si>
  <si>
    <t>https://www.energymadeeasy.gov.au/offer/687976?postcode=5000</t>
  </si>
  <si>
    <t>Not available</t>
    <phoneticPr fontId="0" type="noConversion"/>
  </si>
  <si>
    <t>Total Plan</t>
  </si>
  <si>
    <t>July 2019</t>
  </si>
  <si>
    <t>Powerclub</t>
  </si>
  <si>
    <t>Timestamp</t>
    <phoneticPr fontId="5" type="noConversion"/>
  </si>
  <si>
    <t>State</t>
    <phoneticPr fontId="5" type="noConversion"/>
  </si>
  <si>
    <t>DB</t>
    <phoneticPr fontId="5" type="noConversion"/>
  </si>
  <si>
    <t>DB Zone</t>
    <phoneticPr fontId="5" type="noConversion"/>
  </si>
  <si>
    <t>Meter type</t>
    <phoneticPr fontId="5" type="noConversion"/>
  </si>
  <si>
    <t>Effective from</t>
    <phoneticPr fontId="5" type="noConversion"/>
  </si>
  <si>
    <t>Solar (y/n)</t>
    <phoneticPr fontId="5" type="noConversion"/>
  </si>
  <si>
    <t>Restricted eligibility? (n/so/nso)</t>
    <phoneticPr fontId="5" type="noConversion"/>
  </si>
  <si>
    <t>Solar meter fee (c/day)</t>
    <phoneticPr fontId="5" type="noConversion"/>
  </si>
  <si>
    <t>Name</t>
    <phoneticPr fontId="5" type="noConversion"/>
  </si>
  <si>
    <t>Single or peak rate (c/kWh)</t>
    <phoneticPr fontId="5" type="noConversion"/>
  </si>
  <si>
    <t>Peak 1st step (kWh)</t>
    <phoneticPr fontId="5" type="noConversion"/>
  </si>
  <si>
    <t>Peak 2nd rate (c/kWh)</t>
    <phoneticPr fontId="5" type="noConversion"/>
  </si>
  <si>
    <t>Peak 2nd step (kWh)</t>
    <phoneticPr fontId="5" type="noConversion"/>
  </si>
  <si>
    <t>Peak 3rd rate (c/kWh)</t>
    <phoneticPr fontId="5" type="noConversion"/>
  </si>
  <si>
    <t>Peak 3rd step (kWh)</t>
    <phoneticPr fontId="5" type="noConversion"/>
  </si>
  <si>
    <t>Peak 4th rate (c/kWh)</t>
    <phoneticPr fontId="5" type="noConversion"/>
  </si>
  <si>
    <t>Seasonal peak: off-peak rate (c/kWh)</t>
    <phoneticPr fontId="5" type="noConversion"/>
  </si>
  <si>
    <t>Off-peak rate (c/kWh)</t>
    <phoneticPr fontId="5" type="noConversion"/>
  </si>
  <si>
    <t>Off peak 1st step (kWh)</t>
    <phoneticPr fontId="5" type="noConversion"/>
  </si>
  <si>
    <t>Off peak 2nd rate (c/kWh)</t>
    <phoneticPr fontId="5" type="noConversion"/>
  </si>
  <si>
    <t>Off peak 2nd step (kWh)</t>
    <phoneticPr fontId="5" type="noConversion"/>
  </si>
  <si>
    <t>Off peak 3rd rate (c/kWh)</t>
    <phoneticPr fontId="5" type="noConversion"/>
  </si>
  <si>
    <t>Off peak 3rd step (kWh)</t>
    <phoneticPr fontId="5" type="noConversion"/>
  </si>
  <si>
    <t>Off peak 4th rate (c/kWh)</t>
    <phoneticPr fontId="5" type="noConversion"/>
  </si>
  <si>
    <t>Seasonal Off-peak: Off-peak rate (c/kWh)</t>
    <phoneticPr fontId="5" type="noConversion"/>
  </si>
  <si>
    <t>Cont' off peak</t>
    <phoneticPr fontId="5" type="noConversion"/>
  </si>
  <si>
    <t>Cont' off peak 1st step (kWh)</t>
    <phoneticPr fontId="5" type="noConversion"/>
  </si>
  <si>
    <t>Cont' off peak 2nd rate</t>
    <phoneticPr fontId="5" type="noConversion"/>
  </si>
  <si>
    <t>Shoulder (c/kWh)</t>
    <phoneticPr fontId="5" type="noConversion"/>
  </si>
  <si>
    <t>Split week tariff: Shoulder - weekdays (c/kWh)</t>
    <phoneticPr fontId="5" type="noConversion"/>
  </si>
  <si>
    <t>Split week tariff: Shoulder - weekends (c/kWh)</t>
    <phoneticPr fontId="5" type="noConversion"/>
  </si>
  <si>
    <t>Seasonal shoulder: off peak season rate (c/kWh)</t>
    <phoneticPr fontId="5" type="noConversion"/>
  </si>
  <si>
    <t>Minimum monthly demand charged (kW)</t>
    <phoneticPr fontId="3" type="noConversion"/>
  </si>
  <si>
    <t>Peak or single Capacity charge  (c/kVA/day)</t>
  </si>
  <si>
    <t>Off-peak Capacity charge  (c/kVA/day)</t>
  </si>
  <si>
    <t>Time structure Code</t>
    <phoneticPr fontId="5" type="noConversion"/>
  </si>
  <si>
    <t>Seasonal? (y/n)</t>
    <phoneticPr fontId="5" type="noConversion"/>
  </si>
  <si>
    <t>Summer or winter peak (s/w)</t>
    <phoneticPr fontId="5" type="noConversion"/>
  </si>
  <si>
    <t>Number of peak months</t>
    <phoneticPr fontId="5" type="noConversion"/>
  </si>
  <si>
    <t>FIT (c/kWh)</t>
    <phoneticPr fontId="3" type="noConversion"/>
  </si>
  <si>
    <t>Peak FIT (c/kWh)</t>
    <phoneticPr fontId="3" type="noConversion"/>
  </si>
  <si>
    <t>Off-peak FIT (c/kWh)</t>
    <phoneticPr fontId="3" type="noConversion"/>
  </si>
  <si>
    <t>Shoulder FIT (c/kWh)</t>
    <phoneticPr fontId="3" type="noConversion"/>
  </si>
  <si>
    <t>Green (y/n/o)</t>
    <phoneticPr fontId="5" type="noConversion"/>
  </si>
  <si>
    <t>Green note</t>
    <phoneticPr fontId="5" type="noConversion"/>
  </si>
  <si>
    <t>Guaranteed discount off bill (%)</t>
    <phoneticPr fontId="5" type="noConversion"/>
  </si>
  <si>
    <t>Guaranteed discount off usage (%)</t>
    <phoneticPr fontId="5" type="noConversion"/>
  </si>
  <si>
    <t>POT discount off bill (%)</t>
    <phoneticPr fontId="5" type="noConversion"/>
  </si>
  <si>
    <t>POT discount off usage (%)</t>
    <phoneticPr fontId="5" type="noConversion"/>
  </si>
  <si>
    <t>DD discount off bill (%)</t>
    <phoneticPr fontId="5" type="noConversion"/>
  </si>
  <si>
    <t>DD discount off usage (%)</t>
    <phoneticPr fontId="5" type="noConversion"/>
  </si>
  <si>
    <t>E-bill discount off bill (%)</t>
    <phoneticPr fontId="5" type="noConversion"/>
  </si>
  <si>
    <t>E-bill discount off usage (%)</t>
    <phoneticPr fontId="5" type="noConversion"/>
  </si>
  <si>
    <t>Dual Fuel discount off bill (%)</t>
    <phoneticPr fontId="5" type="noConversion"/>
  </si>
  <si>
    <t>Dual Fuel discount off usage (%)</t>
    <phoneticPr fontId="5" type="noConversion"/>
  </si>
  <si>
    <t>Contract length (months)</t>
    <phoneticPr fontId="5" type="noConversion"/>
  </si>
  <si>
    <t>ETF (Y/N)</t>
    <phoneticPr fontId="5" type="noConversion"/>
  </si>
  <si>
    <t>Limited benefit period? (months)</t>
    <phoneticPr fontId="5" type="noConversion"/>
  </si>
  <si>
    <t>Other Direct Debit Incentive (y/n)</t>
    <phoneticPr fontId="5" type="noConversion"/>
  </si>
  <si>
    <t>Other incentives</t>
    <phoneticPr fontId="5" type="noConversion"/>
  </si>
  <si>
    <t>Incentive type</t>
    <phoneticPr fontId="5" type="noConversion"/>
  </si>
  <si>
    <t>Approx. incentive value ($)</t>
    <phoneticPr fontId="5" type="noConversion"/>
  </si>
  <si>
    <t>Dual fuel condition? (Y/N)</t>
    <phoneticPr fontId="5" type="noConversion"/>
  </si>
  <si>
    <t>Mandatory shortened billing cycle (months)</t>
  </si>
  <si>
    <t>Comments</t>
    <phoneticPr fontId="5" type="noConversion"/>
  </si>
  <si>
    <t>Source</t>
    <phoneticPr fontId="5" type="noConversion"/>
  </si>
  <si>
    <t>Update status</t>
    <phoneticPr fontId="5" type="noConversion"/>
  </si>
  <si>
    <t>St Vincent de Paul Society, SA Tariff-Tracking Project, Workbook 3: Electricity Market Offers</t>
    <phoneticPr fontId="5" type="noConversion"/>
  </si>
  <si>
    <t>SOUTH AUSTRALIA, SA POWER NETWORK</t>
    <phoneticPr fontId="5" type="noConversion"/>
  </si>
  <si>
    <t>Single rate</t>
    <phoneticPr fontId="5" type="noConversion"/>
  </si>
  <si>
    <t>Insert quartely consumption (kWh):</t>
    <phoneticPr fontId="5" type="noConversion"/>
  </si>
  <si>
    <t>Peak</t>
    <phoneticPr fontId="5" type="noConversion"/>
  </si>
  <si>
    <t>Peak 2nd block</t>
    <phoneticPr fontId="5" type="noConversion"/>
  </si>
  <si>
    <t>Peak 3rd block</t>
    <phoneticPr fontId="5" type="noConversion"/>
  </si>
  <si>
    <t>Peak 4th block</t>
    <phoneticPr fontId="5" type="noConversion"/>
  </si>
  <si>
    <t>Peak balance</t>
    <phoneticPr fontId="5" type="noConversion"/>
  </si>
  <si>
    <t>Annual consumption only</t>
    <phoneticPr fontId="5" type="noConversion"/>
  </si>
  <si>
    <t>Annual bill (incl GST)</t>
    <phoneticPr fontId="5" type="noConversion"/>
  </si>
  <si>
    <t>Type of discount</t>
  </si>
  <si>
    <t>Discount is inclusive or exclusive of GST</t>
  </si>
  <si>
    <t>Annual bill incl guaranteed discounts (excl GST)</t>
    <phoneticPr fontId="5" type="noConversion"/>
  </si>
  <si>
    <t>Annual bill incl conditional discounts (excl GST)</t>
    <phoneticPr fontId="5" type="noConversion"/>
  </si>
  <si>
    <t>Annual bill incl guaranteed discounts (incl GST)</t>
    <phoneticPr fontId="5" type="noConversion"/>
  </si>
  <si>
    <t>Annual bill incl conditional discounts (incl GST)</t>
    <phoneticPr fontId="5" type="noConversion"/>
  </si>
  <si>
    <t>Controlled load</t>
    <phoneticPr fontId="5" type="noConversion"/>
  </si>
  <si>
    <t>Controlled Off-peak</t>
    <phoneticPr fontId="5" type="noConversion"/>
  </si>
  <si>
    <t>July 2020</t>
  </si>
  <si>
    <t>SA</t>
  </si>
  <si>
    <t>Single</t>
  </si>
  <si>
    <t>Essentials Saver</t>
  </si>
  <si>
    <t xml:space="preserve">  </t>
  </si>
  <si>
    <t>SA-Single</t>
  </si>
  <si>
    <t>N</t>
  </si>
  <si>
    <t>https://www.energymadeeasy.gov.au/plan?id=AGL15411MRE&amp;postcode=5000</t>
  </si>
  <si>
    <t>quarter</t>
  </si>
  <si>
    <t>https://www.energymadeeasy.gov.au/plan?id=ALI13129MRE&amp;postcode=5000</t>
  </si>
  <si>
    <t>Post-paid Electricity</t>
  </si>
  <si>
    <t>https://www.energymadeeasy.gov.au/plan?id=AMA62385MRE&amp;utm_source=amaysim%20Energy&amp;utm_campaign=bpi-retailer&amp;utm_medium=retailer&amp;postcode=5000</t>
  </si>
  <si>
    <t>Amber 10</t>
  </si>
  <si>
    <t>Available to smart meter customers only. Direct debit.</t>
  </si>
  <si>
    <t>https://www.energymadeeasy.gov.au/plan?id=AMB91383MRE2&amp;postcode=5000</t>
  </si>
  <si>
    <t>Flora</t>
  </si>
  <si>
    <t>Billed monthly, either actual meter reads, or, an instalment amount of $130 (or as otherwise agreed) which is then reconciled against  actual or estimated usage every quarter.</t>
  </si>
  <si>
    <t>https://www.energymadeeasy.gov.au/plan?id=CLI65402MRE&amp;postcode=5000</t>
  </si>
  <si>
    <t>https://www.energymadeeasy.gov.au/plan?id=M2E13259MRE&amp;postcode=5000</t>
  </si>
  <si>
    <t>DC Power Co</t>
  </si>
  <si>
    <t>https://www.dcpowerco.com.au/wp-content/uploads/2020/02/DCP-AS-200214-DR-Updated-1.pdf</t>
  </si>
  <si>
    <t>https://www.energymadeeasy.gov.au/plan?id=DIA34657MRE&amp;postcode=5000</t>
  </si>
  <si>
    <t>Discover Energy</t>
  </si>
  <si>
    <t>Economy Saver</t>
  </si>
  <si>
    <t>Online sign-up via Discover Energy website only and new customer of Discover Energy</t>
  </si>
  <si>
    <t>https://www.energymadeeasy.gov.au/plan?id=DEN36266MRE2&amp;postcode=5000</t>
  </si>
  <si>
    <t>https://www.energymadeeasy.gov.au/plan?id=DOD14013MRE&amp;postcode=5000</t>
  </si>
  <si>
    <t>Local Saver</t>
  </si>
  <si>
    <t>https://www.energymadeeasy.gov.au/plan?id=ENE19208MRE&amp;utm_source=EnergyAustralia&amp;utm_campaign=bpi-retailer&amp;utm_medium=retailer&amp;postcode=5000</t>
  </si>
  <si>
    <t>Future X Power</t>
  </si>
  <si>
    <t>Flexi Saver</t>
  </si>
  <si>
    <t>GloSave</t>
  </si>
  <si>
    <t>Kogan Energy</t>
  </si>
  <si>
    <t>https://www.energymadeeasy.gov.au/plan?id=KOG58279MRE1&amp;postcode=5000</t>
  </si>
  <si>
    <t>Plus</t>
  </si>
  <si>
    <t>Earn Lumo Ameego shopping credits. $20 in credits when signing up and $15 in credits for each bill paid on time.</t>
  </si>
  <si>
    <t>https://www.energymadeeasy.gov.au/plan?id=LUM19148MRE&amp;postcode=5000</t>
  </si>
  <si>
    <t>SmilePower Flexi</t>
  </si>
  <si>
    <t>https://www.energymadeeasy.gov.au/plan?id=MOM58653MRE&amp;utm_source=Momentum%20Energy&amp;utm_campaign=bpi-retailer&amp;utm_medium=retailer&amp;postcode=5000</t>
  </si>
  <si>
    <t>https://www.energymadeeasy.gov.au/plan?id=ORI25015MRE&amp;postcode=5000</t>
  </si>
  <si>
    <t>OVO Energy</t>
  </si>
  <si>
    <t>The One Plan</t>
  </si>
  <si>
    <t>10% GreenPower</t>
  </si>
  <si>
    <t>3% interest paid on credit balances. Direct debit only.</t>
  </si>
  <si>
    <t>https://www.energymadeeasy.gov.au/plan?id=OVO49836MRE&amp;postcode=5000</t>
  </si>
  <si>
    <t>A refundable contribution to your powerbank of $40 per 1,000 kWh of annual consumption must be paid</t>
  </si>
  <si>
    <t>https://www.energymadeeasy.gov.au/plan?id=PWR93270MRE&amp;postcode=5000</t>
  </si>
  <si>
    <t>Rate Saver</t>
  </si>
  <si>
    <t>https://www.energymadeeasy.gov.au/plan?id=POW15455MRE&amp;postcode=5000</t>
  </si>
  <si>
    <t xml:space="preserve">To qualify for Pay on Time discount you must log in to Powershop at least once a month and buy enough of the Power Saver to cover your usage for your Account Review period. Direct debit. </t>
  </si>
  <si>
    <t>https://www.powershop.com.au/app/rates/resi/elec/sapower/resi-elec-sa-market-offer-tariff-all.pdf?v=1</t>
  </si>
  <si>
    <t>ReAmped Energy</t>
  </si>
  <si>
    <t>Living Energy Saver</t>
  </si>
  <si>
    <t>https://www.energymadeeasy.gov.au/plan?id=RED21498MRE&amp;postcode=5000</t>
  </si>
  <si>
    <t>Saver</t>
  </si>
  <si>
    <t>https://www.energymadeeasy.gov.au/plan?id=SIM61617MRE2&amp;postcode=5000</t>
  </si>
  <si>
    <t>Controlled</t>
  </si>
  <si>
    <t>SA-Controlled</t>
  </si>
  <si>
    <t>https://www.energymadeeasy.gov.au/plan?id=AGL15412MRE&amp;postcode=5000</t>
  </si>
  <si>
    <t>https://www.energymadeeasy.gov.au/plan?id=ALI13050MRE&amp;postcode=5000</t>
  </si>
  <si>
    <t>https://www.energymadeeasy.gov.au/plan?id=AMA62396MRE&amp;utm_source=amaysim%20Energy&amp;utm_campaign=bpi-retailer&amp;utm_medium=retailer&amp;postcode=5000</t>
  </si>
  <si>
    <t>https://www.energymadeeasy.gov.au/plan?id=AMB91411MRE2&amp;postcode=5000</t>
  </si>
  <si>
    <t>https://www.energymadeeasy.gov.au/plan?id=CLI65143MRE&amp;postcode=5000</t>
  </si>
  <si>
    <t>https://www.energymadeeasy.gov.au/plan?id=M2E13260MRE&amp;postcode=5000</t>
  </si>
  <si>
    <t>https://www.energymadeeasy.gov.au/plan?id=DIA34658MRE&amp;postcode=5000</t>
  </si>
  <si>
    <t>For new customers only that sign up online</t>
  </si>
  <si>
    <t>https://www.energymadeeasy.gov.au/plan?id=DEN36270MRE2&amp;postcode=5000</t>
  </si>
  <si>
    <t>https://www.energymadeeasy.gov.au/plan?id=DOD14014MRE&amp;postcode=5000</t>
  </si>
  <si>
    <t>https://www.energymadeeasy.gov.au/plan?id=LCL32910MRE&amp;postcode=5000</t>
  </si>
  <si>
    <t>https://www.energymadeeasy.gov.au/plan?id=ENE19211MRE&amp;utm_source=EnergyAustralia&amp;utm_campaign=bpi-retailer&amp;utm_medium=retailer&amp;postcode=5000</t>
  </si>
  <si>
    <t>https://www.energymadeeasy.gov.au/plan?id=KOG58280MRE1&amp;postcode=5000</t>
  </si>
  <si>
    <t>https://www.energymadeeasy.gov.au/plan?id=LUM19147MRE&amp;postcode=5000</t>
  </si>
  <si>
    <t>https://www.energymadeeasy.gov.au/plan?id=MOM58656MRE&amp;utm_source=Momentum%20Energy&amp;utm_campaign=bpi-retailer&amp;utm_medium=retailer&amp;postcode=5000</t>
  </si>
  <si>
    <t>https://www.energymadeeasy.gov.au/plan?id=ORI25016MRE&amp;postcode=5000</t>
  </si>
  <si>
    <t>https://www.energymadeeasy.gov.au/plan?id=OVO49837MRE&amp;postcode=5000</t>
  </si>
  <si>
    <t>https://www.energymadeeasy.gov.au/plan?id=POW15454MRE&amp;postcode=5000</t>
  </si>
  <si>
    <t>https://www.energymadeeasy.gov.au/plan?id=RED21497MRE&amp;postcode=5000</t>
  </si>
  <si>
    <t>https://www.energymadeeasy.gov.au/plan?id=SIM61545MRE2&amp;postcode=5000</t>
  </si>
  <si>
    <t>Renewable Saver POT</t>
  </si>
  <si>
    <t>The Solar Feed-in Tariff between 1 Jan - 31 March 2020 is 14 cents/kWh exported and all other times will be 8.51 cents/kWh exported.</t>
  </si>
  <si>
    <t>https://compare.energylocals.com.au/pdf/bpid/cz/ae/id/LCL32911MRE4</t>
  </si>
  <si>
    <t/>
  </si>
  <si>
    <t>Diamond Energy</t>
    <phoneticPr fontId="0" type="noConversion"/>
  </si>
  <si>
    <t>https://www.energymadeeasy.gov.au/plan?id=FXP103012MRE&amp;postcode=5000</t>
  </si>
  <si>
    <t>GloBird Energy</t>
    <phoneticPr fontId="0" type="noConversion"/>
  </si>
  <si>
    <t>https://www.energymadeeasy.gov.au/plan?id=GLO94487MRE&amp;postcode=5000</t>
  </si>
  <si>
    <t>https://www.energymadeeasy.gov.au/plan?id=FXP103013MRE&amp;postcode=5000</t>
  </si>
  <si>
    <t>https://www.energymadeeasy.gov.au/plan?id=GLO94488MRE&amp;postcode=5000</t>
  </si>
  <si>
    <t>Classic</t>
  </si>
  <si>
    <t>https://www.energymadeeasy.gov.au/plan?postcode=5000&amp;id=REA97348MRE</t>
  </si>
  <si>
    <t>https://www.energymadeeasy.gov.au/plan?postcode=5000&amp;id=REA97349MRE</t>
  </si>
  <si>
    <t>Quarterly bill</t>
  </si>
  <si>
    <t>Flexible Saver</t>
  </si>
  <si>
    <t>Home Deal</t>
  </si>
  <si>
    <t>https://www.energymadeeasy.gov.au/plan?id=ALI49383MRE&amp;postcode=5000</t>
  </si>
  <si>
    <t>https://diamondenergy.com.au/epfs/resi/market/sapn-2.pdf</t>
  </si>
  <si>
    <t>You may be eligible for our PowerResponse program, and by participating in events, you may be eligible for rebates which may change over time.</t>
  </si>
  <si>
    <t>Earn Lumo Reward shopping credits. $20 in credits when signing up and $15 in credits for each bill paid on time.</t>
  </si>
  <si>
    <t>https://www.energymadeeasy.gov.au/plan?id=LUM203086MRE&amp;postcode=5000</t>
  </si>
  <si>
    <t>https://www.energymadeeasy.gov.au/plan?id=MOM242968MRE&amp;utm_source=Momentum%20Energy&amp;utm_campaign=bpi-retailer&amp;utm_medium=retailer&amp;postcode=5000</t>
  </si>
  <si>
    <t>Go Variable</t>
  </si>
  <si>
    <t>https://www.energymadeeasy.gov.au/plan?id=ORI208115MRE&amp;postcode=5000</t>
  </si>
  <si>
    <t>Local Member</t>
  </si>
  <si>
    <t>https://www.energymadeeasy.gov.au/plan?id=LCL112206MRE&amp;postcode=5000</t>
  </si>
  <si>
    <t>Energy Saver</t>
  </si>
  <si>
    <t>https://www.energymadeeasy.gov.au/plan?id=SIM244162MRE&amp;utm_source=Simply%20Energy&amp;utm_campaign=bpi-retailer&amp;utm_medium=retailer&amp;postcode=5000</t>
  </si>
  <si>
    <t>Carbon neutral</t>
  </si>
  <si>
    <t>https://www.powershop.com.au/app/rates/aer/electricity/residential/market/sa/combined-all.pdf?v=1.1.0</t>
  </si>
  <si>
    <t>https://www.energymadeeasy.gov.au/plan?id=PWR258976MRE&amp;postcode=5000</t>
  </si>
  <si>
    <t>Amber 15</t>
  </si>
  <si>
    <t>For new customers only. E-billing, direct debit and credit payment only.</t>
  </si>
  <si>
    <t>https://www.energymadeeasy.gov.au/plan?id=DEN255578MRE1&amp;postcode=5000</t>
  </si>
  <si>
    <t>GloBird Energy</t>
  </si>
  <si>
    <t>SureSave</t>
  </si>
  <si>
    <t>$50 online sign-up credit on your second bill</t>
  </si>
  <si>
    <t>Account credits</t>
  </si>
  <si>
    <t>https://www.energymadeeasy.gov.au/plan?id=GLO250887MRE&amp;postcode=5000</t>
  </si>
  <si>
    <t>https://assets.kogan.com/files/energy/pdf/rates/2021june/KE-SAPN-combined-market2.pdf</t>
  </si>
  <si>
    <t>https://www.energymadeeasy.gov.au/plan?id=OVO205949MRE&amp;postcode=5000</t>
  </si>
  <si>
    <t>Advance</t>
  </si>
  <si>
    <t>Get a non-refundable $50 (incl GST) credit when you sign up to ReAmped Energy using a refer a friend link from an existing ReAmped Energy customer.  </t>
  </si>
  <si>
    <t>https://www.energymadeeasy.gov.au/plan?postcode=5000&amp;id=REA275097MRE</t>
  </si>
  <si>
    <t>1st Energy</t>
  </si>
  <si>
    <t>1st Saver</t>
  </si>
  <si>
    <t>https://www.energymadeeasy.gov.au/plan?id=1ST252941MRE&amp;postcode=5000</t>
  </si>
  <si>
    <t>IO Energy</t>
  </si>
  <si>
    <t>Spark</t>
  </si>
  <si>
    <t>https://www.energymadeeasy.gov.au/plan?id=LCL110767MRE&amp;postcode=5000</t>
  </si>
  <si>
    <t>Nectr</t>
  </si>
  <si>
    <t>Friends Clean</t>
  </si>
  <si>
    <t>$50 credit on your 2nd bill, if you sign up using a Refer a Friend link from an existing Nectr customer. Applies to new customers only. </t>
  </si>
  <si>
    <t>https://www.energymadeeasy.gov.au/plan?id=NTR251074MRE&amp;postcode=5000</t>
  </si>
  <si>
    <t>https://www.energymadeeasy.gov.au/plan?id=LUM203105MRE&amp;postcode=5000</t>
  </si>
  <si>
    <t>https://www.energymadeeasy.gov.au/plan?id=MOM242989MRE&amp;utm_source=Momentum%20Energy&amp;utm_campaign=bpi-retailer&amp;utm_medium=retailer&amp;postcode=5000</t>
  </si>
  <si>
    <t>https://www.energymadeeasy.gov.au/plan?id=ORI208107MRE&amp;postcode=5000</t>
  </si>
  <si>
    <t>https://www.energymadeeasy.gov.au/plan?id=LCL112216MRE&amp;postcode=5000</t>
  </si>
  <si>
    <t>https://www.energymadeeasy.gov.au/plan?id=SIM244164MRE&amp;utm_source=Simply%20Energy&amp;utm_campaign=bpi-retailer&amp;utm_medium=retailer&amp;postcode=5000</t>
  </si>
  <si>
    <t>https://www.energymadeeasy.gov.au/plan?id=GLO250888MRE&amp;postcode=5000</t>
  </si>
  <si>
    <t>https://www.energymadeeasy.gov.au/plan?id=OVO205950MRE&amp;postcode=5000</t>
  </si>
  <si>
    <t>https://www.energymadeeasy.gov.au/plan?postcode=5000&amp;id=REA275098MRE</t>
  </si>
  <si>
    <t>https://www.energymadeeasy.gov.au/plan?id=1ST252942MRE&amp;postcode=5000</t>
  </si>
  <si>
    <t>https://www.energymadeeasy.gov.au/plan?id=LCL110768MRE&amp;postcode=5000</t>
  </si>
  <si>
    <t>https://www.energymadeeasy.gov.au/plan?id=NTR256156MRE&amp;postcode=5000</t>
  </si>
  <si>
    <t>Tango Energy</t>
  </si>
  <si>
    <t>Home Select</t>
  </si>
  <si>
    <t>https://www.energymadeeasy.gov.au/plan?id=TAN232536MRE1&amp;postcode=5000</t>
  </si>
  <si>
    <t>https://www.energymadeeasy.gov.au/plan?id=TAN259155MRE1&amp;postcode=5000</t>
  </si>
  <si>
    <t>Covau</t>
  </si>
  <si>
    <t>Freedom</t>
  </si>
  <si>
    <t>https://www.energymadeeasy.gov.au/plan?id=COV284033MRE1&amp;postcode=5000</t>
  </si>
  <si>
    <t>https://www.energymadeeasy.gov.au/plan?id=COV284036MRE1&amp;postcode=5000</t>
  </si>
  <si>
    <t>July 2021</t>
  </si>
  <si>
    <t xml:space="preserve">Report 6: South Australian Energy Prices July 2017, An update report (August 2017)   </t>
  </si>
  <si>
    <t xml:space="preserve">Report 7: South Australian Energy Prices July 2018, An update report (September 2018)   </t>
  </si>
  <si>
    <t xml:space="preserve">Report 8: South Australian Energy Prices July 2019, An update report (September 2019)   </t>
  </si>
  <si>
    <t xml:space="preserve">Report 9: South Australian Energy Prices July 2020, An update report (September 2020)   </t>
  </si>
  <si>
    <t xml:space="preserve">Report 10: South Australian Energy Prices July 2021, An update report (August 2021)   </t>
  </si>
  <si>
    <t>July 2022</t>
  </si>
  <si>
    <t>Workbook 3: Electricity Market offers</t>
  </si>
  <si>
    <t xml:space="preserve">Report 11: South Australian Energy Prices July 2022, An update report (August 2022)   </t>
  </si>
  <si>
    <t>Value Saver</t>
  </si>
  <si>
    <t>E-billing only</t>
  </si>
  <si>
    <t>https://www.energymadeeasy.gov.au/plan?id=ALI463789MRE1&amp;postcode=5000</t>
  </si>
  <si>
    <t>Renewable Saver</t>
  </si>
  <si>
    <t>EnergyAustralia</t>
    <phoneticPr fontId="0" type="noConversion"/>
  </si>
  <si>
    <t>Flexi Plan</t>
  </si>
  <si>
    <t>$25 online sign-up credit</t>
  </si>
  <si>
    <t xml:space="preserve">You may be eligible for our PowerResponse program, and by participating in events, you may be eligible for rebates which may change over time. </t>
  </si>
  <si>
    <t>Lumo Energy</t>
    <phoneticPr fontId="0" type="noConversion"/>
  </si>
  <si>
    <t>$25 (incl GST) bonus Lumo Rewards Credit is applied once Lumo becomes responsible for the supply of your electricity and $25 (incl GST) Lumo Rewards Credit for three consecutive monthly electricity bills or a quarterly electricity bill when you pay the full amount on each bill by the due date, provided you have registerd for the Lumo Rewards program</t>
  </si>
  <si>
    <t>If you take up Origin Go Zero, we will offset 100% of the greenhouse gas emissions from your electricity or gas supply through Climate Active, a government-backed carbon neutral certification scheme. The cost is $1.50 per week.</t>
  </si>
  <si>
    <t>Red Energy</t>
    <phoneticPr fontId="0" type="noConversion"/>
  </si>
  <si>
    <t>Online Member</t>
  </si>
  <si>
    <t>Simply Energy</t>
    <phoneticPr fontId="0" type="noConversion"/>
  </si>
  <si>
    <t>RAA</t>
    <phoneticPr fontId="0" type="noConversion"/>
  </si>
  <si>
    <t>Available to RAA members only</t>
    <phoneticPr fontId="0" type="noConversion"/>
  </si>
  <si>
    <t>https://www.energymadeeasy.gov.au/plan?id=SIM422835MRE&amp;utm_source=Simply%20Energy&amp;utm_campaign=bpi-retailer&amp;utm_medium=retailer&amp;postcode=5000</t>
  </si>
  <si>
    <t>https://www.energymadeeasy.gov.au/plan?id=PSH65708MRE&amp;postcode=5000</t>
  </si>
  <si>
    <t>Amber Plan</t>
  </si>
  <si>
    <t>https://assets.website-files.com/5be398fec98f64eddec9df1c/62ba90bf100c29adf1a2b302_SAPN%20CL%20CZ6.pdf</t>
  </si>
  <si>
    <t>https://www.energymadeeasy.gov.au/plan?id=GLO394461MRE&amp;postcode=5000</t>
  </si>
  <si>
    <t>Free Kogan First Membership</t>
  </si>
  <si>
    <t>You must agree to a Kogan First membership</t>
  </si>
  <si>
    <t>https://www.energymadeeasy.gov.au/plan?id=KOG365894MRE&amp;postcode=5000</t>
  </si>
  <si>
    <t>75% GP also available @ 3c per kWh. Get a non-refundable $50 (incl GST) credit when you sign up to ReAmped Energy using a refer a friend link from an existing ReAmped Energy customer.  </t>
  </si>
  <si>
    <t>https://www.reampedenergy.com.au/docs/REA391857MRE1.pdf</t>
  </si>
  <si>
    <t>Circular Energy</t>
  </si>
  <si>
    <t>Community Energy</t>
  </si>
  <si>
    <t>https://www.energymadeeasy.gov.au/plan?id=CIR306268SRE6&amp;postcode=5000</t>
  </si>
  <si>
    <t>https://www.energymadeeasy.gov.au/plan?id=ENE379831MR&amp;utm_source=EnergyAustralia&amp;utm_campaign=bpi-retailer&amp;utm_medium=retailer&amp;postcode=5000</t>
  </si>
  <si>
    <t>https://www.reampedenergy.com.au/docs/REA391862MRE1.pdf</t>
  </si>
  <si>
    <t>*Electricity Market offers July 2012 - 2023 (inc GST)</t>
  </si>
  <si>
    <t xml:space="preserve">The South Australian Tariff-Tracking project has produced 5 workbooks and 12 reports: </t>
  </si>
  <si>
    <t>Workbook 1: Electricity standing offers July 2009 - July 2023</t>
  </si>
  <si>
    <t>Workbook 2: Gas standing offers July 2009 - July 2023</t>
  </si>
  <si>
    <t>Workbook 3: Published electricity market offers as of July 2012 - July 2023</t>
  </si>
  <si>
    <t>Workbook 4: Published gas market offers as of July 2012 - July 2023</t>
  </si>
  <si>
    <t>Workbook 5: Solar offers July 2016 - July 2023</t>
  </si>
  <si>
    <t xml:space="preserve">Report 12: South Australian Energy Prices July 2023, An update report (August 2023)   </t>
  </si>
  <si>
    <t>July 2023</t>
  </si>
  <si>
    <t>https://www.energymadeeasy.gov.au/plan?id=AGL359235MRE12&amp;postcode=5000</t>
  </si>
  <si>
    <t>https://www.energymadeeasy.gov.au/plan?id=AGL359237MRE12&amp;postcode=5000</t>
  </si>
  <si>
    <t>https://www.energymadeeasy.gov.au/plan?id=ALI463789MRE5&amp;postcode=5000</t>
  </si>
  <si>
    <t>https://www.energymadeeasy.gov.au/plan?id=ALI463790MRE5&amp;postcode=5000</t>
  </si>
  <si>
    <t>https://www.energymadeeasy.gov.au/plan?id=DIA34657MRE6&amp;postcode=5000</t>
  </si>
  <si>
    <t>https://www.energymadeeasy.gov.au/plan?id=ENE379831MRE11&amp;postcode=5000</t>
  </si>
  <si>
    <t>https://www.energymadeeasy.gov.au/plan?id=LUM203086MRE8&amp;postcode=5000</t>
  </si>
  <si>
    <t>https://www.energymadeeasy.gov.au/plan?id=LUM203101MRE8&amp;postcode=5000</t>
  </si>
  <si>
    <t>https://www.energymadeeasy.gov.au/plan?id=ORI542359MRE5&amp;postcode=5000</t>
  </si>
  <si>
    <t>https://www.energymadeeasy.gov.au/plan?id=ORI542357MRE5&amp;postcode=5000</t>
  </si>
  <si>
    <t>https://www.energymadeeasy.gov.au/plan?id=RED552198MRE2&amp;postcode=5000</t>
  </si>
  <si>
    <t>https://www.energymadeeasy.gov.au/plan?id=RED552209MRE2&amp;postcode=5000</t>
  </si>
  <si>
    <t>https://www.energymadeeasy.gov.au/plan?id=LCL569568MRE2&amp;postcode=5000</t>
  </si>
  <si>
    <t>https://www.energymadeeasy.gov.au/plan?id=LCL569571MRE2&amp;postcode=5000</t>
  </si>
  <si>
    <t>https://www.energymadeeasy.gov.au/plan?id=SIM590075MRE1&amp;postcode=5000</t>
  </si>
  <si>
    <t>https://www.energymadeeasy.gov.au/plan?id=SIM590073MRE1&amp;postcode=5000</t>
  </si>
  <si>
    <t>https://www.energymadeeasy.gov.au/plan?id=PSH612077MRE1&amp;postcode=5000</t>
  </si>
  <si>
    <t>https://www.energymadeeasy.gov.au/plan?id=PSH612063MRE2&amp;postcode=5000</t>
  </si>
  <si>
    <t>https://www.energymadeeasy.gov.au/plan?id=AMB611114MRE1&amp;postcode=5000</t>
  </si>
  <si>
    <t>https://www.energymadeeasy.gov.au/plan?id=AMB611120MRE1&amp;postcode=5000</t>
  </si>
  <si>
    <t>https://www.energymadeeasy.gov.au/plan?id=GLO633682MRE1&amp;postcode=5000</t>
  </si>
  <si>
    <t>https://www.energymadeeasy.gov.au/plan?id=GLO633683MRE1&amp;postcode=5000</t>
  </si>
  <si>
    <t>https://www.energymadeeasy.gov.au/plan?id=KOG611892MRE1&amp;postcode=5000</t>
  </si>
  <si>
    <t>https://www.energymadeeasy.gov.au/plan?id=KOG611948MRE2&amp;postcode=5000</t>
  </si>
  <si>
    <t>NEW</t>
  </si>
  <si>
    <t>CovaU</t>
  </si>
  <si>
    <t>https://www.energymadeeasy.gov.au/plan?id=COV521463MRE1&amp;postcode=5000</t>
  </si>
  <si>
    <t>https://www.energymadeeasy.gov.au/plan?id=COV521466MRE1&amp;postcode=5000</t>
  </si>
  <si>
    <t>Momentum</t>
  </si>
  <si>
    <t>https://www.energymadeeasy.gov.au/plan?id=MOM546805MRE4&amp;postcode=5000</t>
  </si>
  <si>
    <t>Suit Yourself</t>
  </si>
  <si>
    <t>10% Free GreenPower</t>
  </si>
  <si>
    <t>https://www.energymadeeasy.gov.au/plan?id=MOM546813MRE4&amp;postcode=5000</t>
  </si>
  <si>
    <t>OVO</t>
  </si>
  <si>
    <t>Account Credit</t>
  </si>
  <si>
    <t>OVO Energy will credit you $100 (inclusive of GST) applied in twelve monthly instalments of $8.34 as an offset against the charges on each of your monthly bills.</t>
  </si>
  <si>
    <t>https://www.energymadeeasy.gov.au/plan?id=OVO612546MRE2&amp;postcode=5000</t>
  </si>
  <si>
    <t>https://www.energymadeeasy.gov.au/plan?id=OVO612547MRE2&amp;postcode=5000</t>
  </si>
  <si>
    <t>Sumo Power</t>
  </si>
  <si>
    <t>Lite</t>
  </si>
  <si>
    <t>https://www.energymadeeasy.gov.au/plan?id=SUM469732MRE6&amp;postcode=5000</t>
  </si>
  <si>
    <t>https://www.energymadeeasy.gov.au/plan?id=SUM469733MRE6&amp;postcode=5000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</si>
</sst>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0.000"/>
  </numFmts>
  <fonts count="38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10"/>
      <name val="Arial"/>
      <family val="2"/>
    </font>
    <font>
      <sz val="10"/>
      <color indexed="9"/>
      <name val="Verdana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0"/>
      <color indexed="8"/>
      <name val="Verdana"/>
      <family val="2"/>
    </font>
    <font>
      <u/>
      <sz val="10"/>
      <color theme="10"/>
      <name val="Verdana"/>
      <family val="2"/>
    </font>
    <font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sz val="11"/>
      <color indexed="8"/>
      <name val="Arial"/>
      <family val="2"/>
    </font>
    <font>
      <b/>
      <sz val="10"/>
      <color theme="1"/>
      <name val="Verdana"/>
      <family val="2"/>
    </font>
    <font>
      <u/>
      <sz val="12"/>
      <color theme="10"/>
      <name val="Calibri"/>
      <family val="2"/>
      <scheme val="minor"/>
    </font>
    <font>
      <sz val="10"/>
      <color theme="0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7E7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4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/>
    <xf numFmtId="0" fontId="14" fillId="0" borderId="0"/>
  </cellStyleXfs>
  <cellXfs count="318">
    <xf numFmtId="0" fontId="0" fillId="0" borderId="0" xfId="0"/>
    <xf numFmtId="0" fontId="14" fillId="0" borderId="0" xfId="0" applyFont="1"/>
    <xf numFmtId="0" fontId="13" fillId="0" borderId="10" xfId="0" applyFont="1" applyBorder="1"/>
    <xf numFmtId="0" fontId="0" fillId="0" borderId="10" xfId="0" applyBorder="1"/>
    <xf numFmtId="0" fontId="0" fillId="4" borderId="10" xfId="0" applyFill="1" applyBorder="1"/>
    <xf numFmtId="0" fontId="13" fillId="0" borderId="0" xfId="0" applyFont="1"/>
    <xf numFmtId="0" fontId="16" fillId="0" borderId="0" xfId="0" applyFont="1"/>
    <xf numFmtId="0" fontId="15" fillId="0" borderId="0" xfId="0" applyFont="1"/>
    <xf numFmtId="9" fontId="14" fillId="0" borderId="0" xfId="0" applyNumberFormat="1" applyFont="1"/>
    <xf numFmtId="0" fontId="15" fillId="0" borderId="0" xfId="0" applyFont="1" applyProtection="1">
      <protection hidden="1"/>
    </xf>
    <xf numFmtId="0" fontId="9" fillId="3" borderId="0" xfId="0" applyFont="1" applyFill="1" applyAlignment="1" applyProtection="1">
      <alignment horizontal="left"/>
      <protection locked="0"/>
    </xf>
    <xf numFmtId="10" fontId="9" fillId="3" borderId="0" xfId="0" applyNumberFormat="1" applyFont="1" applyFill="1" applyAlignment="1" applyProtection="1">
      <alignment horizontal="left"/>
      <protection locked="0"/>
    </xf>
    <xf numFmtId="0" fontId="15" fillId="5" borderId="9" xfId="0" applyFont="1" applyFill="1" applyBorder="1"/>
    <xf numFmtId="0" fontId="14" fillId="4" borderId="0" xfId="0" applyFont="1" applyFill="1"/>
    <xf numFmtId="0" fontId="14" fillId="0" borderId="0" xfId="0" applyFont="1" applyAlignment="1">
      <alignment horizontal="right"/>
    </xf>
    <xf numFmtId="0" fontId="14" fillId="0" borderId="9" xfId="0" applyFont="1" applyBorder="1"/>
    <xf numFmtId="0" fontId="14" fillId="0" borderId="9" xfId="0" applyFont="1" applyBorder="1" applyAlignment="1">
      <alignment horizontal="right"/>
    </xf>
    <xf numFmtId="164" fontId="14" fillId="0" borderId="0" xfId="0" applyNumberFormat="1" applyFont="1"/>
    <xf numFmtId="0" fontId="14" fillId="0" borderId="11" xfId="0" applyFont="1" applyBorder="1"/>
    <xf numFmtId="0" fontId="14" fillId="0" borderId="11" xfId="0" applyFont="1" applyBorder="1" applyAlignment="1">
      <alignment horizontal="right"/>
    </xf>
    <xf numFmtId="9" fontId="14" fillId="0" borderId="0" xfId="0" applyNumberFormat="1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6" fontId="14" fillId="0" borderId="0" xfId="0" applyNumberFormat="1" applyFont="1" applyAlignment="1" applyProtection="1">
      <alignment horizontal="left"/>
      <protection hidden="1"/>
    </xf>
    <xf numFmtId="6" fontId="14" fillId="0" borderId="0" xfId="0" applyNumberFormat="1" applyFont="1" applyAlignment="1">
      <alignment horizontal="left"/>
    </xf>
    <xf numFmtId="0" fontId="15" fillId="6" borderId="9" xfId="0" applyFont="1" applyFill="1" applyBorder="1"/>
    <xf numFmtId="0" fontId="15" fillId="7" borderId="9" xfId="0" applyFont="1" applyFill="1" applyBorder="1"/>
    <xf numFmtId="0" fontId="0" fillId="0" borderId="0" xfId="0" applyAlignment="1">
      <alignment wrapText="1"/>
    </xf>
    <xf numFmtId="0" fontId="0" fillId="0" borderId="14" xfId="0" applyBorder="1" applyAlignment="1">
      <alignment wrapText="1"/>
    </xf>
    <xf numFmtId="0" fontId="14" fillId="0" borderId="0" xfId="0" applyFont="1" applyProtection="1">
      <protection hidden="1"/>
    </xf>
    <xf numFmtId="0" fontId="0" fillId="0" borderId="0" xfId="0" applyProtection="1">
      <protection hidden="1"/>
    </xf>
    <xf numFmtId="0" fontId="14" fillId="7" borderId="9" xfId="0" applyFont="1" applyFill="1" applyBorder="1" applyProtection="1">
      <protection hidden="1"/>
    </xf>
    <xf numFmtId="0" fontId="9" fillId="0" borderId="0" xfId="0" applyFont="1" applyProtection="1">
      <protection hidden="1"/>
    </xf>
    <xf numFmtId="0" fontId="14" fillId="4" borderId="0" xfId="0" applyFont="1" applyFill="1" applyProtection="1">
      <protection hidden="1"/>
    </xf>
    <xf numFmtId="0" fontId="16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21" fillId="4" borderId="0" xfId="0" applyFont="1" applyFill="1" applyProtection="1">
      <protection hidden="1"/>
    </xf>
    <xf numFmtId="2" fontId="14" fillId="0" borderId="0" xfId="0" applyNumberFormat="1" applyFont="1" applyProtection="1">
      <protection hidden="1"/>
    </xf>
    <xf numFmtId="3" fontId="14" fillId="4" borderId="0" xfId="0" applyNumberFormat="1" applyFont="1" applyFill="1" applyProtection="1">
      <protection hidden="1"/>
    </xf>
    <xf numFmtId="0" fontId="9" fillId="4" borderId="0" xfId="0" applyFont="1" applyFill="1" applyProtection="1">
      <protection hidden="1"/>
    </xf>
    <xf numFmtId="3" fontId="9" fillId="4" borderId="0" xfId="0" applyNumberFormat="1" applyFont="1" applyFill="1" applyProtection="1">
      <protection hidden="1"/>
    </xf>
    <xf numFmtId="0" fontId="16" fillId="4" borderId="0" xfId="0" applyFont="1" applyFill="1" applyProtection="1">
      <protection hidden="1"/>
    </xf>
    <xf numFmtId="0" fontId="14" fillId="6" borderId="9" xfId="0" applyFont="1" applyFill="1" applyBorder="1" applyProtection="1">
      <protection hidden="1"/>
    </xf>
    <xf numFmtId="0" fontId="7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0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13" fillId="2" borderId="3" xfId="0" applyFont="1" applyFill="1" applyBorder="1" applyProtection="1">
      <protection hidden="1"/>
    </xf>
    <xf numFmtId="0" fontId="14" fillId="2" borderId="4" xfId="0" applyFont="1" applyFill="1" applyBorder="1" applyProtection="1">
      <protection hidden="1"/>
    </xf>
    <xf numFmtId="0" fontId="14" fillId="2" borderId="5" xfId="0" applyFont="1" applyFill="1" applyBorder="1" applyProtection="1">
      <protection hidden="1"/>
    </xf>
    <xf numFmtId="0" fontId="14" fillId="2" borderId="1" xfId="0" applyFont="1" applyFill="1" applyBorder="1" applyProtection="1">
      <protection hidden="1"/>
    </xf>
    <xf numFmtId="0" fontId="14" fillId="2" borderId="0" xfId="0" applyFont="1" applyFill="1" applyProtection="1">
      <protection hidden="1"/>
    </xf>
    <xf numFmtId="0" fontId="14" fillId="2" borderId="2" xfId="0" applyFont="1" applyFill="1" applyBorder="1" applyProtection="1">
      <protection hidden="1"/>
    </xf>
    <xf numFmtId="0" fontId="14" fillId="2" borderId="6" xfId="0" applyFont="1" applyFill="1" applyBorder="1" applyProtection="1">
      <protection hidden="1"/>
    </xf>
    <xf numFmtId="0" fontId="14" fillId="2" borderId="7" xfId="0" applyFont="1" applyFill="1" applyBorder="1" applyProtection="1">
      <protection hidden="1"/>
    </xf>
    <xf numFmtId="0" fontId="14" fillId="2" borderId="8" xfId="0" applyFont="1" applyFill="1" applyBorder="1" applyProtection="1">
      <protection hidden="1"/>
    </xf>
    <xf numFmtId="0" fontId="5" fillId="2" borderId="0" xfId="0" applyFont="1" applyFill="1" applyProtection="1">
      <protection hidden="1"/>
    </xf>
    <xf numFmtId="0" fontId="14" fillId="5" borderId="9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8" borderId="9" xfId="0" applyFont="1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15" fillId="8" borderId="9" xfId="0" applyFont="1" applyFill="1" applyBorder="1"/>
    <xf numFmtId="2" fontId="14" fillId="0" borderId="0" xfId="0" applyNumberFormat="1" applyFont="1" applyAlignment="1" applyProtection="1">
      <alignment horizontal="left"/>
      <protection hidden="1"/>
    </xf>
    <xf numFmtId="2" fontId="14" fillId="0" borderId="0" xfId="0" applyNumberFormat="1" applyFont="1"/>
    <xf numFmtId="0" fontId="14" fillId="9" borderId="9" xfId="0" applyFont="1" applyFill="1" applyBorder="1" applyProtection="1">
      <protection hidden="1"/>
    </xf>
    <xf numFmtId="0" fontId="0" fillId="9" borderId="9" xfId="0" applyFill="1" applyBorder="1" applyProtection="1">
      <protection hidden="1"/>
    </xf>
    <xf numFmtId="0" fontId="15" fillId="9" borderId="9" xfId="0" applyFont="1" applyFill="1" applyBorder="1"/>
    <xf numFmtId="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5" fillId="2" borderId="0" xfId="0" applyFont="1" applyFill="1" applyProtection="1">
      <protection hidden="1"/>
    </xf>
    <xf numFmtId="6" fontId="0" fillId="0" borderId="0" xfId="0" applyNumberForma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7" borderId="0" xfId="0" applyFill="1" applyAlignment="1">
      <alignment horizontal="right" wrapText="1"/>
    </xf>
    <xf numFmtId="0" fontId="0" fillId="7" borderId="0" xfId="0" applyFill="1" applyAlignment="1">
      <alignment horizontal="left" wrapText="1"/>
    </xf>
    <xf numFmtId="0" fontId="0" fillId="7" borderId="0" xfId="0" applyFill="1" applyAlignment="1">
      <alignment wrapText="1"/>
    </xf>
    <xf numFmtId="0" fontId="0" fillId="7" borderId="0" xfId="0" applyFill="1" applyAlignment="1">
      <alignment horizontal="center" wrapText="1"/>
    </xf>
    <xf numFmtId="0" fontId="0" fillId="7" borderId="13" xfId="0" applyFill="1" applyBorder="1" applyAlignment="1">
      <alignment wrapText="1"/>
    </xf>
    <xf numFmtId="0" fontId="0" fillId="4" borderId="16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0" borderId="13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11" borderId="12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3" borderId="16" xfId="0" applyFill="1" applyBorder="1" applyAlignment="1">
      <alignment horizontal="right" wrapText="1"/>
    </xf>
    <xf numFmtId="0" fontId="0" fillId="14" borderId="0" xfId="0" applyFill="1" applyAlignment="1">
      <alignment horizontal="center" wrapText="1"/>
    </xf>
    <xf numFmtId="0" fontId="0" fillId="14" borderId="13" xfId="0" applyFill="1" applyBorder="1" applyAlignment="1">
      <alignment horizontal="center" wrapText="1"/>
    </xf>
    <xf numFmtId="0" fontId="0" fillId="15" borderId="0" xfId="0" applyFill="1" applyAlignment="1">
      <alignment horizontal="right" wrapText="1"/>
    </xf>
    <xf numFmtId="0" fontId="0" fillId="15" borderId="13" xfId="0" applyFill="1" applyBorder="1" applyAlignment="1">
      <alignment horizontal="center" wrapText="1"/>
    </xf>
    <xf numFmtId="0" fontId="0" fillId="16" borderId="0" xfId="0" applyFill="1" applyAlignment="1">
      <alignment horizontal="center" wrapText="1"/>
    </xf>
    <xf numFmtId="0" fontId="0" fillId="16" borderId="13" xfId="0" applyFill="1" applyBorder="1" applyAlignment="1">
      <alignment horizontal="right" wrapText="1"/>
    </xf>
    <xf numFmtId="0" fontId="0" fillId="12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10" borderId="13" xfId="0" applyFill="1" applyBorder="1" applyAlignment="1">
      <alignment horizontal="center" wrapText="1"/>
    </xf>
    <xf numFmtId="0" fontId="0" fillId="7" borderId="15" xfId="0" applyFill="1" applyBorder="1"/>
    <xf numFmtId="14" fontId="0" fillId="0" borderId="15" xfId="0" applyNumberFormat="1" applyBorder="1"/>
    <xf numFmtId="14" fontId="0" fillId="0" borderId="15" xfId="0" applyNumberFormat="1" applyBorder="1" applyAlignment="1">
      <alignment horizontal="left"/>
    </xf>
    <xf numFmtId="0" fontId="0" fillId="0" borderId="15" xfId="0" applyBorder="1"/>
    <xf numFmtId="0" fontId="0" fillId="0" borderId="15" xfId="0" applyBorder="1" applyAlignment="1">
      <alignment horizontal="center"/>
    </xf>
    <xf numFmtId="1" fontId="0" fillId="0" borderId="15" xfId="0" applyNumberFormat="1" applyBorder="1"/>
    <xf numFmtId="0" fontId="0" fillId="0" borderId="15" xfId="0" applyBorder="1" applyAlignment="1">
      <alignment horizontal="right"/>
    </xf>
    <xf numFmtId="0" fontId="0" fillId="0" borderId="15" xfId="0" applyBorder="1" applyAlignment="1">
      <alignment horizontal="left"/>
    </xf>
    <xf numFmtId="14" fontId="0" fillId="0" borderId="15" xfId="0" applyNumberFormat="1" applyBorder="1" applyAlignment="1">
      <alignment horizontal="right"/>
    </xf>
    <xf numFmtId="1" fontId="0" fillId="8" borderId="15" xfId="0" applyNumberFormat="1" applyFill="1" applyBorder="1"/>
    <xf numFmtId="0" fontId="0" fillId="8" borderId="15" xfId="0" applyFill="1" applyBorder="1"/>
    <xf numFmtId="0" fontId="5" fillId="4" borderId="3" xfId="0" applyFont="1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2" borderId="2" xfId="0" applyFill="1" applyBorder="1" applyProtection="1">
      <protection hidden="1"/>
    </xf>
    <xf numFmtId="49" fontId="0" fillId="2" borderId="2" xfId="0" applyNumberFormat="1" applyFill="1" applyBorder="1" applyProtection="1">
      <protection hidden="1"/>
    </xf>
    <xf numFmtId="0" fontId="0" fillId="0" borderId="1" xfId="0" applyBorder="1" applyProtection="1">
      <protection hidden="1"/>
    </xf>
    <xf numFmtId="0" fontId="0" fillId="2" borderId="8" xfId="0" applyFill="1" applyBorder="1" applyProtection="1">
      <protection hidden="1"/>
    </xf>
    <xf numFmtId="0" fontId="2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25" fillId="17" borderId="0" xfId="0" applyFont="1" applyFill="1" applyProtection="1">
      <protection hidden="1"/>
    </xf>
    <xf numFmtId="0" fontId="26" fillId="2" borderId="3" xfId="0" applyFont="1" applyFill="1" applyBorder="1" applyProtection="1">
      <protection hidden="1"/>
    </xf>
    <xf numFmtId="0" fontId="24" fillId="2" borderId="4" xfId="0" applyFont="1" applyFill="1" applyBorder="1" applyProtection="1">
      <protection hidden="1"/>
    </xf>
    <xf numFmtId="0" fontId="24" fillId="2" borderId="5" xfId="0" applyFont="1" applyFill="1" applyBorder="1" applyProtection="1">
      <protection hidden="1"/>
    </xf>
    <xf numFmtId="0" fontId="24" fillId="2" borderId="1" xfId="0" applyFont="1" applyFill="1" applyBorder="1" applyProtection="1">
      <protection hidden="1"/>
    </xf>
    <xf numFmtId="0" fontId="24" fillId="2" borderId="2" xfId="0" applyFont="1" applyFill="1" applyBorder="1" applyProtection="1">
      <protection hidden="1"/>
    </xf>
    <xf numFmtId="4" fontId="0" fillId="0" borderId="0" xfId="0" applyNumberFormat="1" applyProtection="1">
      <protection hidden="1"/>
    </xf>
    <xf numFmtId="2" fontId="27" fillId="0" borderId="0" xfId="0" applyNumberFormat="1" applyFont="1" applyProtection="1">
      <protection hidden="1"/>
    </xf>
    <xf numFmtId="3" fontId="0" fillId="15" borderId="0" xfId="0" applyNumberFormat="1" applyFill="1" applyProtection="1">
      <protection hidden="1"/>
    </xf>
    <xf numFmtId="3" fontId="2" fillId="15" borderId="0" xfId="0" applyNumberFormat="1" applyFont="1" applyFill="1" applyProtection="1">
      <protection hidden="1"/>
    </xf>
    <xf numFmtId="3" fontId="2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4" fontId="0" fillId="0" borderId="7" xfId="0" applyNumberFormat="1" applyBorder="1" applyProtection="1">
      <protection hidden="1"/>
    </xf>
    <xf numFmtId="2" fontId="27" fillId="0" borderId="7" xfId="0" applyNumberFormat="1" applyFont="1" applyBorder="1" applyProtection="1">
      <protection hidden="1"/>
    </xf>
    <xf numFmtId="3" fontId="0" fillId="15" borderId="7" xfId="0" applyNumberFormat="1" applyFill="1" applyBorder="1" applyProtection="1">
      <protection hidden="1"/>
    </xf>
    <xf numFmtId="3" fontId="2" fillId="15" borderId="7" xfId="0" applyNumberFormat="1" applyFont="1" applyFill="1" applyBorder="1" applyProtection="1">
      <protection hidden="1"/>
    </xf>
    <xf numFmtId="3" fontId="2" fillId="0" borderId="7" xfId="0" applyNumberFormat="1" applyFont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4" fontId="24" fillId="2" borderId="4" xfId="0" applyNumberFormat="1" applyFont="1" applyFill="1" applyBorder="1" applyProtection="1">
      <protection hidden="1"/>
    </xf>
    <xf numFmtId="3" fontId="25" fillId="2" borderId="4" xfId="0" applyNumberFormat="1" applyFont="1" applyFill="1" applyBorder="1" applyProtection="1">
      <protection hidden="1"/>
    </xf>
    <xf numFmtId="4" fontId="24" fillId="2" borderId="0" xfId="0" applyNumberFormat="1" applyFont="1" applyFill="1" applyProtection="1">
      <protection hidden="1"/>
    </xf>
    <xf numFmtId="3" fontId="25" fillId="2" borderId="0" xfId="0" applyNumberFormat="1" applyFont="1" applyFill="1" applyProtection="1">
      <protection hidden="1"/>
    </xf>
    <xf numFmtId="2" fontId="0" fillId="0" borderId="0" xfId="0" applyNumberFormat="1" applyProtection="1">
      <protection hidden="1"/>
    </xf>
    <xf numFmtId="2" fontId="0" fillId="0" borderId="7" xfId="0" applyNumberFormat="1" applyBorder="1" applyProtection="1">
      <protection hidden="1"/>
    </xf>
    <xf numFmtId="0" fontId="25" fillId="3" borderId="0" xfId="0" applyFont="1" applyFill="1" applyProtection="1">
      <protection locked="0"/>
    </xf>
    <xf numFmtId="9" fontId="25" fillId="3" borderId="0" xfId="0" applyNumberFormat="1" applyFont="1" applyFill="1" applyProtection="1">
      <protection locked="0"/>
    </xf>
    <xf numFmtId="0" fontId="0" fillId="0" borderId="17" xfId="0" applyBorder="1" applyAlignment="1">
      <alignment horizontal="center"/>
    </xf>
    <xf numFmtId="14" fontId="0" fillId="12" borderId="15" xfId="0" applyNumberFormat="1" applyFill="1" applyBorder="1"/>
    <xf numFmtId="0" fontId="0" fillId="18" borderId="0" xfId="0" applyFill="1" applyProtection="1">
      <protection hidden="1"/>
    </xf>
    <xf numFmtId="0" fontId="2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5" fillId="19" borderId="0" xfId="0" applyFont="1" applyFill="1" applyProtection="1">
      <protection hidden="1"/>
    </xf>
    <xf numFmtId="0" fontId="1" fillId="2" borderId="0" xfId="0" applyFont="1" applyFill="1" applyProtection="1">
      <protection hidden="1"/>
    </xf>
    <xf numFmtId="0" fontId="2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5" fillId="20" borderId="0" xfId="0" applyFont="1" applyFill="1" applyProtection="1">
      <protection hidden="1"/>
    </xf>
    <xf numFmtId="14" fontId="1" fillId="0" borderId="15" xfId="0" applyNumberFormat="1" applyFont="1" applyBorder="1"/>
    <xf numFmtId="0" fontId="1" fillId="0" borderId="0" xfId="0" applyFont="1"/>
    <xf numFmtId="0" fontId="1" fillId="0" borderId="0" xfId="0" applyFont="1" applyAlignment="1">
      <alignment horizontal="left"/>
    </xf>
    <xf numFmtId="0" fontId="1" fillId="12" borderId="0" xfId="0" applyFont="1" applyFill="1" applyAlignment="1">
      <alignment horizontal="center" wrapText="1"/>
    </xf>
    <xf numFmtId="0" fontId="1" fillId="10" borderId="13" xfId="0" applyFont="1" applyFill="1" applyBorder="1" applyAlignment="1">
      <alignment horizontal="center" wrapText="1"/>
    </xf>
    <xf numFmtId="0" fontId="0" fillId="0" borderId="18" xfId="0" applyBorder="1"/>
    <xf numFmtId="0" fontId="1" fillId="0" borderId="15" xfId="0" applyFont="1" applyBorder="1" applyAlignment="1">
      <alignment horizontal="center"/>
    </xf>
    <xf numFmtId="0" fontId="0" fillId="8" borderId="15" xfId="0" applyFill="1" applyBorder="1" applyAlignment="1">
      <alignment horizontal="right" wrapText="1"/>
    </xf>
    <xf numFmtId="0" fontId="0" fillId="0" borderId="0" xfId="0" applyAlignment="1">
      <alignment horizontal="center"/>
    </xf>
    <xf numFmtId="14" fontId="0" fillId="21" borderId="15" xfId="0" applyNumberFormat="1" applyFill="1" applyBorder="1" applyAlignment="1">
      <alignment horizontal="right"/>
    </xf>
    <xf numFmtId="14" fontId="0" fillId="21" borderId="15" xfId="0" applyNumberFormat="1" applyFill="1" applyBorder="1"/>
    <xf numFmtId="0" fontId="1" fillId="0" borderId="15" xfId="0" applyFont="1" applyBorder="1" applyAlignment="1">
      <alignment horizontal="left"/>
    </xf>
    <xf numFmtId="14" fontId="1" fillId="21" borderId="15" xfId="0" applyNumberFormat="1" applyFont="1" applyFill="1" applyBorder="1"/>
    <xf numFmtId="0" fontId="0" fillId="22" borderId="0" xfId="0" applyFill="1" applyProtection="1">
      <protection hidden="1"/>
    </xf>
    <xf numFmtId="0" fontId="2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25" fillId="23" borderId="0" xfId="0" applyFont="1" applyFill="1" applyProtection="1">
      <protection hidden="1"/>
    </xf>
    <xf numFmtId="0" fontId="0" fillId="2" borderId="19" xfId="0" applyFill="1" applyBorder="1" applyProtection="1">
      <protection hidden="1"/>
    </xf>
    <xf numFmtId="49" fontId="1" fillId="20" borderId="20" xfId="0" applyNumberFormat="1" applyFont="1" applyFill="1" applyBorder="1" applyProtection="1">
      <protection hidden="1"/>
    </xf>
    <xf numFmtId="49" fontId="0" fillId="19" borderId="20" xfId="0" applyNumberFormat="1" applyFill="1" applyBorder="1" applyProtection="1">
      <protection hidden="1"/>
    </xf>
    <xf numFmtId="49" fontId="1" fillId="17" borderId="20" xfId="0" applyNumberFormat="1" applyFont="1" applyFill="1" applyBorder="1" applyProtection="1">
      <protection hidden="1"/>
    </xf>
    <xf numFmtId="49" fontId="22" fillId="9" borderId="20" xfId="0" applyNumberFormat="1" applyFont="1" applyFill="1" applyBorder="1" applyProtection="1">
      <protection hidden="1"/>
    </xf>
    <xf numFmtId="49" fontId="3" fillId="8" borderId="20" xfId="0" applyNumberFormat="1" applyFont="1" applyFill="1" applyBorder="1" applyProtection="1">
      <protection hidden="1"/>
    </xf>
    <xf numFmtId="49" fontId="22" fillId="6" borderId="20" xfId="0" applyNumberFormat="1" applyFont="1" applyFill="1" applyBorder="1" applyProtection="1">
      <protection hidden="1"/>
    </xf>
    <xf numFmtId="49" fontId="4" fillId="7" borderId="20" xfId="0" applyNumberFormat="1" applyFont="1" applyFill="1" applyBorder="1" applyProtection="1">
      <protection hidden="1"/>
    </xf>
    <xf numFmtId="49" fontId="22" fillId="5" borderId="21" xfId="0" applyNumberFormat="1" applyFont="1" applyFill="1" applyBorder="1" applyProtection="1">
      <protection hidden="1"/>
    </xf>
    <xf numFmtId="14" fontId="0" fillId="0" borderId="22" xfId="0" applyNumberFormat="1" applyBorder="1" applyAlignment="1">
      <alignment horizontal="left"/>
    </xf>
    <xf numFmtId="0" fontId="1" fillId="0" borderId="15" xfId="0" applyFont="1" applyBorder="1"/>
    <xf numFmtId="2" fontId="0" fillId="0" borderId="15" xfId="0" applyNumberFormat="1" applyBorder="1"/>
    <xf numFmtId="0" fontId="29" fillId="0" borderId="15" xfId="0" applyFont="1" applyBorder="1" applyAlignment="1">
      <alignment horizontal="left"/>
    </xf>
    <xf numFmtId="0" fontId="28" fillId="0" borderId="0" xfId="1"/>
    <xf numFmtId="0" fontId="0" fillId="22" borderId="15" xfId="0" applyFill="1" applyBorder="1" applyAlignment="1">
      <alignment horizontal="left"/>
    </xf>
    <xf numFmtId="0" fontId="0" fillId="24" borderId="15" xfId="0" applyFill="1" applyBorder="1"/>
    <xf numFmtId="0" fontId="0" fillId="24" borderId="15" xfId="0" applyFill="1" applyBorder="1" applyAlignment="1">
      <alignment horizontal="right" wrapText="1"/>
    </xf>
    <xf numFmtId="2" fontId="0" fillId="24" borderId="15" xfId="0" applyNumberFormat="1" applyFill="1" applyBorder="1"/>
    <xf numFmtId="1" fontId="0" fillId="24" borderId="15" xfId="0" applyNumberFormat="1" applyFill="1" applyBorder="1"/>
    <xf numFmtId="1" fontId="0" fillId="21" borderId="15" xfId="0" applyNumberFormat="1" applyFill="1" applyBorder="1"/>
    <xf numFmtId="49" fontId="1" fillId="25" borderId="20" xfId="0" applyNumberFormat="1" applyFont="1" applyFill="1" applyBorder="1" applyProtection="1">
      <protection hidden="1"/>
    </xf>
    <xf numFmtId="0" fontId="1" fillId="26" borderId="0" xfId="2" applyFont="1" applyFill="1" applyAlignment="1">
      <alignment horizontal="right" wrapText="1"/>
    </xf>
    <xf numFmtId="2" fontId="1" fillId="26" borderId="0" xfId="2" applyNumberFormat="1" applyFont="1" applyFill="1" applyAlignment="1">
      <alignment horizontal="right" wrapText="1"/>
    </xf>
    <xf numFmtId="0" fontId="1" fillId="15" borderId="0" xfId="2" applyFont="1" applyFill="1" applyAlignment="1">
      <alignment horizontal="right" wrapText="1"/>
    </xf>
    <xf numFmtId="0" fontId="1" fillId="15" borderId="13" xfId="2" applyFont="1" applyFill="1" applyBorder="1" applyAlignment="1">
      <alignment horizontal="center" wrapText="1"/>
    </xf>
    <xf numFmtId="0" fontId="1" fillId="15" borderId="0" xfId="2" applyFont="1" applyFill="1" applyAlignment="1">
      <alignment horizontal="center" wrapText="1"/>
    </xf>
    <xf numFmtId="0" fontId="33" fillId="7" borderId="0" xfId="0" applyFont="1" applyFill="1" applyAlignment="1">
      <alignment horizontal="center" vertical="center" wrapText="1"/>
    </xf>
    <xf numFmtId="0" fontId="24" fillId="0" borderId="1" xfId="0" applyFont="1" applyBorder="1" applyProtection="1">
      <protection hidden="1"/>
    </xf>
    <xf numFmtId="0" fontId="24" fillId="0" borderId="0" xfId="0" applyFont="1" applyProtection="1">
      <protection hidden="1"/>
    </xf>
    <xf numFmtId="4" fontId="24" fillId="0" borderId="0" xfId="0" applyNumberFormat="1" applyFont="1" applyProtection="1">
      <protection hidden="1"/>
    </xf>
    <xf numFmtId="2" fontId="34" fillId="0" borderId="0" xfId="0" applyNumberFormat="1" applyFont="1" applyProtection="1">
      <protection hidden="1"/>
    </xf>
    <xf numFmtId="3" fontId="25" fillId="0" borderId="0" xfId="0" applyNumberFormat="1" applyFont="1" applyProtection="1">
      <protection hidden="1"/>
    </xf>
    <xf numFmtId="0" fontId="24" fillId="0" borderId="12" xfId="0" applyFont="1" applyBorder="1" applyProtection="1">
      <protection hidden="1"/>
    </xf>
    <xf numFmtId="0" fontId="24" fillId="0" borderId="13" xfId="0" applyFont="1" applyBorder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2" xfId="0" applyFont="1" applyBorder="1" applyAlignment="1" applyProtection="1">
      <alignment horizontal="center"/>
      <protection hidden="1"/>
    </xf>
    <xf numFmtId="0" fontId="24" fillId="0" borderId="6" xfId="0" applyFont="1" applyBorder="1" applyProtection="1">
      <protection hidden="1"/>
    </xf>
    <xf numFmtId="0" fontId="24" fillId="0" borderId="7" xfId="0" applyFont="1" applyBorder="1" applyProtection="1">
      <protection hidden="1"/>
    </xf>
    <xf numFmtId="4" fontId="24" fillId="0" borderId="7" xfId="0" applyNumberFormat="1" applyFont="1" applyBorder="1" applyProtection="1">
      <protection hidden="1"/>
    </xf>
    <xf numFmtId="2" fontId="34" fillId="0" borderId="7" xfId="0" applyNumberFormat="1" applyFont="1" applyBorder="1" applyProtection="1">
      <protection hidden="1"/>
    </xf>
    <xf numFmtId="3" fontId="25" fillId="0" borderId="7" xfId="0" applyNumberFormat="1" applyFont="1" applyBorder="1" applyProtection="1">
      <protection hidden="1"/>
    </xf>
    <xf numFmtId="0" fontId="24" fillId="0" borderId="23" xfId="0" applyFont="1" applyBorder="1" applyProtection="1">
      <protection hidden="1"/>
    </xf>
    <xf numFmtId="0" fontId="24" fillId="0" borderId="24" xfId="0" applyFont="1" applyBorder="1" applyProtection="1">
      <protection hidden="1"/>
    </xf>
    <xf numFmtId="0" fontId="24" fillId="0" borderId="7" xfId="0" applyFont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center"/>
      <protection hidden="1"/>
    </xf>
    <xf numFmtId="2" fontId="24" fillId="0" borderId="0" xfId="0" applyNumberFormat="1" applyFont="1" applyProtection="1">
      <protection hidden="1"/>
    </xf>
    <xf numFmtId="2" fontId="24" fillId="0" borderId="7" xfId="0" applyNumberFormat="1" applyFont="1" applyBorder="1" applyProtection="1">
      <protection hidden="1"/>
    </xf>
    <xf numFmtId="0" fontId="24" fillId="28" borderId="0" xfId="0" applyFont="1" applyFill="1" applyProtection="1">
      <protection hidden="1"/>
    </xf>
    <xf numFmtId="0" fontId="25" fillId="28" borderId="0" xfId="0" applyFont="1" applyFill="1" applyProtection="1">
      <protection hidden="1"/>
    </xf>
    <xf numFmtId="49" fontId="1" fillId="28" borderId="20" xfId="0" applyNumberFormat="1" applyFont="1" applyFill="1" applyBorder="1" applyProtection="1">
      <protection hidden="1"/>
    </xf>
    <xf numFmtId="2" fontId="0" fillId="0" borderId="15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2" fontId="0" fillId="0" borderId="0" xfId="0" applyNumberFormat="1"/>
    <xf numFmtId="0" fontId="1" fillId="0" borderId="0" xfId="0" quotePrefix="1" applyFont="1"/>
    <xf numFmtId="0" fontId="33" fillId="0" borderId="15" xfId="0" applyFont="1" applyBorder="1" applyAlignment="1">
      <alignment vertical="center"/>
    </xf>
    <xf numFmtId="14" fontId="33" fillId="0" borderId="15" xfId="0" applyNumberFormat="1" applyFont="1" applyBorder="1" applyAlignment="1">
      <alignment vertical="center"/>
    </xf>
    <xf numFmtId="14" fontId="33" fillId="0" borderId="15" xfId="0" applyNumberFormat="1" applyFont="1" applyBorder="1" applyAlignment="1">
      <alignment horizontal="left" vertical="center"/>
    </xf>
    <xf numFmtId="0" fontId="33" fillId="0" borderId="15" xfId="0" applyFont="1" applyBorder="1" applyAlignment="1">
      <alignment horizontal="center" vertical="center"/>
    </xf>
    <xf numFmtId="2" fontId="33" fillId="0" borderId="15" xfId="0" applyNumberFormat="1" applyFont="1" applyBorder="1" applyAlignment="1">
      <alignment vertical="center"/>
    </xf>
    <xf numFmtId="1" fontId="33" fillId="0" borderId="15" xfId="0" applyNumberFormat="1" applyFont="1" applyBorder="1" applyAlignment="1">
      <alignment vertical="center"/>
    </xf>
    <xf numFmtId="2" fontId="35" fillId="0" borderId="15" xfId="0" applyNumberFormat="1" applyFont="1" applyBorder="1" applyAlignment="1">
      <alignment vertical="center"/>
    </xf>
    <xf numFmtId="0" fontId="33" fillId="0" borderId="15" xfId="0" applyFont="1" applyBorder="1" applyAlignment="1">
      <alignment horizontal="right" vertical="center"/>
    </xf>
    <xf numFmtId="2" fontId="33" fillId="0" borderId="15" xfId="0" applyNumberFormat="1" applyFont="1" applyBorder="1" applyAlignment="1">
      <alignment horizontal="center" vertical="center"/>
    </xf>
    <xf numFmtId="0" fontId="33" fillId="0" borderId="15" xfId="0" applyFont="1" applyBorder="1" applyAlignment="1">
      <alignment horizontal="left" vertical="center"/>
    </xf>
    <xf numFmtId="14" fontId="33" fillId="0" borderId="15" xfId="0" applyNumberFormat="1" applyFont="1" applyBorder="1" applyAlignment="1">
      <alignment horizontal="right" vertical="center"/>
    </xf>
    <xf numFmtId="0" fontId="28" fillId="0" borderId="0" xfId="1" applyBorder="1"/>
    <xf numFmtId="14" fontId="1" fillId="0" borderId="22" xfId="0" applyNumberFormat="1" applyFont="1" applyBorder="1" applyAlignment="1">
      <alignment horizontal="left"/>
    </xf>
    <xf numFmtId="0" fontId="26" fillId="4" borderId="25" xfId="0" applyFont="1" applyFill="1" applyBorder="1" applyAlignment="1" applyProtection="1">
      <alignment wrapText="1"/>
      <protection hidden="1"/>
    </xf>
    <xf numFmtId="0" fontId="26" fillId="4" borderId="11" xfId="0" applyFont="1" applyFill="1" applyBorder="1" applyAlignment="1" applyProtection="1">
      <alignment wrapText="1"/>
      <protection hidden="1"/>
    </xf>
    <xf numFmtId="0" fontId="26" fillId="4" borderId="18" xfId="0" applyFont="1" applyFill="1" applyBorder="1" applyAlignment="1" applyProtection="1">
      <alignment wrapText="1"/>
      <protection hidden="1"/>
    </xf>
    <xf numFmtId="0" fontId="25" fillId="4" borderId="15" xfId="0" applyFont="1" applyFill="1" applyBorder="1" applyAlignment="1" applyProtection="1">
      <alignment wrapText="1"/>
      <protection hidden="1"/>
    </xf>
    <xf numFmtId="0" fontId="24" fillId="4" borderId="15" xfId="0" applyFont="1" applyFill="1" applyBorder="1" applyAlignment="1" applyProtection="1">
      <alignment horizontal="center" wrapText="1"/>
      <protection hidden="1"/>
    </xf>
    <xf numFmtId="0" fontId="25" fillId="4" borderId="15" xfId="0" applyFont="1" applyFill="1" applyBorder="1" applyAlignment="1" applyProtection="1">
      <alignment horizontal="center" wrapText="1"/>
      <protection hidden="1"/>
    </xf>
    <xf numFmtId="0" fontId="25" fillId="4" borderId="22" xfId="0" applyFont="1" applyFill="1" applyBorder="1" applyAlignment="1" applyProtection="1">
      <alignment horizontal="center" wrapText="1"/>
      <protection hidden="1"/>
    </xf>
    <xf numFmtId="0" fontId="24" fillId="4" borderId="18" xfId="0" applyFont="1" applyFill="1" applyBorder="1" applyAlignment="1" applyProtection="1">
      <alignment horizontal="center" wrapText="1"/>
      <protection hidden="1"/>
    </xf>
    <xf numFmtId="0" fontId="24" fillId="4" borderId="26" xfId="0" applyFont="1" applyFill="1" applyBorder="1" applyAlignment="1" applyProtection="1">
      <alignment horizontal="center" wrapText="1"/>
      <protection hidden="1"/>
    </xf>
    <xf numFmtId="0" fontId="26" fillId="4" borderId="15" xfId="0" applyFont="1" applyFill="1" applyBorder="1" applyAlignment="1" applyProtection="1">
      <alignment wrapText="1"/>
      <protection hidden="1"/>
    </xf>
    <xf numFmtId="0" fontId="25" fillId="27" borderId="15" xfId="0" applyFont="1" applyFill="1" applyBorder="1" applyAlignment="1" applyProtection="1">
      <alignment wrapText="1"/>
      <protection hidden="1"/>
    </xf>
    <xf numFmtId="0" fontId="25" fillId="27" borderId="15" xfId="0" applyFont="1" applyFill="1" applyBorder="1" applyAlignment="1" applyProtection="1">
      <alignment horizontal="center" wrapText="1"/>
      <protection hidden="1"/>
    </xf>
    <xf numFmtId="0" fontId="24" fillId="27" borderId="15" xfId="0" applyFont="1" applyFill="1" applyBorder="1" applyAlignment="1" applyProtection="1">
      <alignment horizontal="center" wrapText="1"/>
      <protection hidden="1"/>
    </xf>
    <xf numFmtId="3" fontId="24" fillId="0" borderId="0" xfId="0" applyNumberFormat="1" applyFont="1" applyProtection="1">
      <protection hidden="1"/>
    </xf>
    <xf numFmtId="3" fontId="24" fillId="0" borderId="7" xfId="0" applyNumberFormat="1" applyFont="1" applyBorder="1" applyProtection="1">
      <protection hidden="1"/>
    </xf>
    <xf numFmtId="3" fontId="24" fillId="0" borderId="12" xfId="0" applyNumberFormat="1" applyFont="1" applyBorder="1" applyProtection="1">
      <protection hidden="1"/>
    </xf>
    <xf numFmtId="3" fontId="24" fillId="0" borderId="23" xfId="0" applyNumberFormat="1" applyFont="1" applyBorder="1" applyProtection="1">
      <protection hidden="1"/>
    </xf>
    <xf numFmtId="3" fontId="0" fillId="0" borderId="0" xfId="0" applyNumberFormat="1" applyProtection="1">
      <protection hidden="1"/>
    </xf>
    <xf numFmtId="3" fontId="0" fillId="0" borderId="7" xfId="0" applyNumberFormat="1" applyBorder="1" applyProtection="1">
      <protection hidden="1"/>
    </xf>
    <xf numFmtId="0" fontId="0" fillId="0" borderId="2" xfId="0" applyBorder="1" applyProtection="1">
      <protection hidden="1"/>
    </xf>
    <xf numFmtId="3" fontId="25" fillId="29" borderId="10" xfId="0" applyNumberFormat="1" applyFont="1" applyFill="1" applyBorder="1" applyProtection="1">
      <protection hidden="1"/>
    </xf>
    <xf numFmtId="3" fontId="25" fillId="29" borderId="0" xfId="0" applyNumberFormat="1" applyFont="1" applyFill="1" applyProtection="1">
      <protection hidden="1"/>
    </xf>
    <xf numFmtId="3" fontId="25" fillId="29" borderId="7" xfId="0" applyNumberFormat="1" applyFont="1" applyFill="1" applyBorder="1" applyProtection="1">
      <protection hidden="1"/>
    </xf>
    <xf numFmtId="3" fontId="2" fillId="29" borderId="0" xfId="0" applyNumberFormat="1" applyFont="1" applyFill="1" applyProtection="1">
      <protection hidden="1"/>
    </xf>
    <xf numFmtId="3" fontId="2" fillId="29" borderId="7" xfId="0" applyNumberFormat="1" applyFont="1" applyFill="1" applyBorder="1" applyProtection="1">
      <protection hidden="1"/>
    </xf>
    <xf numFmtId="0" fontId="1" fillId="7" borderId="15" xfId="0" applyFont="1" applyFill="1" applyBorder="1" applyAlignment="1">
      <alignment horizontal="right" vertical="center" wrapText="1"/>
    </xf>
    <xf numFmtId="0" fontId="36" fillId="0" borderId="0" xfId="1" applyFont="1" applyFill="1" applyBorder="1"/>
    <xf numFmtId="0" fontId="36" fillId="0" borderId="15" xfId="1" applyFont="1" applyFill="1" applyBorder="1"/>
    <xf numFmtId="14" fontId="33" fillId="0" borderId="22" xfId="0" applyNumberFormat="1" applyFont="1" applyBorder="1" applyAlignment="1">
      <alignment horizontal="left" vertical="center"/>
    </xf>
    <xf numFmtId="0" fontId="33" fillId="0" borderId="18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6" fillId="0" borderId="0" xfId="1" applyFont="1" applyBorder="1"/>
    <xf numFmtId="14" fontId="32" fillId="0" borderId="15" xfId="0" applyNumberFormat="1" applyFont="1" applyBorder="1" applyAlignment="1">
      <alignment horizontal="left" vertical="center"/>
    </xf>
    <xf numFmtId="0" fontId="32" fillId="0" borderId="15" xfId="0" applyFont="1" applyBorder="1" applyAlignment="1">
      <alignment vertical="center"/>
    </xf>
    <xf numFmtId="0" fontId="32" fillId="0" borderId="15" xfId="0" applyFont="1" applyBorder="1" applyAlignment="1">
      <alignment horizontal="center" vertical="center"/>
    </xf>
    <xf numFmtId="2" fontId="32" fillId="0" borderId="15" xfId="0" applyNumberFormat="1" applyFont="1" applyBorder="1" applyAlignment="1">
      <alignment vertical="center"/>
    </xf>
    <xf numFmtId="1" fontId="32" fillId="0" borderId="15" xfId="0" applyNumberFormat="1" applyFont="1" applyBorder="1" applyAlignment="1">
      <alignment vertical="center"/>
    </xf>
    <xf numFmtId="0" fontId="32" fillId="0" borderId="15" xfId="0" applyFont="1" applyBorder="1" applyAlignment="1">
      <alignment horizontal="right" vertical="center"/>
    </xf>
    <xf numFmtId="2" fontId="32" fillId="0" borderId="15" xfId="0" applyNumberFormat="1" applyFont="1" applyBorder="1" applyAlignment="1">
      <alignment horizontal="center" vertical="center"/>
    </xf>
    <xf numFmtId="0" fontId="27" fillId="0" borderId="0" xfId="0" applyFont="1"/>
    <xf numFmtId="14" fontId="33" fillId="0" borderId="15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2" fillId="0" borderId="0" xfId="0" applyFont="1" applyAlignment="1">
      <alignment vertical="center"/>
    </xf>
    <xf numFmtId="0" fontId="28" fillId="0" borderId="15" xfId="1" applyBorder="1"/>
    <xf numFmtId="0" fontId="36" fillId="0" borderId="15" xfId="1" applyFont="1" applyBorder="1"/>
    <xf numFmtId="0" fontId="0" fillId="30" borderId="0" xfId="0" applyFill="1"/>
    <xf numFmtId="0" fontId="24" fillId="30" borderId="1" xfId="0" applyFont="1" applyFill="1" applyBorder="1" applyProtection="1">
      <protection hidden="1"/>
    </xf>
    <xf numFmtId="0" fontId="24" fillId="30" borderId="0" xfId="0" applyFont="1" applyFill="1" applyProtection="1">
      <protection hidden="1"/>
    </xf>
    <xf numFmtId="49" fontId="1" fillId="30" borderId="20" xfId="0" applyNumberFormat="1" applyFont="1" applyFill="1" applyBorder="1" applyProtection="1">
      <protection hidden="1"/>
    </xf>
    <xf numFmtId="0" fontId="28" fillId="0" borderId="0" xfId="1" applyFill="1" applyBorder="1"/>
    <xf numFmtId="0" fontId="28" fillId="0" borderId="15" xfId="1" applyFill="1" applyBorder="1"/>
    <xf numFmtId="0" fontId="28" fillId="0" borderId="0" xfId="1" applyAlignment="1">
      <alignment vertical="center"/>
    </xf>
    <xf numFmtId="0" fontId="28" fillId="0" borderId="0" xfId="1" applyAlignment="1">
      <alignment horizontal="left" vertical="center"/>
    </xf>
    <xf numFmtId="0" fontId="0" fillId="31" borderId="0" xfId="0" applyFill="1"/>
    <xf numFmtId="0" fontId="37" fillId="31" borderId="0" xfId="0" applyFont="1" applyFill="1"/>
    <xf numFmtId="0" fontId="24" fillId="31" borderId="1" xfId="0" applyFont="1" applyFill="1" applyBorder="1" applyProtection="1">
      <protection hidden="1"/>
    </xf>
    <xf numFmtId="0" fontId="24" fillId="31" borderId="0" xfId="0" applyFont="1" applyFill="1" applyProtection="1">
      <protection hidden="1"/>
    </xf>
    <xf numFmtId="49" fontId="37" fillId="31" borderId="20" xfId="0" applyNumberFormat="1" applyFont="1" applyFill="1" applyBorder="1" applyProtection="1">
      <protection hidden="1"/>
    </xf>
    <xf numFmtId="0" fontId="33" fillId="0" borderId="18" xfId="0" applyFont="1" applyBorder="1" applyAlignment="1">
      <alignment horizontal="center" vertical="center"/>
    </xf>
    <xf numFmtId="0" fontId="33" fillId="0" borderId="27" xfId="0" applyFont="1" applyBorder="1" applyAlignment="1">
      <alignment horizontal="right" vertical="center"/>
    </xf>
    <xf numFmtId="0" fontId="33" fillId="0" borderId="27" xfId="0" applyFont="1" applyBorder="1" applyAlignment="1">
      <alignment horizontal="center" vertical="center"/>
    </xf>
    <xf numFmtId="2" fontId="35" fillId="0" borderId="18" xfId="0" applyNumberFormat="1" applyFont="1" applyBorder="1" applyAlignment="1">
      <alignment horizontal="center" vertical="center"/>
    </xf>
    <xf numFmtId="0" fontId="33" fillId="0" borderId="18" xfId="0" applyFont="1" applyBorder="1" applyAlignment="1">
      <alignment horizontal="left" vertical="center"/>
    </xf>
    <xf numFmtId="2" fontId="35" fillId="0" borderId="15" xfId="0" applyNumberFormat="1" applyFont="1" applyBorder="1" applyAlignment="1">
      <alignment horizontal="center" vertical="center"/>
    </xf>
    <xf numFmtId="0" fontId="33" fillId="0" borderId="27" xfId="0" applyFont="1" applyBorder="1" applyAlignment="1">
      <alignment horizontal="left" vertical="center"/>
    </xf>
    <xf numFmtId="0" fontId="33" fillId="0" borderId="27" xfId="0" applyFont="1" applyBorder="1" applyAlignment="1">
      <alignment vertical="center"/>
    </xf>
    <xf numFmtId="1" fontId="33" fillId="0" borderId="0" xfId="0" applyNumberFormat="1" applyFont="1" applyAlignment="1">
      <alignment vertical="center"/>
    </xf>
    <xf numFmtId="0" fontId="37" fillId="32" borderId="0" xfId="0" applyFont="1" applyFill="1"/>
    <xf numFmtId="0" fontId="0" fillId="32" borderId="0" xfId="0" applyFill="1"/>
    <xf numFmtId="0" fontId="24" fillId="32" borderId="1" xfId="0" applyFont="1" applyFill="1" applyBorder="1" applyProtection="1">
      <protection hidden="1"/>
    </xf>
    <xf numFmtId="0" fontId="24" fillId="32" borderId="0" xfId="0" applyFont="1" applyFill="1" applyProtection="1">
      <protection hidden="1"/>
    </xf>
    <xf numFmtId="49" fontId="37" fillId="32" borderId="20" xfId="0" applyNumberFormat="1" applyFont="1" applyFill="1" applyBorder="1" applyProtection="1">
      <protection hidden="1"/>
    </xf>
    <xf numFmtId="14" fontId="33" fillId="33" borderId="15" xfId="0" applyNumberFormat="1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0" fillId="34" borderId="15" xfId="0" applyFill="1" applyBorder="1"/>
    <xf numFmtId="1" fontId="0" fillId="34" borderId="15" xfId="0" applyNumberFormat="1" applyFill="1" applyBorder="1"/>
    <xf numFmtId="2" fontId="35" fillId="34" borderId="15" xfId="0" applyNumberFormat="1" applyFont="1" applyFill="1" applyBorder="1" applyAlignment="1">
      <alignment vertical="center"/>
    </xf>
    <xf numFmtId="6" fontId="33" fillId="0" borderId="18" xfId="0" applyNumberFormat="1" applyFont="1" applyBorder="1" applyAlignment="1">
      <alignment horizontal="left" vertical="center"/>
    </xf>
    <xf numFmtId="0" fontId="28" fillId="0" borderId="15" xfId="1" applyBorder="1" applyAlignment="1">
      <alignment vertical="center"/>
    </xf>
  </cellXfs>
  <cellStyles count="3">
    <cellStyle name="Hyperlink" xfId="1" builtinId="8"/>
    <cellStyle name="Normal" xfId="0" builtinId="0"/>
    <cellStyle name="Normal 2" xfId="2" xr:uid="{670BC5A6-549C-D84C-B8A9-EF6CE2617766}"/>
  </cellStyles>
  <dxfs count="0"/>
  <tableStyles count="0" defaultTableStyle="TableStyleMedium9" defaultPivotStyle="PivotStyleMedium7"/>
  <colors>
    <mruColors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711200</xdr:colOff>
      <xdr:row>24</xdr:row>
      <xdr:rowOff>127000</xdr:rowOff>
    </xdr:from>
    <xdr:to>
      <xdr:col>26</xdr:col>
      <xdr:colOff>139700</xdr:colOff>
      <xdr:row>77</xdr:row>
      <xdr:rowOff>125434</xdr:rowOff>
    </xdr:to>
    <xdr:pic>
      <xdr:nvPicPr>
        <xdr:cNvPr id="2" name="Picture 1" descr="sa_power_networks_network_map.pd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3300" y="4229100"/>
          <a:ext cx="7112000" cy="8786834"/>
        </a:xfrm>
        <a:prstGeom prst="rect">
          <a:avLst/>
        </a:prstGeom>
      </xdr:spPr>
    </xdr:pic>
    <xdr:clientData/>
  </xdr:twoCellAnchor>
  <xdr:twoCellAnchor editAs="oneCell">
    <xdr:from>
      <xdr:col>15</xdr:col>
      <xdr:colOff>355600</xdr:colOff>
      <xdr:row>0</xdr:row>
      <xdr:rowOff>0</xdr:rowOff>
    </xdr:from>
    <xdr:to>
      <xdr:col>17</xdr:col>
      <xdr:colOff>355600</xdr:colOff>
      <xdr:row>4</xdr:row>
      <xdr:rowOff>57785</xdr:rowOff>
    </xdr:to>
    <xdr:pic>
      <xdr:nvPicPr>
        <xdr:cNvPr id="3" name="Picture 2" descr="Alviss-Consulting-Logo-Inlin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0"/>
          <a:ext cx="1651000" cy="7435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14</xdr:col>
      <xdr:colOff>865019</xdr:colOff>
      <xdr:row>4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0" y="0"/>
          <a:ext cx="4484519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hyperlink" Target="https://www.energymadeeasy.gov.au/plan?id=AMB611114MRE1&amp;postcode=5000" TargetMode="External"/><Relationship Id="rId1" Type="http://schemas.openxmlformats.org/officeDocument/2006/relationships/hyperlink" Target="https://www.energymadeeasy.gov.au/plan?id=PSH612077MRE1&amp;postcode=5000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plan?id=MOM242968MRE&amp;utm_source=Momentum%20Energy&amp;utm_campaign=bpi-retailer&amp;utm_medium=retailer&amp;postcode=5000" TargetMode="External"/><Relationship Id="rId13" Type="http://schemas.openxmlformats.org/officeDocument/2006/relationships/hyperlink" Target="https://www.energymadeeasy.gov.au/plan?id=SIM244162MRE&amp;utm_source=Simply%20Energy&amp;utm_campaign=bpi-retailer&amp;utm_medium=retailer&amp;postcode=5000" TargetMode="External"/><Relationship Id="rId18" Type="http://schemas.openxmlformats.org/officeDocument/2006/relationships/hyperlink" Target="https://www.energymadeeasy.gov.au/plan?id=OVO205949MRE&amp;postcode=5000" TargetMode="External"/><Relationship Id="rId3" Type="http://schemas.openxmlformats.org/officeDocument/2006/relationships/hyperlink" Target="https://www.energymadeeasy.gov.au/plan?id=FXP103013MRE&amp;postcode=5000" TargetMode="External"/><Relationship Id="rId21" Type="http://schemas.openxmlformats.org/officeDocument/2006/relationships/hyperlink" Target="https://www.energymadeeasy.gov.au/plan?id=1ST252941MRE&amp;postcode=5000" TargetMode="External"/><Relationship Id="rId7" Type="http://schemas.openxmlformats.org/officeDocument/2006/relationships/hyperlink" Target="https://www.energymadeeasy.gov.au/plan?id=LUM203086MRE&amp;postcode=5000" TargetMode="External"/><Relationship Id="rId12" Type="http://schemas.openxmlformats.org/officeDocument/2006/relationships/hyperlink" Target="https://www.energymadeeasy.gov.au/plan?id=LCL112206MRE&amp;postcode=5000" TargetMode="External"/><Relationship Id="rId17" Type="http://schemas.openxmlformats.org/officeDocument/2006/relationships/hyperlink" Target="https://www.energymadeeasy.gov.au/plan?id=GLO250887MRE&amp;postcode=5000" TargetMode="External"/><Relationship Id="rId25" Type="http://schemas.openxmlformats.org/officeDocument/2006/relationships/hyperlink" Target="https://www.energymadeeasy.gov.au/plan?id=COV284033MRE1&amp;postcode=5000" TargetMode="External"/><Relationship Id="rId2" Type="http://schemas.openxmlformats.org/officeDocument/2006/relationships/hyperlink" Target="https://www.energymadeeasy.gov.au/plan?id=AMB91383MRE2&amp;postcode=5000" TargetMode="External"/><Relationship Id="rId16" Type="http://schemas.openxmlformats.org/officeDocument/2006/relationships/hyperlink" Target="https://www.energymadeeasy.gov.au/plan?id=DEN255578MRE1&amp;postcode=5000" TargetMode="External"/><Relationship Id="rId20" Type="http://schemas.openxmlformats.org/officeDocument/2006/relationships/hyperlink" Target="https://www.energymadeeasy.gov.au/plan?postcode=5000&amp;id=REA275097MRE" TargetMode="External"/><Relationship Id="rId1" Type="http://schemas.openxmlformats.org/officeDocument/2006/relationships/hyperlink" Target="https://www.energymadeeasy.gov.au/plan?id=FXP103012MRE&amp;postcode=5000" TargetMode="External"/><Relationship Id="rId6" Type="http://schemas.openxmlformats.org/officeDocument/2006/relationships/hyperlink" Target="https://www.energymadeeasy.gov.au/plan?id=ENE19208MRE&amp;utm_source=EnergyAustralia&amp;utm_campaign=bpi-retailer&amp;utm_medium=retailer&amp;postcode=5000" TargetMode="External"/><Relationship Id="rId11" Type="http://schemas.openxmlformats.org/officeDocument/2006/relationships/hyperlink" Target="https://www.energymadeeasy.gov.au/plan?id=RED21498MRE&amp;postcode=5000" TargetMode="External"/><Relationship Id="rId24" Type="http://schemas.openxmlformats.org/officeDocument/2006/relationships/hyperlink" Target="https://www.energymadeeasy.gov.au/plan?id=TAN232536MRE1&amp;postcode=5000" TargetMode="External"/><Relationship Id="rId5" Type="http://schemas.openxmlformats.org/officeDocument/2006/relationships/hyperlink" Target="https://www.energymadeeasy.gov.au/plan?id=DOD14013MRE&amp;postcode=5000" TargetMode="External"/><Relationship Id="rId15" Type="http://schemas.openxmlformats.org/officeDocument/2006/relationships/hyperlink" Target="https://www.energymadeeasy.gov.au/plan?id=PWR258976MRE&amp;postcode=5000" TargetMode="External"/><Relationship Id="rId23" Type="http://schemas.openxmlformats.org/officeDocument/2006/relationships/hyperlink" Target="https://www.energymadeeasy.gov.au/plan?id=NTR251074MRE&amp;postcode=5000" TargetMode="External"/><Relationship Id="rId10" Type="http://schemas.openxmlformats.org/officeDocument/2006/relationships/hyperlink" Target="https://www.energymadeeasy.gov.au/plan?id=POW15455MRE&amp;postcode=5000" TargetMode="External"/><Relationship Id="rId19" Type="http://schemas.openxmlformats.org/officeDocument/2006/relationships/hyperlink" Target="https://assets.kogan.com/files/energy/pdf/rates/2021june/KE-SAPN-combined-market2.pdf" TargetMode="External"/><Relationship Id="rId4" Type="http://schemas.openxmlformats.org/officeDocument/2006/relationships/hyperlink" Target="https://www.energymadeeasy.gov.au/plan?id=ALI49383MRE&amp;postcode=5000" TargetMode="External"/><Relationship Id="rId9" Type="http://schemas.openxmlformats.org/officeDocument/2006/relationships/hyperlink" Target="https://www.energymadeeasy.gov.au/plan?id=ORI208115MRE&amp;postcode=5000" TargetMode="External"/><Relationship Id="rId14" Type="http://schemas.openxmlformats.org/officeDocument/2006/relationships/hyperlink" Target="https://www.powershop.com.au/app/rates/aer/electricity/residential/market/sa/combined-all.pdf?v=1.1.0" TargetMode="External"/><Relationship Id="rId22" Type="http://schemas.openxmlformats.org/officeDocument/2006/relationships/hyperlink" Target="https://www.energymadeeasy.gov.au/plan?id=LCL110767MRE&amp;postcode=5000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687976?postcode=5000" TargetMode="External"/><Relationship Id="rId13" Type="http://schemas.openxmlformats.org/officeDocument/2006/relationships/hyperlink" Target="https://s3-ap-southeast-2.amazonaws.com/psau-wordpress/wp-content/uploads/2019/06/30212117/PSH-SAPN-90701-MR.pdf" TargetMode="External"/><Relationship Id="rId18" Type="http://schemas.openxmlformats.org/officeDocument/2006/relationships/hyperlink" Target="https://www.energymadeeasy.gov.au/plan?id=FXP103012MRE&amp;postcode=5000" TargetMode="External"/><Relationship Id="rId3" Type="http://schemas.openxmlformats.org/officeDocument/2006/relationships/hyperlink" Target="https://www.energymadeeasy.gov.au/offer/923056?utm_source=amaysim+Energy&amp;utm_campaign=bpi-retailer&amp;utm_medium=retailer&amp;postcode=5000" TargetMode="External"/><Relationship Id="rId7" Type="http://schemas.openxmlformats.org/officeDocument/2006/relationships/hyperlink" Target="https://www.energymadeeasy.gov.au/offer/936463?postcode=5000" TargetMode="External"/><Relationship Id="rId12" Type="http://schemas.openxmlformats.org/officeDocument/2006/relationships/hyperlink" Target="https://www.energymadeeasy.gov.au/offer/930473/print?postcode=5000&amp;fuelType=E&amp;distributor-E=42" TargetMode="External"/><Relationship Id="rId17" Type="http://schemas.openxmlformats.org/officeDocument/2006/relationships/hyperlink" Target="https://www.energymadeeasy.gov.au/plan?id=DIA34657MRE&amp;postcode=5000" TargetMode="External"/><Relationship Id="rId2" Type="http://schemas.openxmlformats.org/officeDocument/2006/relationships/hyperlink" Target="https://www.energymadeeasy.gov.au/offer/929734/print?postcode=5000&amp;fuelType=E&amp;distributor-E=42" TargetMode="External"/><Relationship Id="rId16" Type="http://schemas.openxmlformats.org/officeDocument/2006/relationships/hyperlink" Target="https://www.energymadeeasy.gov.au/plan?id=AGL15411MRE&amp;postcode=5000" TargetMode="External"/><Relationship Id="rId20" Type="http://schemas.openxmlformats.org/officeDocument/2006/relationships/hyperlink" Target="https://www.energymadeeasy.gov.au/plan?id=AGL15412MRE&amp;postcode=5000" TargetMode="External"/><Relationship Id="rId1" Type="http://schemas.openxmlformats.org/officeDocument/2006/relationships/hyperlink" Target="https://www.energymadeeasy.gov.au/offer/911807?postcode=5000" TargetMode="External"/><Relationship Id="rId6" Type="http://schemas.openxmlformats.org/officeDocument/2006/relationships/hyperlink" Target="https://s3-ap-southeast-2.amazonaws.com/psau-wordpress/wp-content/uploads/2019/06/30212117/PSH-SAPN-90701-MR.pdf" TargetMode="External"/><Relationship Id="rId11" Type="http://schemas.openxmlformats.org/officeDocument/2006/relationships/hyperlink" Target="https://www.energymadeeasy.gov.au/offer/930745?postcode=5000" TargetMode="External"/><Relationship Id="rId5" Type="http://schemas.openxmlformats.org/officeDocument/2006/relationships/hyperlink" Target="https://www.energymadeeasy.gov.au/offer/930474/print?postcode=5000&amp;fuelType=E&amp;distributor-E=42" TargetMode="External"/><Relationship Id="rId15" Type="http://schemas.openxmlformats.org/officeDocument/2006/relationships/hyperlink" Target="https://uploads-ssl.webflow.com/5be398fec98f64eddec9df1c/5be398fec98f64c42cc9df5f_LCL711480MR_CZae.pdf" TargetMode="External"/><Relationship Id="rId10" Type="http://schemas.openxmlformats.org/officeDocument/2006/relationships/hyperlink" Target="https://www.energymadeeasy.gov.au/offer/929733/print?postcode=5000&amp;fuelType=E&amp;distributor-E=42" TargetMode="External"/><Relationship Id="rId19" Type="http://schemas.openxmlformats.org/officeDocument/2006/relationships/hyperlink" Target="https://www.energymadeeasy.gov.au/plan?id=FXP103013MRE&amp;postcode=5000" TargetMode="External"/><Relationship Id="rId4" Type="http://schemas.openxmlformats.org/officeDocument/2006/relationships/hyperlink" Target="https://www.energymadeeasy.gov.au/offer/930746?postcode=5000" TargetMode="External"/><Relationship Id="rId9" Type="http://schemas.openxmlformats.org/officeDocument/2006/relationships/hyperlink" Target="https://www.energymadeeasy.gov.au/offer/911806?postcode=5000" TargetMode="External"/><Relationship Id="rId14" Type="http://schemas.openxmlformats.org/officeDocument/2006/relationships/hyperlink" Target="https://www.energymadeeasy.gov.au/offer/936472?postcode=500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36463?postcode=5000" TargetMode="External"/><Relationship Id="rId13" Type="http://schemas.openxmlformats.org/officeDocument/2006/relationships/hyperlink" Target="https://www.energymadeeasy.gov.au/offer/930473/print?postcode=5000&amp;fuelType=E&amp;distributor-E=42" TargetMode="External"/><Relationship Id="rId3" Type="http://schemas.openxmlformats.org/officeDocument/2006/relationships/hyperlink" Target="https://www.energymadeeasy.gov.au/offer/929734/print?postcode=5000&amp;fuelType=E&amp;distributor-E=42" TargetMode="External"/><Relationship Id="rId7" Type="http://schemas.openxmlformats.org/officeDocument/2006/relationships/hyperlink" Target="https://s3-ap-southeast-2.amazonaws.com/psau-wordpress/wp-content/uploads/2019/06/30212117/PSH-SAPN-90701-MR.pdf" TargetMode="External"/><Relationship Id="rId12" Type="http://schemas.openxmlformats.org/officeDocument/2006/relationships/hyperlink" Target="https://www.energymadeeasy.gov.au/offer/930745?postcode=5000" TargetMode="External"/><Relationship Id="rId2" Type="http://schemas.openxmlformats.org/officeDocument/2006/relationships/hyperlink" Target="https://www.energymadeeasy.gov.au/offer/911807?postcode=5000" TargetMode="External"/><Relationship Id="rId16" Type="http://schemas.openxmlformats.org/officeDocument/2006/relationships/hyperlink" Target="https://uploads-ssl.webflow.com/5be398fec98f64eddec9df1c/5be398fec98f64c42cc9df5f_LCL711480MR_CZae.pdf" TargetMode="External"/><Relationship Id="rId1" Type="http://schemas.openxmlformats.org/officeDocument/2006/relationships/hyperlink" Target="https://www.energymadeeasy.gov.au/offer/687975?postcode=5000" TargetMode="External"/><Relationship Id="rId6" Type="http://schemas.openxmlformats.org/officeDocument/2006/relationships/hyperlink" Target="https://www.energymadeeasy.gov.au/offer/930474/print?postcode=5000&amp;fuelType=E&amp;distributor-E=42" TargetMode="External"/><Relationship Id="rId11" Type="http://schemas.openxmlformats.org/officeDocument/2006/relationships/hyperlink" Target="https://www.energymadeeasy.gov.au/offer/929733/print?postcode=5000&amp;fuelType=E&amp;distributor-E=42" TargetMode="External"/><Relationship Id="rId5" Type="http://schemas.openxmlformats.org/officeDocument/2006/relationships/hyperlink" Target="https://www.energymadeeasy.gov.au/offer/930746?postcode=5000" TargetMode="External"/><Relationship Id="rId15" Type="http://schemas.openxmlformats.org/officeDocument/2006/relationships/hyperlink" Target="https://www.energymadeeasy.gov.au/offer/936472?postcode=5000" TargetMode="External"/><Relationship Id="rId10" Type="http://schemas.openxmlformats.org/officeDocument/2006/relationships/hyperlink" Target="https://www.energymadeeasy.gov.au/offer/911806?postcode=5000" TargetMode="External"/><Relationship Id="rId4" Type="http://schemas.openxmlformats.org/officeDocument/2006/relationships/hyperlink" Target="https://www.energymadeeasy.gov.au/offer/923056?utm_source=amaysim+Energy&amp;utm_campaign=bpi-retailer&amp;utm_medium=retailer&amp;postcode=5000" TargetMode="External"/><Relationship Id="rId9" Type="http://schemas.openxmlformats.org/officeDocument/2006/relationships/hyperlink" Target="https://www.energymadeeasy.gov.au/offer/687976?postcode=5000" TargetMode="External"/><Relationship Id="rId14" Type="http://schemas.openxmlformats.org/officeDocument/2006/relationships/hyperlink" Target="https://s3-ap-southeast-2.amazonaws.com/psau-wordpress/wp-content/uploads/2019/06/30212117/PSH-SAPN-90701-MR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124"/>
  <sheetViews>
    <sheetView showGridLines="0" workbookViewId="0">
      <selection activeCell="P44" sqref="P44:R45"/>
    </sheetView>
  </sheetViews>
  <sheetFormatPr baseColWidth="10" defaultRowHeight="13" x14ac:dyDescent="0.15"/>
  <cols>
    <col min="1" max="2" width="7.5" style="29" customWidth="1"/>
    <col min="3" max="3" width="7.6640625" style="29" customWidth="1"/>
    <col min="4" max="13" width="7.5" style="29" customWidth="1"/>
    <col min="14" max="14" width="10" style="29" customWidth="1"/>
    <col min="15" max="15" width="13.6640625" style="29" customWidth="1"/>
    <col min="16" max="20" width="10.83203125" style="29"/>
    <col min="21" max="21" width="15.33203125" style="29" customWidth="1"/>
    <col min="22" max="22" width="14.83203125" style="29" customWidth="1"/>
    <col min="23" max="23" width="13.33203125" style="29" customWidth="1"/>
    <col min="24" max="24" width="12.33203125" style="29" customWidth="1"/>
    <col min="25" max="25" width="7.5" style="29" customWidth="1"/>
    <col min="26" max="26" width="15.83203125" style="29" customWidth="1"/>
    <col min="27" max="30" width="7.5" style="29" customWidth="1"/>
    <col min="31" max="16384" width="10.83203125" style="29"/>
  </cols>
  <sheetData>
    <row r="1" spans="1:36" ht="14" x14ac:dyDescent="0.15">
      <c r="A1" s="42" t="s">
        <v>521</v>
      </c>
      <c r="B1" s="43"/>
      <c r="C1" s="43"/>
      <c r="D1" s="43"/>
      <c r="E1" s="43"/>
      <c r="F1" s="43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</row>
    <row r="2" spans="1:36" x14ac:dyDescent="0.15">
      <c r="A2" s="45" t="s">
        <v>413</v>
      </c>
      <c r="B2" s="46"/>
      <c r="C2" s="46"/>
      <c r="D2" s="46"/>
      <c r="E2" s="46"/>
      <c r="F2" s="47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</row>
    <row r="3" spans="1:36" ht="14" x14ac:dyDescent="0.15">
      <c r="A3" s="48" t="s">
        <v>1025</v>
      </c>
      <c r="B3" s="43"/>
      <c r="C3" s="43"/>
      <c r="D3" s="43"/>
      <c r="E3" s="43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</row>
    <row r="4" spans="1:36" x14ac:dyDescent="0.15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</row>
    <row r="5" spans="1:36" ht="14" thickBot="1" x14ac:dyDescent="0.2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</row>
    <row r="6" spans="1:36" x14ac:dyDescent="0.15">
      <c r="A6" s="43" t="s">
        <v>252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9" t="s">
        <v>417</v>
      </c>
      <c r="S6" s="50"/>
      <c r="T6" s="50"/>
      <c r="U6" s="50"/>
      <c r="V6" s="50"/>
      <c r="W6" s="50"/>
      <c r="X6" s="51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</row>
    <row r="7" spans="1:36" ht="14" thickBot="1" x14ac:dyDescent="0.2">
      <c r="A7" s="44" t="s">
        <v>602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52" t="s">
        <v>595</v>
      </c>
      <c r="S7" s="53"/>
      <c r="T7" s="53"/>
      <c r="U7" s="53"/>
      <c r="V7" s="53"/>
      <c r="W7" s="53"/>
      <c r="X7" s="5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</row>
    <row r="8" spans="1:36" x14ac:dyDescent="0.15">
      <c r="A8" s="44" t="s">
        <v>201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172" t="s">
        <v>391</v>
      </c>
      <c r="P8" s="44"/>
      <c r="Q8" s="44"/>
      <c r="R8" s="52" t="s">
        <v>552</v>
      </c>
      <c r="S8" s="53"/>
      <c r="T8" s="53"/>
      <c r="U8" s="53"/>
      <c r="V8" s="53"/>
      <c r="W8" s="53"/>
      <c r="X8" s="5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</row>
    <row r="9" spans="1:36" x14ac:dyDescent="0.15">
      <c r="A9" s="44" t="s">
        <v>313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310" t="s">
        <v>1066</v>
      </c>
      <c r="Q9" s="44"/>
      <c r="R9" s="52" t="s">
        <v>398</v>
      </c>
      <c r="S9" s="53"/>
      <c r="T9" s="53"/>
      <c r="U9" s="53"/>
      <c r="V9" s="53"/>
      <c r="W9" s="53"/>
      <c r="X9" s="5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</row>
    <row r="10" spans="1:36" ht="14" thickBot="1" x14ac:dyDescent="0.2">
      <c r="A10" s="44" t="s">
        <v>561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O10" s="296" t="s">
        <v>1024</v>
      </c>
      <c r="P10" s="44"/>
      <c r="Q10" s="44"/>
      <c r="R10" s="55" t="s">
        <v>308</v>
      </c>
      <c r="S10" s="56"/>
      <c r="T10" s="56"/>
      <c r="U10" s="56"/>
      <c r="V10" s="56"/>
      <c r="W10" s="56"/>
      <c r="X10" s="57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</row>
    <row r="11" spans="1:36" x14ac:dyDescent="0.1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287" t="s">
        <v>1018</v>
      </c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</row>
    <row r="12" spans="1:36" ht="14" x14ac:dyDescent="0.15">
      <c r="A12" s="71" t="s">
        <v>50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221" t="s">
        <v>867</v>
      </c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</row>
    <row r="13" spans="1:36" ht="15" thickBot="1" x14ac:dyDescent="0.2">
      <c r="A13" s="60" t="s">
        <v>28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192" t="s">
        <v>778</v>
      </c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</row>
    <row r="14" spans="1:36" x14ac:dyDescent="0.1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173" t="s">
        <v>613</v>
      </c>
      <c r="P14" s="44"/>
      <c r="Q14" s="44"/>
      <c r="R14" s="49" t="s">
        <v>445</v>
      </c>
      <c r="S14" s="50"/>
      <c r="T14" s="50"/>
      <c r="U14" s="50"/>
      <c r="V14" s="50"/>
      <c r="W14" s="50"/>
      <c r="X14" s="50"/>
      <c r="Y14" s="50"/>
      <c r="Z14" s="51"/>
      <c r="AA14" s="44"/>
      <c r="AB14" s="44"/>
      <c r="AC14" s="44"/>
      <c r="AD14" s="44"/>
      <c r="AE14" s="44"/>
      <c r="AF14" s="44"/>
      <c r="AG14" s="44"/>
      <c r="AH14" s="44"/>
      <c r="AI14" s="44"/>
      <c r="AJ14" s="44"/>
    </row>
    <row r="15" spans="1:36" x14ac:dyDescent="0.15">
      <c r="A15" s="43" t="s">
        <v>455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174" t="s">
        <v>612</v>
      </c>
      <c r="P15" s="44"/>
      <c r="Q15" s="44"/>
      <c r="R15" s="52" t="s">
        <v>379</v>
      </c>
      <c r="S15" s="53"/>
      <c r="T15" s="53"/>
      <c r="U15" s="53"/>
      <c r="V15" s="53"/>
      <c r="W15" s="53"/>
      <c r="X15" s="53"/>
      <c r="Y15" s="53"/>
      <c r="Z15" s="54"/>
      <c r="AA15" s="44"/>
      <c r="AB15" s="44"/>
      <c r="AC15" s="44"/>
      <c r="AD15" s="44"/>
      <c r="AE15" s="44"/>
      <c r="AF15" s="44"/>
      <c r="AG15" s="44"/>
      <c r="AH15" s="44"/>
      <c r="AI15" s="44"/>
      <c r="AJ15" s="44"/>
    </row>
    <row r="16" spans="1:36" x14ac:dyDescent="0.15">
      <c r="A16" s="151" t="s">
        <v>1059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175" t="s">
        <v>49</v>
      </c>
      <c r="P16" s="44"/>
      <c r="Q16" s="44"/>
      <c r="R16" s="52" t="s">
        <v>600</v>
      </c>
      <c r="S16" s="53"/>
      <c r="T16" s="53"/>
      <c r="U16" s="53"/>
      <c r="V16" s="53"/>
      <c r="W16" s="53"/>
      <c r="X16" s="53"/>
      <c r="Y16" s="53"/>
      <c r="Z16" s="54"/>
      <c r="AA16" s="44"/>
      <c r="AB16" s="44"/>
      <c r="AC16" s="44"/>
      <c r="AD16" s="44"/>
      <c r="AE16" s="44"/>
      <c r="AF16" s="44"/>
      <c r="AG16" s="44"/>
      <c r="AH16" s="44"/>
      <c r="AI16" s="44"/>
      <c r="AJ16" s="44"/>
    </row>
    <row r="17" spans="1:36" x14ac:dyDescent="0.15">
      <c r="A17" s="151" t="s">
        <v>1060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176" t="s">
        <v>459</v>
      </c>
      <c r="P17" s="44"/>
      <c r="Q17" s="44"/>
      <c r="R17" s="52" t="s">
        <v>473</v>
      </c>
      <c r="S17" s="53"/>
      <c r="T17" s="53"/>
      <c r="U17" s="53"/>
      <c r="V17" s="53"/>
      <c r="W17" s="53"/>
      <c r="X17" s="53"/>
      <c r="Y17" s="53"/>
      <c r="Z17" s="54"/>
      <c r="AA17" s="44"/>
      <c r="AB17" s="44"/>
      <c r="AC17" s="44"/>
      <c r="AD17" s="44"/>
      <c r="AE17" s="44"/>
      <c r="AF17" s="44"/>
      <c r="AG17" s="44"/>
      <c r="AH17" s="44"/>
      <c r="AI17" s="44"/>
      <c r="AJ17" s="44"/>
    </row>
    <row r="18" spans="1:36" x14ac:dyDescent="0.15">
      <c r="A18" s="151" t="s">
        <v>1061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O18" s="177" t="s">
        <v>345</v>
      </c>
      <c r="P18" s="44"/>
      <c r="Q18" s="44"/>
      <c r="R18" s="52" t="s">
        <v>508</v>
      </c>
      <c r="S18" s="53"/>
      <c r="T18" s="53"/>
      <c r="U18" s="53"/>
      <c r="V18" s="53"/>
      <c r="W18" s="53"/>
      <c r="X18" s="53"/>
      <c r="Y18" s="53"/>
      <c r="Z18" s="54"/>
      <c r="AA18" s="44"/>
      <c r="AB18" s="44"/>
      <c r="AC18" s="44"/>
      <c r="AD18" s="44"/>
      <c r="AE18" s="44"/>
      <c r="AF18" s="44"/>
      <c r="AG18" s="44"/>
      <c r="AH18" s="44"/>
      <c r="AI18" s="44"/>
      <c r="AJ18" s="44"/>
    </row>
    <row r="19" spans="1:36" x14ac:dyDescent="0.15">
      <c r="A19" s="151" t="s">
        <v>1062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178" t="s">
        <v>392</v>
      </c>
      <c r="P19" s="44"/>
      <c r="Q19" s="44"/>
      <c r="R19" s="52" t="s">
        <v>550</v>
      </c>
      <c r="S19" s="53"/>
      <c r="T19" s="53"/>
      <c r="U19" s="53"/>
      <c r="V19" s="53"/>
      <c r="W19" s="53"/>
      <c r="X19" s="53"/>
      <c r="Y19" s="53"/>
      <c r="Z19" s="54"/>
      <c r="AA19" s="44"/>
      <c r="AB19" s="44"/>
      <c r="AC19" s="44"/>
      <c r="AD19" s="44"/>
      <c r="AE19" s="44"/>
      <c r="AF19" s="44"/>
      <c r="AG19" s="44"/>
      <c r="AH19" s="44"/>
      <c r="AI19" s="44"/>
      <c r="AJ19" s="44"/>
    </row>
    <row r="20" spans="1:36" x14ac:dyDescent="0.15">
      <c r="A20" s="151" t="s">
        <v>1063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79" t="s">
        <v>393</v>
      </c>
      <c r="P20" s="44"/>
      <c r="Q20" s="44"/>
      <c r="R20" s="52" t="s">
        <v>514</v>
      </c>
      <c r="S20" s="53"/>
      <c r="T20" s="53"/>
      <c r="U20" s="53"/>
      <c r="V20" s="53"/>
      <c r="W20" s="53"/>
      <c r="X20" s="53"/>
      <c r="Y20" s="53"/>
      <c r="Z20" s="54"/>
      <c r="AA20" s="44"/>
      <c r="AB20" s="44"/>
      <c r="AC20" s="44"/>
      <c r="AD20" s="44"/>
      <c r="AE20" s="44"/>
      <c r="AF20" s="44"/>
      <c r="AG20" s="44"/>
      <c r="AH20" s="44"/>
      <c r="AI20" s="44"/>
      <c r="AJ20" s="44"/>
    </row>
    <row r="21" spans="1:36" ht="14" thickBot="1" x14ac:dyDescent="0.2">
      <c r="A21" s="151" t="s">
        <v>1064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O21" s="180" t="s">
        <v>394</v>
      </c>
      <c r="Q21" s="44"/>
      <c r="R21" s="52" t="s">
        <v>229</v>
      </c>
      <c r="S21" s="53"/>
      <c r="T21" s="53"/>
      <c r="U21" s="53"/>
      <c r="V21" s="53"/>
      <c r="W21" s="53"/>
      <c r="X21" s="53"/>
      <c r="Y21" s="53"/>
      <c r="Z21" s="54"/>
      <c r="AA21" s="44"/>
      <c r="AB21" s="44"/>
      <c r="AC21" s="44"/>
      <c r="AD21" s="44"/>
      <c r="AE21" s="44"/>
      <c r="AF21" s="44"/>
      <c r="AG21" s="44"/>
      <c r="AH21" s="44"/>
      <c r="AI21" s="44"/>
      <c r="AJ21" s="44"/>
    </row>
    <row r="22" spans="1:36" ht="14" thickBot="1" x14ac:dyDescent="0.2">
      <c r="A22" s="44" t="s">
        <v>605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168"/>
      <c r="Q22" s="44"/>
      <c r="R22" s="55" t="s">
        <v>435</v>
      </c>
      <c r="S22" s="56"/>
      <c r="T22" s="56"/>
      <c r="U22" s="56"/>
      <c r="V22" s="56"/>
      <c r="W22" s="56"/>
      <c r="X22" s="56"/>
      <c r="Y22" s="56"/>
      <c r="Z22" s="57"/>
      <c r="AA22" s="44"/>
      <c r="AB22" s="44"/>
      <c r="AC22" s="44"/>
      <c r="AD22" s="44"/>
      <c r="AE22" s="44"/>
      <c r="AF22" s="44"/>
      <c r="AG22" s="44"/>
      <c r="AH22" s="44"/>
      <c r="AI22" s="44"/>
      <c r="AJ22" s="44"/>
    </row>
    <row r="23" spans="1:36" x14ac:dyDescent="0.15">
      <c r="A23" s="44" t="s">
        <v>606</v>
      </c>
      <c r="B23" s="44"/>
      <c r="C23" s="44"/>
      <c r="D23" s="44"/>
      <c r="E23" s="44"/>
      <c r="F23" s="44"/>
      <c r="G23" s="44"/>
      <c r="H23" s="44"/>
      <c r="I23" s="44"/>
      <c r="J23" s="58"/>
      <c r="K23" s="44"/>
      <c r="L23" s="44"/>
      <c r="N23" s="168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</row>
    <row r="24" spans="1:36" x14ac:dyDescent="0.15">
      <c r="A24" s="44" t="s">
        <v>607</v>
      </c>
      <c r="B24" s="44"/>
      <c r="C24" s="44"/>
      <c r="D24" s="44"/>
      <c r="E24" s="44"/>
      <c r="F24" s="44"/>
      <c r="G24" s="44"/>
      <c r="H24" s="44"/>
      <c r="I24" s="44"/>
      <c r="J24" s="58"/>
      <c r="K24" s="44"/>
      <c r="L24" s="44"/>
      <c r="M24" s="44"/>
      <c r="N24" s="16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</row>
    <row r="25" spans="1:36" ht="14" thickBot="1" x14ac:dyDescent="0.2">
      <c r="A25" s="44" t="s">
        <v>608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16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</row>
    <row r="26" spans="1:36" x14ac:dyDescent="0.15">
      <c r="A26" s="44" t="s">
        <v>609</v>
      </c>
      <c r="B26" s="44"/>
      <c r="C26" s="44"/>
      <c r="D26" s="44"/>
      <c r="E26" s="44"/>
      <c r="F26" s="44"/>
      <c r="G26" s="44"/>
      <c r="H26" s="44"/>
      <c r="I26" s="44"/>
      <c r="J26" s="44"/>
      <c r="L26" s="44"/>
      <c r="M26" s="44"/>
      <c r="N26" s="168"/>
      <c r="Q26" s="107" t="s">
        <v>332</v>
      </c>
      <c r="R26" s="108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</row>
    <row r="27" spans="1:36" x14ac:dyDescent="0.15">
      <c r="A27" s="151" t="s">
        <v>1019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168"/>
      <c r="Q27" s="111" t="s">
        <v>492</v>
      </c>
      <c r="R27" s="258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</row>
    <row r="28" spans="1:36" x14ac:dyDescent="0.15">
      <c r="A28" s="151" t="s">
        <v>1020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168"/>
      <c r="Q28" s="111" t="s">
        <v>131</v>
      </c>
      <c r="R28" s="109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</row>
    <row r="29" spans="1:36" x14ac:dyDescent="0.15">
      <c r="A29" s="151" t="s">
        <v>1021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168"/>
      <c r="Q29" s="111" t="s">
        <v>134</v>
      </c>
      <c r="R29" s="109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</row>
    <row r="30" spans="1:36" x14ac:dyDescent="0.15">
      <c r="A30" s="151" t="s">
        <v>1022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168"/>
      <c r="Q30" s="111" t="s">
        <v>136</v>
      </c>
      <c r="R30" s="109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</row>
    <row r="31" spans="1:36" x14ac:dyDescent="0.15">
      <c r="A31" s="151" t="s">
        <v>1023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168"/>
      <c r="Q31" s="111" t="s">
        <v>137</v>
      </c>
      <c r="R31" s="109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</row>
    <row r="32" spans="1:36" x14ac:dyDescent="0.15">
      <c r="A32" s="151" t="s">
        <v>1026</v>
      </c>
      <c r="B32" s="44"/>
      <c r="C32" s="44"/>
      <c r="D32" s="44"/>
      <c r="E32" s="44"/>
      <c r="F32" s="44"/>
      <c r="G32" s="44"/>
      <c r="H32" s="44"/>
      <c r="I32" s="44"/>
      <c r="J32" s="58"/>
      <c r="K32" s="44"/>
      <c r="L32" s="44"/>
      <c r="M32" s="44"/>
      <c r="N32" s="168"/>
      <c r="Q32" s="111" t="s">
        <v>139</v>
      </c>
      <c r="R32" s="109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6" x14ac:dyDescent="0.15">
      <c r="A33" s="151" t="s">
        <v>1065</v>
      </c>
      <c r="L33" s="44"/>
      <c r="M33" s="44"/>
      <c r="N33" s="168"/>
      <c r="Q33" s="111" t="s">
        <v>141</v>
      </c>
      <c r="R33" s="110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6" ht="14" x14ac:dyDescent="0.15">
      <c r="A34" s="60" t="s">
        <v>610</v>
      </c>
      <c r="L34" s="44"/>
      <c r="M34" s="44"/>
      <c r="N34" s="168"/>
      <c r="Q34" s="111" t="s">
        <v>708</v>
      </c>
      <c r="R34" s="109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</row>
    <row r="35" spans="1:36" x14ac:dyDescent="0.15">
      <c r="A35" s="43"/>
      <c r="B35" s="44"/>
      <c r="C35" s="44"/>
      <c r="D35" s="44"/>
      <c r="E35" s="44"/>
      <c r="F35" s="44"/>
      <c r="G35" s="44"/>
      <c r="H35" s="44"/>
      <c r="I35" s="44"/>
      <c r="J35" s="58"/>
      <c r="K35" s="44"/>
      <c r="L35" s="44"/>
      <c r="M35" s="44"/>
      <c r="N35" s="168"/>
      <c r="Q35" s="111" t="s">
        <v>142</v>
      </c>
      <c r="R35" s="109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</row>
    <row r="36" spans="1:36" x14ac:dyDescent="0.15">
      <c r="A36" s="43" t="s">
        <v>538</v>
      </c>
      <c r="B36" s="44"/>
      <c r="C36" s="44"/>
      <c r="D36" s="44"/>
      <c r="E36" s="44"/>
      <c r="F36" s="44"/>
      <c r="G36" s="44"/>
      <c r="H36" s="44"/>
      <c r="I36" s="44"/>
      <c r="J36" s="58"/>
      <c r="K36" s="44"/>
      <c r="L36" s="44"/>
      <c r="M36" s="44"/>
      <c r="N36" s="168"/>
      <c r="Q36" s="111" t="s">
        <v>714</v>
      </c>
      <c r="R36" s="109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</row>
    <row r="37" spans="1:36" x14ac:dyDescent="0.15">
      <c r="A37" s="151" t="s">
        <v>1058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168"/>
      <c r="Q37" s="111" t="s">
        <v>720</v>
      </c>
      <c r="R37" s="109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</row>
    <row r="38" spans="1:36" x14ac:dyDescent="0.15">
      <c r="A38" s="44" t="s">
        <v>153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168"/>
      <c r="Q38" s="111" t="s">
        <v>979</v>
      </c>
      <c r="R38" s="109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</row>
    <row r="39" spans="1:36" x14ac:dyDescent="0.1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168"/>
      <c r="Q39" s="111" t="s">
        <v>899</v>
      </c>
      <c r="R39" s="109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</row>
    <row r="40" spans="1:36" x14ac:dyDescent="0.15">
      <c r="A40" s="44" t="s">
        <v>611</v>
      </c>
      <c r="B40" s="44"/>
      <c r="C40" s="44"/>
      <c r="D40" s="44"/>
      <c r="E40" s="44"/>
      <c r="F40" s="44"/>
      <c r="G40" s="44"/>
      <c r="H40" s="44"/>
      <c r="I40" s="44"/>
      <c r="J40" s="44"/>
      <c r="L40" s="44"/>
      <c r="M40" s="44"/>
      <c r="N40" s="44"/>
      <c r="Q40" s="111" t="s">
        <v>1095</v>
      </c>
      <c r="R40" s="109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</row>
    <row r="41" spans="1:36" x14ac:dyDescent="0.15">
      <c r="A41" s="44" t="s">
        <v>498</v>
      </c>
      <c r="B41" s="44"/>
      <c r="C41" s="44"/>
      <c r="D41" s="44"/>
      <c r="E41" s="44"/>
      <c r="F41" s="44"/>
      <c r="G41" s="44"/>
      <c r="H41" s="44"/>
      <c r="I41" s="44"/>
      <c r="K41" s="147"/>
      <c r="L41" s="44"/>
      <c r="M41" s="44"/>
      <c r="N41" s="44"/>
      <c r="Q41" s="111" t="s">
        <v>1100</v>
      </c>
      <c r="R41" s="109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</row>
    <row r="42" spans="1:36" x14ac:dyDescent="0.15">
      <c r="A42" s="44" t="s">
        <v>311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Q42" s="111" t="s">
        <v>1105</v>
      </c>
      <c r="R42" s="109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</row>
    <row r="43" spans="1:36" ht="14" thickBot="1" x14ac:dyDescent="0.2">
      <c r="A43" s="44" t="s">
        <v>397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Q43" s="128" t="s">
        <v>1092</v>
      </c>
      <c r="R43" s="112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</row>
    <row r="44" spans="1:36" x14ac:dyDescent="0.1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</row>
    <row r="45" spans="1:36" x14ac:dyDescent="0.15">
      <c r="A45" s="44" t="s">
        <v>242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</row>
    <row r="46" spans="1:36" x14ac:dyDescent="0.15">
      <c r="A46" s="44" t="s">
        <v>144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</row>
    <row r="47" spans="1:36" x14ac:dyDescent="0.15">
      <c r="A47" s="44" t="s">
        <v>157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</row>
    <row r="48" spans="1:36" x14ac:dyDescent="0.15">
      <c r="A48" s="44" t="s">
        <v>537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</row>
    <row r="49" spans="1:36" x14ac:dyDescent="0.1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</row>
    <row r="50" spans="1:36" x14ac:dyDescent="0.15">
      <c r="A50" s="44" t="s">
        <v>471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</row>
    <row r="51" spans="1:36" x14ac:dyDescent="0.15">
      <c r="A51" s="44" t="s">
        <v>367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</row>
    <row r="52" spans="1:36" x14ac:dyDescent="0.1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</row>
    <row r="53" spans="1:36" x14ac:dyDescent="0.15">
      <c r="A53" s="44" t="s">
        <v>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</row>
    <row r="54" spans="1:36" x14ac:dyDescent="0.15">
      <c r="A54" s="44" t="s">
        <v>130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</row>
    <row r="55" spans="1:36" x14ac:dyDescent="0.1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</row>
    <row r="56" spans="1:36" x14ac:dyDescent="0.1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</row>
    <row r="57" spans="1:36" x14ac:dyDescent="0.1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</row>
    <row r="58" spans="1:36" x14ac:dyDescent="0.1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</row>
    <row r="59" spans="1:36" x14ac:dyDescent="0.1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</row>
    <row r="60" spans="1:36" x14ac:dyDescent="0.1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</row>
    <row r="61" spans="1:36" x14ac:dyDescent="0.1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</row>
    <row r="62" spans="1:36" x14ac:dyDescent="0.1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</row>
    <row r="63" spans="1:36" x14ac:dyDescent="0.1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</row>
    <row r="64" spans="1:36" x14ac:dyDescent="0.1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</row>
    <row r="65" spans="1:36" x14ac:dyDescent="0.1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</row>
    <row r="66" spans="1:36" x14ac:dyDescent="0.1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</row>
    <row r="67" spans="1:36" x14ac:dyDescent="0.1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</row>
    <row r="68" spans="1:36" x14ac:dyDescent="0.1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</row>
    <row r="69" spans="1:36" x14ac:dyDescent="0.1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</row>
    <row r="70" spans="1:36" x14ac:dyDescent="0.1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</row>
    <row r="71" spans="1:36" x14ac:dyDescent="0.1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</row>
    <row r="72" spans="1:36" x14ac:dyDescent="0.1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</row>
    <row r="73" spans="1:36" x14ac:dyDescent="0.1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</row>
    <row r="74" spans="1:36" x14ac:dyDescent="0.1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</row>
    <row r="75" spans="1:36" x14ac:dyDescent="0.1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</row>
    <row r="76" spans="1:36" x14ac:dyDescent="0.1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</row>
    <row r="77" spans="1:36" x14ac:dyDescent="0.1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</row>
    <row r="78" spans="1:36" x14ac:dyDescent="0.1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</row>
    <row r="79" spans="1:36" x14ac:dyDescent="0.1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</row>
    <row r="80" spans="1:36" x14ac:dyDescent="0.1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</row>
    <row r="81" spans="1:36" x14ac:dyDescent="0.1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 t="s">
        <v>371</v>
      </c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</row>
    <row r="82" spans="1:36" x14ac:dyDescent="0.1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</row>
    <row r="83" spans="1:36" x14ac:dyDescent="0.1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</row>
    <row r="84" spans="1:36" x14ac:dyDescent="0.1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</row>
    <row r="85" spans="1:36" x14ac:dyDescent="0.1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</row>
    <row r="86" spans="1:36" x14ac:dyDescent="0.1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</row>
    <row r="87" spans="1:36" x14ac:dyDescent="0.1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</row>
    <row r="88" spans="1:36" x14ac:dyDescent="0.1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</row>
    <row r="89" spans="1:36" x14ac:dyDescent="0.1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</row>
    <row r="90" spans="1:36" x14ac:dyDescent="0.1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</row>
    <row r="91" spans="1:36" x14ac:dyDescent="0.1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</row>
    <row r="92" spans="1:36" x14ac:dyDescent="0.1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</row>
    <row r="93" spans="1:36" x14ac:dyDescent="0.1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</row>
    <row r="94" spans="1:36" x14ac:dyDescent="0.1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</row>
    <row r="95" spans="1:36" x14ac:dyDescent="0.1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</row>
    <row r="96" spans="1:36" x14ac:dyDescent="0.1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</row>
    <row r="97" spans="1:36" x14ac:dyDescent="0.1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</row>
    <row r="98" spans="1:36" x14ac:dyDescent="0.1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</row>
    <row r="99" spans="1:36" x14ac:dyDescent="0.1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</row>
    <row r="100" spans="1:36" x14ac:dyDescent="0.1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</row>
    <row r="101" spans="1:36" x14ac:dyDescent="0.1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</row>
    <row r="102" spans="1:36" x14ac:dyDescent="0.1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</row>
    <row r="103" spans="1:36" x14ac:dyDescent="0.1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</row>
    <row r="104" spans="1:36" x14ac:dyDescent="0.1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</row>
    <row r="105" spans="1:36" x14ac:dyDescent="0.1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</row>
    <row r="106" spans="1:36" x14ac:dyDescent="0.1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</row>
    <row r="107" spans="1:36" x14ac:dyDescent="0.1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</row>
    <row r="108" spans="1:36" x14ac:dyDescent="0.1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</row>
    <row r="109" spans="1:36" x14ac:dyDescent="0.1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</row>
    <row r="110" spans="1:36" x14ac:dyDescent="0.1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</row>
    <row r="111" spans="1:36" x14ac:dyDescent="0.1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</row>
    <row r="112" spans="1:36" x14ac:dyDescent="0.1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</row>
    <row r="113" spans="1:36" x14ac:dyDescent="0.1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</row>
    <row r="114" spans="1:36" x14ac:dyDescent="0.1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</row>
    <row r="115" spans="1:36" x14ac:dyDescent="0.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</row>
    <row r="116" spans="1:36" x14ac:dyDescent="0.1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</row>
    <row r="117" spans="1:36" x14ac:dyDescent="0.1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</row>
    <row r="118" spans="1:36" x14ac:dyDescent="0.1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</row>
    <row r="119" spans="1:36" x14ac:dyDescent="0.1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</row>
    <row r="120" spans="1:36" x14ac:dyDescent="0.1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</row>
    <row r="121" spans="1:36" x14ac:dyDescent="0.1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</row>
    <row r="122" spans="1:36" x14ac:dyDescent="0.1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36" x14ac:dyDescent="0.1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</row>
    <row r="124" spans="1:36" x14ac:dyDescent="0.1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N124" s="44"/>
    </row>
  </sheetData>
  <sheetProtection algorithmName="SHA-512" hashValue="oU2d09kh47JdbI/XV0J0r3oEEwkM9fJggFYXWekIGaxeEAhBeSU55lIdy9jVqJUfINbaLo4zwYryPNYOuCz9RQ==" saltValue="yAr42z6j0/25D9ZGFjwldw==" spinCount="100000" sheet="1" objects="1" scenarios="1"/>
  <phoneticPr fontId="6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Q52"/>
  <sheetViews>
    <sheetView workbookViewId="0">
      <selection activeCell="F6" sqref="F6"/>
    </sheetView>
  </sheetViews>
  <sheetFormatPr baseColWidth="10" defaultRowHeight="13" x14ac:dyDescent="0.15"/>
  <cols>
    <col min="1" max="1" width="20.5" style="29" customWidth="1"/>
    <col min="2" max="2" width="2.5" style="29" customWidth="1"/>
    <col min="3" max="3" width="10" style="29" customWidth="1"/>
    <col min="4" max="4" width="11" style="29" customWidth="1"/>
    <col min="5" max="5" width="11.83203125" style="29" customWidth="1"/>
    <col min="6" max="11" width="10" style="29" customWidth="1"/>
    <col min="12" max="16384" width="10.83203125" style="29"/>
  </cols>
  <sheetData>
    <row r="1" spans="1:17" x14ac:dyDescent="0.15">
      <c r="A1" s="28" t="s">
        <v>518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spans="1:17" x14ac:dyDescent="0.1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7"/>
      <c r="M2" s="67"/>
      <c r="N2" s="67"/>
      <c r="O2" s="67"/>
      <c r="P2" s="67"/>
      <c r="Q2" s="67"/>
    </row>
    <row r="3" spans="1:17" x14ac:dyDescent="0.15">
      <c r="A3" s="31" t="s">
        <v>230</v>
      </c>
      <c r="B3" s="32"/>
      <c r="C3" s="28"/>
      <c r="D3" s="28"/>
      <c r="E3" s="28"/>
      <c r="F3" s="28"/>
      <c r="G3" s="28"/>
      <c r="H3" s="28"/>
      <c r="I3" s="28"/>
      <c r="J3" s="28"/>
      <c r="K3" s="28"/>
    </row>
    <row r="4" spans="1:17" x14ac:dyDescent="0.15">
      <c r="A4" s="28"/>
      <c r="B4" s="32"/>
      <c r="C4" s="28"/>
      <c r="D4" s="28"/>
      <c r="E4" s="28"/>
      <c r="F4" s="28"/>
      <c r="G4" s="28"/>
      <c r="H4" s="28"/>
      <c r="I4" s="28"/>
      <c r="J4" s="28"/>
      <c r="K4" s="28"/>
    </row>
    <row r="5" spans="1:17" x14ac:dyDescent="0.15">
      <c r="A5" s="33" t="s">
        <v>418</v>
      </c>
      <c r="B5" s="32"/>
      <c r="C5" s="33" t="s">
        <v>335</v>
      </c>
      <c r="D5" s="28"/>
      <c r="E5" s="28"/>
      <c r="F5" s="10">
        <v>6000</v>
      </c>
      <c r="G5" s="28"/>
      <c r="H5" s="28"/>
      <c r="I5" s="28"/>
      <c r="J5" s="28"/>
      <c r="K5" s="28"/>
    </row>
    <row r="6" spans="1:17" x14ac:dyDescent="0.15">
      <c r="A6" s="28"/>
      <c r="B6" s="32"/>
      <c r="C6" s="28"/>
      <c r="D6" s="28"/>
      <c r="E6" s="28"/>
      <c r="F6" s="28"/>
      <c r="G6" s="28"/>
      <c r="H6" s="28"/>
      <c r="I6" s="28"/>
      <c r="J6" s="28"/>
      <c r="K6" s="28"/>
    </row>
    <row r="7" spans="1:17" x14ac:dyDescent="0.15">
      <c r="A7" s="34" t="s">
        <v>249</v>
      </c>
      <c r="B7" s="35"/>
      <c r="C7" s="9" t="s">
        <v>492</v>
      </c>
      <c r="D7" s="9" t="s">
        <v>491</v>
      </c>
      <c r="E7" s="9" t="s">
        <v>385</v>
      </c>
      <c r="F7" s="9" t="s">
        <v>494</v>
      </c>
      <c r="G7" s="9" t="s">
        <v>470</v>
      </c>
      <c r="H7" s="9" t="s">
        <v>467</v>
      </c>
      <c r="I7" s="9" t="s">
        <v>263</v>
      </c>
      <c r="J7" s="9" t="s">
        <v>203</v>
      </c>
      <c r="K7" s="9" t="s">
        <v>247</v>
      </c>
      <c r="L7" s="9" t="s">
        <v>204</v>
      </c>
      <c r="M7" s="9" t="s">
        <v>246</v>
      </c>
      <c r="N7" s="9" t="s">
        <v>323</v>
      </c>
      <c r="O7" s="9" t="s">
        <v>194</v>
      </c>
      <c r="P7" s="9" t="s">
        <v>248</v>
      </c>
      <c r="Q7" s="9" t="s">
        <v>594</v>
      </c>
    </row>
    <row r="8" spans="1:17" x14ac:dyDescent="0.15">
      <c r="A8" s="28" t="s">
        <v>243</v>
      </c>
      <c r="B8" s="32"/>
      <c r="C8" s="36">
        <f>IF($F5*'Tariff Jul''15'!E7/'Tariff Jul''15'!E8&gt;='Tariff Jul''15'!E11,('Tariff Jul''15'!E11*'Tariff Jul''15'!E15/100*1.1)*'Tariff Jul''15'!E8,($F5*'Tariff Jul''15'!E7/'Tariff Jul''15'!E8*'Tariff Jul''15'!E15/100*1.1)*'Tariff Jul''15'!E8)</f>
        <v>321.20000000000005</v>
      </c>
      <c r="D8" s="36">
        <f>IF($F5*'Tariff Jul''15'!F7/'Tariff Jul''15'!F8&gt;='Tariff Jul''15'!F11,('Tariff Jul''15'!F11*'Tariff Jul''15'!F15/100*1.1)*'Tariff Jul''15'!F8,($F5*'Tariff Jul''15'!F7/'Tariff Jul''15'!F8*'Tariff Jul''15'!F15/100*1.1)*'Tariff Jul''15'!F8)</f>
        <v>316.8</v>
      </c>
      <c r="E8" s="36">
        <f>IF($F5*'Tariff Jul''15'!G7/'Tariff Jul''15'!G8&gt;='Tariff Jul''15'!G11,('Tariff Jul''15'!G11*'Tariff Jul''15'!G15/100*1.1)*'Tariff Jul''15'!G8,($F5*'Tariff Jul''15'!G7/'Tariff Jul''15'!G8*'Tariff Jul''15'!G15/100*1.1)*'Tariff Jul''15'!G8)</f>
        <v>322.19</v>
      </c>
      <c r="F8" s="36">
        <f>IF($F5*'Tariff Jul''15'!H7/'Tariff Jul''15'!H8&gt;='Tariff Jul''15'!H11,('Tariff Jul''15'!H11*'Tariff Jul''15'!H15/100*1.1)*'Tariff Jul''15'!H8,($F5*'Tariff Jul''15'!H7/'Tariff Jul''15'!H8*'Tariff Jul''15'!H15/100*1.1)*'Tariff Jul''15'!H8)</f>
        <v>90.684000000000012</v>
      </c>
      <c r="G8" s="36">
        <f>IF($F5*'Tariff Jul''15'!I7/'Tariff Jul''15'!I8&gt;='Tariff Jul''15'!I11,('Tariff Jul''15'!I11*'Tariff Jul''15'!I15/100*1.1)*'Tariff Jul''15'!I8,($F5*'Tariff Jul''15'!I7/'Tariff Jul''15'!I8*'Tariff Jul''15'!I15/100*1.1)*'Tariff Jul''15'!I8)</f>
        <v>90.420000000000016</v>
      </c>
      <c r="H8" s="36">
        <f>IF($F5*'Tariff Jul''15'!J7/'Tariff Jul''15'!J8&gt;='Tariff Jul''15'!J11,('Tariff Jul''15'!J11*'Tariff Jul''15'!J15/100*1.1)*'Tariff Jul''15'!J8,($F5*'Tariff Jul''15'!J7/'Tariff Jul''15'!J8*'Tariff Jul''15'!J15/100*1.1)*'Tariff Jul''15'!J8)</f>
        <v>87.350999999999999</v>
      </c>
      <c r="I8" s="36">
        <f>IF($F5*'Tariff Jul''15'!K7/'Tariff Jul''15'!K8&gt;='Tariff Jul''15'!K11,('Tariff Jul''15'!K11*'Tariff Jul''15'!K15/100*1.1)*'Tariff Jul''15'!K8,($F5*'Tariff Jul''15'!K7/'Tariff Jul''15'!K8*'Tariff Jul''15'!K15/100*1.1)*'Tariff Jul''15'!K8)</f>
        <v>308.88000000000005</v>
      </c>
      <c r="J8" s="36">
        <f>IF($F5*'Tariff Jul''15'!L7/'Tariff Jul''15'!L8&gt;='Tariff Jul''15'!L11,('Tariff Jul''15'!L11*'Tariff Jul''15'!L15/100*1.1)*'Tariff Jul''15'!L8,($F5*'Tariff Jul''15'!L7/'Tariff Jul''15'!L8*'Tariff Jul''15'!L15/100*1.1)*'Tariff Jul''15'!L8)</f>
        <v>101.64000000000001</v>
      </c>
      <c r="K8" s="36">
        <f>IF($F5*'Tariff Jul''15'!M7/'Tariff Jul''15'!M8&gt;='Tariff Jul''15'!M11,('Tariff Jul''15'!M11*'Tariff Jul''15'!M15/100*1.1)*'Tariff Jul''15'!M8,($F5*'Tariff Jul''15'!M7/'Tariff Jul''15'!M8*'Tariff Jul''15'!M15/100*1.1)*'Tariff Jul''15'!M8)</f>
        <v>324.5</v>
      </c>
      <c r="L8" s="36">
        <f>IF($F5*'Tariff Jul''15'!N7/'Tariff Jul''15'!N8&gt;='Tariff Jul''15'!N11,('Tariff Jul''15'!N11*'Tariff Jul''15'!N15/100*1.1)*'Tariff Jul''15'!N8,($F5*'Tariff Jul''15'!N7/'Tariff Jul''15'!N8*'Tariff Jul''15'!N15/100*1.1)*'Tariff Jul''15'!N8)</f>
        <v>172.78800000000004</v>
      </c>
      <c r="M8" s="36">
        <f>IF($F5*'Tariff Jul''15'!O7/'Tariff Jul''15'!O8&gt;='Tariff Jul''15'!O11,('Tariff Jul''15'!O11*'Tariff Jul''15'!O15/100*1.1)*'Tariff Jul''15'!O8,($F5*'Tariff Jul''15'!O7/'Tariff Jul''15'!O8*'Tariff Jul''15'!O15/100*1.1)*'Tariff Jul''15'!O8)</f>
        <v>313.61000000000007</v>
      </c>
      <c r="N8" s="36">
        <f>IF($F5*'Tariff Jul''15'!P7/'Tariff Jul''15'!P8&gt;='Tariff Jul''15'!P11,('Tariff Jul''15'!P11*'Tariff Jul''15'!P15/100*1.1)*'Tariff Jul''15'!P8,($F5*'Tariff Jul''15'!P7/'Tariff Jul''15'!P8*'Tariff Jul''15'!P15/100*1.1)*'Tariff Jul''15'!P8)</f>
        <v>345.40000000000003</v>
      </c>
      <c r="O8" s="36">
        <f>IF($F5*'Tariff Jul''15'!Q7/'Tariff Jul''15'!Q8&gt;='Tariff Jul''15'!Q11,('Tariff Jul''15'!Q11*'Tariff Jul''15'!Q15/100*1.1)*'Tariff Jul''15'!Q8,($F5*'Tariff Jul''15'!Q7/'Tariff Jul''15'!Q8*'Tariff Jul''15'!Q15/100*1.1)*'Tariff Jul''15'!Q8)</f>
        <v>90.420000000000016</v>
      </c>
      <c r="P8" s="36">
        <f>IF($F5*'Tariff Jul''15'!R7/'Tariff Jul''15'!R8&gt;='Tariff Jul''15'!R11,('Tariff Jul''15'!R11*'Tariff Jul''15'!R15/100*1.1)*'Tariff Jul''15'!R8,($F5*'Tariff Jul''15'!R7/'Tariff Jul''15'!R8*'Tariff Jul''15'!R15/100*1.1)*'Tariff Jul''15'!R8)</f>
        <v>291.92900000000003</v>
      </c>
      <c r="Q8" s="32"/>
    </row>
    <row r="9" spans="1:17" x14ac:dyDescent="0.15">
      <c r="A9" s="28" t="s">
        <v>317</v>
      </c>
      <c r="B9" s="32"/>
      <c r="C9" s="36">
        <f>IF($F5*'Tariff Jul''15'!E7/'Tariff Jul''15'!E8&lt;'Tariff Jul''15'!E11,0,IF($F5*'Tariff Jul''15'!E7/'Tariff Jul''15'!E8&lt;='Tariff Jul''15'!E12,($F5*'Tariff Jul''15'!E7/'Tariff Jul''15'!E8-'Tariff Jul''15'!E11)*('Tariff Jul''15'!E16/100*1.1)*'Tariff Jul''15'!E8,('Tariff Jul''15'!E12-'Tariff Jul''15'!E11)*('Tariff Jul''15'!E16/100*1.1)*'Tariff Jul''15'!E8))</f>
        <v>0</v>
      </c>
      <c r="D9" s="36">
        <v>0</v>
      </c>
      <c r="E9" s="36">
        <f>IF($F5*'Tariff Jul''15'!G7/'Tariff Jul''15'!G8&lt;'Tariff Jul''15'!G11,0,IF($F5*'Tariff Jul''15'!G7/'Tariff Jul''15'!G8&lt;='Tariff Jul''15'!G12,($F5*'Tariff Jul''15'!G7/'Tariff Jul''15'!G8-'Tariff Jul''15'!G11)*('Tariff Jul''15'!G16/100*1.1)*'Tariff Jul''15'!G8,('Tariff Jul''15'!G12-'Tariff Jul''15'!G11)*('Tariff Jul''15'!G16/100*1.1)*'Tariff Jul''15'!G8))</f>
        <v>185.73500000000004</v>
      </c>
      <c r="F9" s="36">
        <f>IF($F5*'Tariff Jul''15'!H7/'Tariff Jul''15'!H8&lt;'Tariff Jul''15'!H11,0,IF($F5*'Tariff Jul''15'!H7/'Tariff Jul''15'!H8&lt;='Tariff Jul''15'!H12,($F5*'Tariff Jul''15'!H7/'Tariff Jul''15'!H8-'Tariff Jul''15'!H11)*('Tariff Jul''15'!H16/100*1.1)*'Tariff Jul''15'!H8,('Tariff Jul''15'!H12-'Tariff Jul''15'!H11)*('Tariff Jul''15'!H16/100*1.1)*'Tariff Jul''15'!H8))</f>
        <v>215.446</v>
      </c>
      <c r="G9" s="36">
        <f>IF($F5*'Tariff Jul''15'!I7/'Tariff Jul''15'!I8&lt;'Tariff Jul''15'!I11,0,IF($F5*'Tariff Jul''15'!I7/'Tariff Jul''15'!I8&lt;='Tariff Jul''15'!I12,($F5*'Tariff Jul''15'!I7/'Tariff Jul''15'!I8-'Tariff Jul''15'!I11)*('Tariff Jul''15'!I16/100*1.1)*'Tariff Jul''15'!I8,('Tariff Jul''15'!I12-'Tariff Jul''15'!I11)*('Tariff Jul''15'!I16/100*1.1)*'Tariff Jul''15'!I8))</f>
        <v>219.60400000000004</v>
      </c>
      <c r="H9" s="36">
        <f>IF($F5*'Tariff Jul''15'!J7/'Tariff Jul''15'!J8&lt;'Tariff Jul''15'!J11,0,IF($F5*'Tariff Jul''15'!J7/'Tariff Jul''15'!J8&lt;='Tariff Jul''15'!J12,($F5*'Tariff Jul''15'!J7/'Tariff Jul''15'!J8-'Tariff Jul''15'!J11)*('Tariff Jul''15'!J16/100*1.1)*'Tariff Jul''15'!J8,('Tariff Jul''15'!J12-'Tariff Jul''15'!J11)*('Tariff Jul''15'!J16/100*1.1)*'Tariff Jul''15'!J8))</f>
        <v>207.82299999999998</v>
      </c>
      <c r="I9" s="36">
        <v>0</v>
      </c>
      <c r="J9" s="36">
        <f>IF($F5*'Tariff Jul''15'!L7/'Tariff Jul''15'!L8&lt;'Tariff Jul''15'!L11,0,IF($F5*'Tariff Jul''15'!L7/'Tariff Jul''15'!L8&lt;='Tariff Jul''15'!L12,($F5*'Tariff Jul''15'!L7/'Tariff Jul''15'!L8-'Tariff Jul''15'!L11)*('Tariff Jul''15'!L16/100*1.1)*'Tariff Jul''15'!L8,('Tariff Jul''15'!L12-'Tariff Jul''15'!L11)*('Tariff Jul''15'!L16/100*1.1)*'Tariff Jul''15'!L8))</f>
        <v>248.71</v>
      </c>
      <c r="K9" s="36">
        <f>IF($F5*'Tariff Jul''15'!M7/'Tariff Jul''15'!M8&lt;'Tariff Jul''15'!M11,0,IF($F5*'Tariff Jul''15'!M7/'Tariff Jul''15'!M8&lt;='Tariff Jul''15'!M12,($F5*'Tariff Jul''15'!M7/'Tariff Jul''15'!M8-'Tariff Jul''15'!M11)*('Tariff Jul''15'!M16/100*1.1)*'Tariff Jul''15'!M8,('Tariff Jul''15'!M12-'Tariff Jul''15'!M11)*('Tariff Jul''15'!M16/100*1.1)*'Tariff Jul''15'!M8))</f>
        <v>0</v>
      </c>
      <c r="L9" s="36">
        <f>IF($F5*'Tariff Jul''15'!N7/'Tariff Jul''15'!N8&lt;'Tariff Jul''15'!N11,0,IF($F5*'Tariff Jul''15'!N7/'Tariff Jul''15'!N8&lt;='Tariff Jul''15'!N12,($F5*'Tariff Jul''15'!N7/'Tariff Jul''15'!N8-'Tariff Jul''15'!N11)*('Tariff Jul''15'!N16/100*1.1)*'Tariff Jul''15'!N8,('Tariff Jul''15'!N12-'Tariff Jul''15'!N11)*('Tariff Jul''15'!N16/100*1.1)*'Tariff Jul''15'!N8))</f>
        <v>0</v>
      </c>
      <c r="M9" s="36">
        <f>IF($F5*'Tariff Jul''15'!O7/'Tariff Jul''15'!O8&lt;'Tariff Jul''15'!O11,0,IF($F5*'Tariff Jul''15'!O7/'Tariff Jul''15'!O8&lt;='Tariff Jul''15'!O12,($F5*'Tariff Jul''15'!O7/'Tariff Jul''15'!O8-'Tariff Jul''15'!O11)*('Tariff Jul''15'!O16/100*1.1)*'Tariff Jul''15'!O8,('Tariff Jul''15'!O12-'Tariff Jul''15'!O11)*('Tariff Jul''15'!O16/100*1.1)*'Tariff Jul''15'!O8))</f>
        <v>0</v>
      </c>
      <c r="N9" s="36">
        <f>IF($F5*'Tariff Jul''15'!P7/'Tariff Jul''15'!P8&lt;'Tariff Jul''15'!P11,0,IF($F5*'Tariff Jul''15'!P7/'Tariff Jul''15'!P8&lt;='Tariff Jul''15'!P12,($F5*'Tariff Jul''15'!P7/'Tariff Jul''15'!P8-'Tariff Jul''15'!P11)*('Tariff Jul''15'!P16/100*1.1)*'Tariff Jul''15'!P8,('Tariff Jul''15'!P12-'Tariff Jul''15'!P11)*('Tariff Jul''15'!P16/100*1.1)*'Tariff Jul''15'!P8))</f>
        <v>0</v>
      </c>
      <c r="O9" s="36">
        <f>IF($F5*'Tariff Jul''15'!Q7/'Tariff Jul''15'!Q8&lt;'Tariff Jul''15'!Q11,0,IF($F5*'Tariff Jul''15'!Q7/'Tariff Jul''15'!Q8&lt;='Tariff Jul''15'!Q12,($F5*'Tariff Jul''15'!Q7/'Tariff Jul''15'!Q8-'Tariff Jul''15'!Q11)*('Tariff Jul''15'!Q16/100*1.1)*'Tariff Jul''15'!Q8,('Tariff Jul''15'!Q12-'Tariff Jul''15'!Q11)*('Tariff Jul''15'!Q16/100*1.1)*'Tariff Jul''15'!Q8))</f>
        <v>236.39</v>
      </c>
      <c r="P9" s="36">
        <f>IF($F5*'Tariff Jul''15'!R7/'Tariff Jul''15'!R8&lt;'Tariff Jul''15'!R11,0,IF($F5*'Tariff Jul''15'!R7/'Tariff Jul''15'!R8&lt;='Tariff Jul''15'!R12,($F5*'Tariff Jul''15'!R7/'Tariff Jul''15'!R8-'Tariff Jul''15'!R11)*('Tariff Jul''15'!R16/100*1.1)*'Tariff Jul''15'!R8,('Tariff Jul''15'!R12-'Tariff Jul''15'!R11)*('Tariff Jul''15'!R16/100*1.1)*'Tariff Jul''15'!R8))</f>
        <v>0</v>
      </c>
      <c r="Q9" s="32"/>
    </row>
    <row r="10" spans="1:17" x14ac:dyDescent="0.15">
      <c r="A10" s="28" t="s">
        <v>250</v>
      </c>
      <c r="B10" s="32"/>
      <c r="C10" s="36">
        <f>IF($F5*'Tariff Jul''15'!E7/'Tariff Jul''15'!E8&lt;'Tariff Jul''15'!E12,0,IF($F5*'Tariff Jul''15'!E7/'Tariff Jul''15'!E8&lt;='Tariff Jul''15'!E13,($F5*'Tariff Jul''15'!E7/'Tariff Jul''15'!E8-'Tariff Jul''15'!E12)*('Tariff Jul''15'!E17/100*1.1)*'Tariff Jul''15'!E8,('Tariff Jul''15'!E13-'Tariff Jul''15'!E12)*('Tariff Jul''15'!E17/100*1.1)*'Tariff Jul''15'!E8))</f>
        <v>0</v>
      </c>
      <c r="D10" s="36">
        <v>0</v>
      </c>
      <c r="E10" s="36">
        <f>IF($F5*'Tariff Jul''15'!G7/'Tariff Jul''15'!G8&lt;'Tariff Jul''15'!G12,0,IF($F5*'Tariff Jul''15'!G7/'Tariff Jul''15'!G8&lt;='Tariff Jul''15'!G13,($F5*'Tariff Jul''15'!G7/'Tariff Jul''15'!G8-'Tariff Jul''15'!G12)*('Tariff Jul''15'!G17/100*1.1)*'Tariff Jul''15'!G8,('Tariff Jul''15'!G13-'Tariff Jul''15'!G12)*('Tariff Jul''15'!G17/100*1.1)*'Tariff Jul''15'!G8))</f>
        <v>0</v>
      </c>
      <c r="F10" s="36">
        <f>IF($F5*'Tariff Jul''15'!H7/'Tariff Jul''15'!H8&lt;'Tariff Jul''15'!H12,0,IF($F5*'Tariff Jul''15'!H7/'Tariff Jul''15'!H8&lt;='Tariff Jul''15'!H13,($F5*'Tariff Jul''15'!H7/'Tariff Jul''15'!H8-'Tariff Jul''15'!H12)*('Tariff Jul''15'!H17/100*1.1)*'Tariff Jul''15'!H8,('Tariff Jul''15'!H13-'Tariff Jul''15'!H12)*('Tariff Jul''15'!H17/100*1.1)*'Tariff Jul''15'!H8))</f>
        <v>178.36500000000001</v>
      </c>
      <c r="G10" s="36">
        <f>IF($F5*'Tariff Jul''15'!I7/'Tariff Jul''15'!I8&lt;'Tariff Jul''15'!I12,0,IF($F5*'Tariff Jul''15'!I7/'Tariff Jul''15'!I8&lt;='Tariff Jul''15'!I13,($F5*'Tariff Jul''15'!I7/'Tariff Jul''15'!I8-'Tariff Jul''15'!I12)*('Tariff Jul''15'!I17/100*1.1)*'Tariff Jul''15'!I8,('Tariff Jul''15'!I13-'Tariff Jul''15'!I12)*('Tariff Jul''15'!I17/100*1.1)*'Tariff Jul''15'!I8))</f>
        <v>172.53500000000003</v>
      </c>
      <c r="H10" s="36">
        <f>IF($F5*'Tariff Jul''15'!J7/'Tariff Jul''15'!J8&lt;'Tariff Jul''15'!J12,0,IF($F5*'Tariff Jul''15'!J7/'Tariff Jul''15'!J8&lt;='Tariff Jul''15'!J13,($F5*'Tariff Jul''15'!J7/'Tariff Jul''15'!J8-'Tariff Jul''15'!J12)*('Tariff Jul''15'!J17/100*1.1)*'Tariff Jul''15'!J8,('Tariff Jul''15'!J13-'Tariff Jul''15'!J12)*('Tariff Jul''15'!J17/100*1.1)*'Tariff Jul''15'!J8))</f>
        <v>171.71</v>
      </c>
      <c r="I10" s="36">
        <v>0</v>
      </c>
      <c r="J10" s="36">
        <v>0</v>
      </c>
      <c r="K10" s="36">
        <f>IF($F5*'Tariff Jul''15'!M7/'Tariff Jul''15'!M8&lt;'Tariff Jul''15'!M12,0,IF($F5*'Tariff Jul''15'!M7/'Tariff Jul''15'!M8&lt;='Tariff Jul''15'!M13,($F5*'Tariff Jul''15'!M7/'Tariff Jul''15'!M8-'Tariff Jul''15'!M12)*('Tariff Jul''15'!M17/100*1.1)*'Tariff Jul''15'!M8,('Tariff Jul''15'!M13-'Tariff Jul''15'!M12)*('Tariff Jul''15'!M17/100*1.1)*'Tariff Jul''15'!M8))</f>
        <v>0</v>
      </c>
      <c r="L10" s="36">
        <v>0</v>
      </c>
      <c r="M10" s="36">
        <v>0</v>
      </c>
      <c r="N10" s="36">
        <f>IF($F5*'Tariff Jul''15'!P7/'Tariff Jul''15'!P8&lt;'Tariff Jul''15'!P12,0,IF($F5*'Tariff Jul''15'!P7/'Tariff Jul''15'!P8&lt;='Tariff Jul''15'!P13,($F5*'Tariff Jul''15'!P7/'Tariff Jul''15'!P8-'Tariff Jul''15'!P12)*('Tariff Jul''15'!P17/100*1.1)*'Tariff Jul''15'!P8,('Tariff Jul''15'!P13-'Tariff Jul''15'!P12)*('Tariff Jul''15'!P17/100*1.1)*'Tariff Jul''15'!P8))</f>
        <v>0</v>
      </c>
      <c r="O10" s="36">
        <v>0</v>
      </c>
      <c r="P10" s="36">
        <v>0</v>
      </c>
      <c r="Q10" s="32"/>
    </row>
    <row r="11" spans="1:17" x14ac:dyDescent="0.15">
      <c r="A11" s="28" t="s">
        <v>251</v>
      </c>
      <c r="B11" s="32"/>
      <c r="C11" s="36">
        <f>IF($F5*'Tariff Jul''15'!E7/'Tariff Jul''15'!E8&lt;'Tariff Jul''15'!E13,0,IF($F5*'Tariff Jul''15'!E7/'Tariff Jul''15'!E8&lt;='Tariff Jul''15'!E14,($F5*'Tariff Jul''15'!E7/'Tariff Jul''15'!E8-'Tariff Jul''15'!E13)*('Tariff Jul''15'!E18/100*1.1)*'Tariff Jul''14'!E8,('Tariff Jul''15'!E14-'Tariff Jul''15'!E13)*('Tariff Jul''15'!E18/100*1.1)*'Tariff Jul''15'!E8))</f>
        <v>0</v>
      </c>
      <c r="D11" s="36">
        <v>0</v>
      </c>
      <c r="E11" s="36">
        <f>IF($F5*'Tariff Jul''15'!G7/'Tariff Jul''15'!G8&lt;'Tariff Jul''15'!G13,0,IF($F5*'Tariff Jul''15'!G7/'Tariff Jul''15'!G8&lt;='Tariff Jul''15'!G14,($F5*'Tariff Jul''15'!G7/'Tariff Jul''15'!G8-'Tariff Jul''15'!G13)*('Tariff Jul''15'!G18/100*1.1)*'Tariff Jul''14'!G8,('Tariff Jul''15'!G14-'Tariff Jul''15'!G13)*('Tariff Jul''15'!G18/100*1.1)*'Tariff Jul''15'!G8))</f>
        <v>0</v>
      </c>
      <c r="F11" s="36">
        <f>IF($F5*'Tariff Jul''15'!H7/'Tariff Jul''15'!H8&lt;'Tariff Jul''15'!H13,0,IF($F5*'Tariff Jul''15'!H7/'Tariff Jul''15'!H8&lt;='Tariff Jul''15'!H14,($F5*'Tariff Jul''15'!H7/'Tariff Jul''15'!H8-'Tariff Jul''15'!H13)*('Tariff Jul''15'!H18/100*1.1)*'Tariff Jul''14'!H8,('Tariff Jul''15'!H14-'Tariff Jul''15'!H13)*('Tariff Jul''15'!H18/100*1.1)*'Tariff Jul''15'!H8))</f>
        <v>0</v>
      </c>
      <c r="G11" s="36">
        <f>IF($F5*'Tariff Jul''15'!I7/'Tariff Jul''15'!I8&lt;'Tariff Jul''15'!I13,0,IF($F5*'Tariff Jul''15'!I7/'Tariff Jul''15'!I8&lt;='Tariff Jul''15'!I14,($F5*'Tariff Jul''15'!I7/'Tariff Jul''15'!I8-'Tariff Jul''15'!I13)*('Tariff Jul''15'!I18/100*1.1)*'Tariff Jul''14'!I8,('Tariff Jul''15'!I14-'Tariff Jul''15'!I13)*('Tariff Jul''15'!I18/100*1.1)*'Tariff Jul''15'!I8))</f>
        <v>0</v>
      </c>
      <c r="H11" s="36">
        <f>IF($F5*'Tariff Jul''15'!J7/'Tariff Jul''15'!J8&lt;'Tariff Jul''15'!J13,0,IF($F5*'Tariff Jul''15'!J7/'Tariff Jul''15'!J8&lt;='Tariff Jul''15'!J14,($F5*'Tariff Jul''15'!J7/'Tariff Jul''15'!J8-'Tariff Jul''15'!J13)*('Tariff Jul''15'!J18/100*1.1)*'Tariff Jul''14'!K8,('Tariff Jul''15'!J14-'Tariff Jul''15'!J13)*('Tariff Jul''15'!J18/100*1.1)*'Tariff Jul''15'!J8))</f>
        <v>0</v>
      </c>
      <c r="I11" s="36">
        <v>0</v>
      </c>
      <c r="J11" s="36">
        <v>0</v>
      </c>
      <c r="K11" s="36">
        <f>IF($F5*'Tariff Jul''15'!M7/'Tariff Jul''15'!M8&lt;'Tariff Jul''15'!M13,0,IF($F5*'Tariff Jul''15'!M7/'Tariff Jul''15'!M8&lt;='Tariff Jul''15'!M14,($F5*'Tariff Jul''15'!M7/'Tariff Jul''15'!M8-'Tariff Jul''15'!M13)*('Tariff Jul''15'!M18/100*1.1)*'Tariff Jul''14'!M8,('Tariff Jul''15'!M14-'Tariff Jul''15'!M13)*('Tariff Jul''15'!M18/100*1.1)*'Tariff Jul''15'!M8))</f>
        <v>0</v>
      </c>
      <c r="L11" s="36">
        <v>0</v>
      </c>
      <c r="M11" s="36">
        <v>0</v>
      </c>
      <c r="N11" s="36">
        <f>IF($F5*'Tariff Jul''15'!P7/'Tariff Jul''15'!P8&lt;'Tariff Jul''15'!P13,0,IF($F5*'Tariff Jul''15'!P7/'Tariff Jul''15'!P8&lt;='Tariff Jul''15'!P14,($F5*'Tariff Jul''15'!P7/'Tariff Jul''15'!P8-'Tariff Jul''15'!P13)*('Tariff Jul''15'!P18/100*1.1)*'Tariff Jul''14'!P8,('Tariff Jul''15'!P14-'Tariff Jul''15'!P13)*('Tariff Jul''15'!P18/100*1.1)*'Tariff Jul''15'!P8))</f>
        <v>0</v>
      </c>
      <c r="O11" s="36">
        <v>0</v>
      </c>
      <c r="P11" s="36">
        <v>0</v>
      </c>
      <c r="Q11" s="32"/>
    </row>
    <row r="12" spans="1:17" x14ac:dyDescent="0.15">
      <c r="A12" s="28" t="s">
        <v>104</v>
      </c>
      <c r="B12" s="32"/>
      <c r="C12" s="36">
        <f>IF(($F5*'Tariff Jul''15'!E7/'Tariff Jul''15'!E8&gt;'Tariff Jul''15'!E14),($F5*'Tariff Jul''15'!E7/'Tariff Jul''15'!E8-'Tariff Jul''15'!E14)*'Tariff Jul''15'!E19/100*1.1*'Tariff Jul''15'!E8,0)</f>
        <v>187.33000000000004</v>
      </c>
      <c r="D12" s="36">
        <f>IF(($F5*'Tariff Jul''15'!F7/'Tariff Jul''15'!F8&gt;'Tariff Jul''15'!F14),($F5*'Tariff Jul''15'!F7/'Tariff Jul''15'!F8-'Tariff Jul''15'!F14)*'Tariff Jul''15'!F19/100*1.1*'Tariff Jul''15'!F8,0)</f>
        <v>183.64500000000001</v>
      </c>
      <c r="E12" s="36">
        <f>IF(($F5*'Tariff Jul''15'!G7/'Tariff Jul''15'!G8&gt;'Tariff Jul''15'!G14),($F5*'Tariff Jul''15'!G7/'Tariff Jul''15'!G8-'Tariff Jul''15'!G14)*'Tariff Jul''15'!G19/100*1.1*'Tariff Jul''15'!G8,0)</f>
        <v>0</v>
      </c>
      <c r="F12" s="36">
        <f>IF(($F5*'Tariff Jul''15'!H7/'Tariff Jul''15'!H8&gt;'Tariff Jul''15'!H14),($F5*'Tariff Jul''15'!H7/'Tariff Jul''15'!H8-'Tariff Jul''15'!H14)*'Tariff Jul''15'!H19/100*1.1*'Tariff Jul''15'!H8,0)</f>
        <v>0</v>
      </c>
      <c r="G12" s="36">
        <f>IF(($F5*'Tariff Jul''15'!I7/'Tariff Jul''15'!I8&gt;'Tariff Jul''15'!I14),($F5*'Tariff Jul''15'!I7/'Tariff Jul''15'!I8-'Tariff Jul''15'!I14)*'Tariff Jul''15'!I19/100*1.1*'Tariff Jul''15'!I8,0)</f>
        <v>0</v>
      </c>
      <c r="H12" s="36">
        <f>IF(($F5*'Tariff Jul''15'!J7/'Tariff Jul''15'!J8&gt;'Tariff Jul''15'!J14),($F5*'Tariff Jul''15'!J7/'Tariff Jul''15'!J8-'Tariff Jul''15'!J14)*'Tariff Jul''15'!J19/100*1.1*'Tariff Jul''15'!J8,0)</f>
        <v>0</v>
      </c>
      <c r="I12" s="36">
        <f>IF(($F5*'Tariff Jul''15'!K7/'Tariff Jul''15'!K8&gt;'Tariff Jul''15'!K14),($F5*'Tariff Jul''15'!K7/'Tariff Jul''15'!K8-'Tariff Jul''15'!K14)*'Tariff Jul''15'!K19/100*1.1*'Tariff Jul''15'!K8,0)</f>
        <v>158.07</v>
      </c>
      <c r="J12" s="36">
        <f>IF(($F5*'Tariff Jul''15'!L7/'Tariff Jul''15'!L8&gt;'Tariff Jul''15'!L14),($F5*'Tariff Jul''15'!L7/'Tariff Jul''15'!L8-'Tariff Jul''15'!L14)*'Tariff Jul''15'!L19/100*1.1*'Tariff Jul''15'!L8,0)</f>
        <v>204.05</v>
      </c>
      <c r="K12" s="36">
        <f>IF(($F5*'Tariff Jul''15'!M7/'Tariff Jul''15'!M8&gt;'Tariff Jul''15'!M14),($F5*'Tariff Jul''15'!M7/'Tariff Jul''15'!M8-'Tariff Jul''15'!M14)*'Tariff Jul''15'!M19/100*1.1*'Tariff Jul''15'!M8,0)</f>
        <v>204.05</v>
      </c>
      <c r="L12" s="36">
        <f>IF(($F5*'Tariff Jul''15'!N7/'Tariff Jul''15'!N8&gt;'Tariff Jul''15'!N14),($F5*'Tariff Jul''15'!N7/'Tariff Jul''15'!N8-'Tariff Jul''15'!N14)*'Tariff Jul''15'!N19/100*1.1*'Tariff Jul''15'!N8,0)</f>
        <v>256.608</v>
      </c>
      <c r="M12" s="36">
        <f>IF(($F5*'Tariff Jul''15'!O7/'Tariff Jul''15'!O8&gt;'Tariff Jul''15'!O14),($F5*'Tariff Jul''15'!O7/'Tariff Jul''15'!O8-'Tariff Jul''15'!O14)*'Tariff Jul''15'!O19/100*1.1*'Tariff Jul''15'!O8,0)</f>
        <v>181.22500000000002</v>
      </c>
      <c r="N12" s="36">
        <f>IF(($F5*'Tariff Jul''15'!P7/'Tariff Jul''15'!P8&gt;'Tariff Jul''15'!P14),($F5*'Tariff Jul''15'!P7/'Tariff Jul''15'!P8-'Tariff Jul''15'!P14)*'Tariff Jul''15'!P19/100*1.1*'Tariff Jul''15'!P8,0)</f>
        <v>208.72500000000002</v>
      </c>
      <c r="O12" s="36">
        <f>IF(($F5*'Tariff Jul''15'!Q7/'Tariff Jul''15'!Q8&gt;'Tariff Jul''15'!Q14),($F5*'Tariff Jul''15'!Q7/'Tariff Jul''15'!Q8-'Tariff Jul''15'!Q14)*'Tariff Jul''15'!Q19/100*1.1*'Tariff Jul''15'!Q8,0)</f>
        <v>192.22500000000002</v>
      </c>
      <c r="P12" s="36">
        <f>IF(($F5*'Tariff Jul''15'!R7/'Tariff Jul''15'!R8&gt;'Tariff Jul''15'!R14),($F5*'Tariff Jul''15'!R7/'Tariff Jul''15'!R8-'Tariff Jul''15'!R14)*'Tariff Jul''15'!R19/100*1.1*'Tariff Jul''15'!R8,0)</f>
        <v>166.83150000000001</v>
      </c>
      <c r="Q12" s="32"/>
    </row>
    <row r="13" spans="1:17" x14ac:dyDescent="0.15">
      <c r="A13" s="28" t="s">
        <v>231</v>
      </c>
      <c r="B13" s="32"/>
      <c r="C13" s="36">
        <f>IF($F5*'Tariff Jul''15'!E9/'Tariff Jul''15'!E10&gt;='Tariff Jul''15'!E11,('Tariff Jul''15'!E11*'Tariff Jul''15'!E20/100*1.1)*'Tariff Jul''15'!E10,($F5*'Tariff Jul''15'!E9/'Tariff Jul''15'!E10*'Tariff Jul''15'!E20/100*1.1)*'Tariff Jul''15'!E10)</f>
        <v>885.72</v>
      </c>
      <c r="D13" s="36">
        <f>IF($F5*'Tariff Jul''15'!F9/'Tariff Jul''15'!F10&gt;='Tariff Jul''15'!F11,('Tariff Jul''15'!F11*'Tariff Jul''15'!F20/100*1.1)*'Tariff Jul''15'!F10,($F5*'Tariff Jul''15'!F9/'Tariff Jul''15'!F10*'Tariff Jul''15'!F20/100*1.1)*'Tariff Jul''15'!F10)</f>
        <v>950.40000000000009</v>
      </c>
      <c r="E13" s="36">
        <f>IF($F5*'Tariff Jul''15'!G9/'Tariff Jul''15'!G10&gt;='Tariff Jul''15'!G11,('Tariff Jul''15'!G11*'Tariff Jul''15'!G20/100*1.1)*'Tariff Jul''15'!G10,($F5*'Tariff Jul''15'!G9/'Tariff Jul''15'!G10*'Tariff Jul''15'!G20/100*1.1)*'Tariff Jul''15'!G10)</f>
        <v>966.56999999999994</v>
      </c>
      <c r="F13" s="36">
        <f>IF($F5*'Tariff Jul''15'!H9/'Tariff Jul''15'!H10&gt;='Tariff Jul''15'!H11,('Tariff Jul''15'!H11*'Tariff Jul''15'!H20/100*1.1)*'Tariff Jul''15'!H10,($F5*'Tariff Jul''15'!H9/'Tariff Jul''15'!H10*'Tariff Jul''15'!H20/100*1.1)*'Tariff Jul''15'!H10)</f>
        <v>272.05200000000002</v>
      </c>
      <c r="G13" s="36">
        <f>IF($F5*'Tariff Jul''15'!I9/'Tariff Jul''15'!I10&gt;='Tariff Jul''15'!I11,('Tariff Jul''15'!I11*'Tariff Jul''15'!I20/100*1.1)*'Tariff Jul''15'!I10,($F5*'Tariff Jul''15'!I9/'Tariff Jul''15'!I10*'Tariff Jul''15'!I20/100*1.1)*'Tariff Jul''15'!I10)</f>
        <v>271.26000000000005</v>
      </c>
      <c r="H13" s="36">
        <f>IF($F5*'Tariff Jul''15'!J9/'Tariff Jul''15'!J10&gt;='Tariff Jul''15'!J11,('Tariff Jul''15'!J11*'Tariff Jul''15'!J20/100*1.1)*'Tariff Jul''15'!J10,($F5*'Tariff Jul''15'!J9/'Tariff Jul''15'!J10*'Tariff Jul''15'!J20/100*1.1)*'Tariff Jul''15'!J10)</f>
        <v>262.053</v>
      </c>
      <c r="I13" s="36">
        <f>IF($F5*'Tariff Jul''15'!K9/'Tariff Jul''15'!K10&gt;='Tariff Jul''15'!K11,('Tariff Jul''15'!K11*'Tariff Jul''15'!K20/100*1.1)*'Tariff Jul''15'!K10,($F5*'Tariff Jul''15'!K9/'Tariff Jul''15'!K10*'Tariff Jul''15'!K20/100*1.1)*'Tariff Jul''15'!K10)</f>
        <v>926.6400000000001</v>
      </c>
      <c r="J13" s="36">
        <f>IF($F5*'Tariff Jul''15'!L9/'Tariff Jul''15'!L10&gt;='Tariff Jul''15'!L11,('Tariff Jul''15'!L11*'Tariff Jul''15'!L20/100*1.1)*'Tariff Jul''15'!L10,($F5*'Tariff Jul''15'!L9/'Tariff Jul''15'!L10*'Tariff Jul''15'!L20/100*1.1)*'Tariff Jul''15'!L10)</f>
        <v>275.22000000000003</v>
      </c>
      <c r="K13" s="36">
        <f>IF($F5*'Tariff Jul''15'!M9/'Tariff Jul''15'!M10&gt;='Tariff Jul''15'!M11,('Tariff Jul''15'!M11*'Tariff Jul''15'!M20/100*1.1)*'Tariff Jul''15'!M10,($F5*'Tariff Jul''15'!M9/'Tariff Jul''15'!M10*'Tariff Jul''15'!M20/100*1.1)*'Tariff Jul''15'!M10)</f>
        <v>973.5</v>
      </c>
      <c r="L13" s="36">
        <f>IF($F5*'Tariff Jul''15'!N9/'Tariff Jul''15'!N10&gt;='Tariff Jul''15'!N11,('Tariff Jul''15'!N11*'Tariff Jul''15'!N20/100*1.1)*'Tariff Jul''15'!N10,($F5*'Tariff Jul''15'!N9/'Tariff Jul''15'!N10*'Tariff Jul''15'!N20/100*1.1)*'Tariff Jul''15'!N10)</f>
        <v>518.36400000000015</v>
      </c>
      <c r="M13" s="36">
        <f>IF($F5*'Tariff Jul''15'!O9/'Tariff Jul''15'!O10&gt;='Tariff Jul''15'!O11,('Tariff Jul''15'!O11*'Tariff Jul''15'!O20/100*1.1)*'Tariff Jul''15'!O10,($F5*'Tariff Jul''15'!O9/'Tariff Jul''15'!O10*'Tariff Jul''15'!O20/100*1.1)*'Tariff Jul''15'!O10)</f>
        <v>940.83000000000015</v>
      </c>
      <c r="N13" s="36">
        <f>IF($F5*'Tariff Jul''15'!P9/'Tariff Jul''15'!P10&gt;='Tariff Jul''15'!P11,('Tariff Jul''15'!P11*'Tariff Jul''15'!P20/100*1.1)*'Tariff Jul''15'!P10,($F5*'Tariff Jul''15'!P9/'Tariff Jul''15'!P10*'Tariff Jul''15'!P20/100*1.1)*'Tariff Jul''15'!P10)</f>
        <v>1036.2</v>
      </c>
      <c r="O13" s="36">
        <f>IF($F5*'Tariff Jul''15'!Q9/'Tariff Jul''15'!Q10&gt;='Tariff Jul''15'!Q11,('Tariff Jul''15'!Q11*'Tariff Jul''15'!Q20/100*1.1)*'Tariff Jul''15'!Q10,($F5*'Tariff Jul''15'!Q9/'Tariff Jul''15'!Q10*'Tariff Jul''15'!Q20/100*1.1)*'Tariff Jul''15'!Q10)</f>
        <v>271.26000000000005</v>
      </c>
      <c r="P13" s="36">
        <f>IF($F5*'Tariff Jul''15'!R9/'Tariff Jul''15'!R10&gt;='Tariff Jul''15'!R11,('Tariff Jul''15'!R11*'Tariff Jul''15'!R20/100*1.1)*'Tariff Jul''15'!R10,($F5*'Tariff Jul''15'!R9/'Tariff Jul''15'!R10*'Tariff Jul''15'!R20/100*1.1)*'Tariff Jul''15'!R10)</f>
        <v>875.78700000000003</v>
      </c>
      <c r="Q13" s="32"/>
    </row>
    <row r="14" spans="1:17" x14ac:dyDescent="0.15">
      <c r="A14" s="28" t="s">
        <v>530</v>
      </c>
      <c r="B14" s="32"/>
      <c r="C14" s="36">
        <f>IF($F5*'Tariff Jul''15'!E9/'Tariff Jul''15'!E10&lt;'Tariff Jul''15'!E11,0,IF($F5*'Tariff Jul''15'!E9/'Tariff Jul''15'!E10&lt;='Tariff Jul''15'!E12,($F5*'Tariff Jul''15'!E9/'Tariff Jul''15'!E10-'Tariff Jul''15'!E11)*('Tariff Jul''15'!E21/100*1.1)*'Tariff Jul''15'!E10,('Tariff Jul''15'!E12-'Tariff Jul''15'!E11)*('Tariff Jul''15'!E21/100*1.1)*'Tariff Jul''15'!E10))</f>
        <v>0</v>
      </c>
      <c r="D14" s="36">
        <v>0</v>
      </c>
      <c r="E14" s="36">
        <f>IF($F5*'Tariff Jul''15'!G9/'Tariff Jul''15'!G10&lt;'Tariff Jul''15'!G11,0,IF($F5*'Tariff Jul''15'!G9/'Tariff Jul''15'!G10&lt;='Tariff Jul''15'!G12,($F5*'Tariff Jul''15'!G9/'Tariff Jul''15'!G10-'Tariff Jul''15'!G11)*('Tariff Jul''15'!G21/100*1.1)*'Tariff Jul''15'!G10,('Tariff Jul''15'!G12-'Tariff Jul''15'!G11)*('Tariff Jul''15'!G21/100*1.1)*'Tariff Jul''15'!G10))</f>
        <v>557.20500000000015</v>
      </c>
      <c r="F14" s="36">
        <f>IF($F5*'Tariff Jul''15'!H9/'Tariff Jul''15'!H10&lt;'Tariff Jul''15'!H11,0,IF($F5*'Tariff Jul''15'!H9/'Tariff Jul''15'!H10&lt;='Tariff Jul''15'!H12,($F5*'Tariff Jul''15'!H9/'Tariff Jul''15'!H10-'Tariff Jul''15'!H11)*('Tariff Jul''15'!H21/100*1.1)*'Tariff Jul''15'!H10,('Tariff Jul''15'!H12-'Tariff Jul''15'!H11)*('Tariff Jul''15'!H21/100*1.1)*'Tariff Jul''15'!H10))</f>
        <v>646.33799999999997</v>
      </c>
      <c r="G14" s="36">
        <f>IF($F5*'Tariff Jul''15'!I9/'Tariff Jul''15'!I10&lt;'Tariff Jul''15'!I11,0,IF($F5*'Tariff Jul''15'!I9/'Tariff Jul''15'!I10&lt;='Tariff Jul''15'!I12,($F5*'Tariff Jul''15'!I9/'Tariff Jul''15'!I10-'Tariff Jul''15'!I11)*('Tariff Jul''15'!I21/100*1.1)*'Tariff Jul''15'!I10,('Tariff Jul''15'!I12-'Tariff Jul''15'!I11)*('Tariff Jul''15'!I21/100*1.1)*'Tariff Jul''15'!I10))</f>
        <v>658.81200000000013</v>
      </c>
      <c r="H14" s="36">
        <f>IF($F5*'Tariff Jul''15'!J9/'Tariff Jul''15'!J10&lt;'Tariff Jul''15'!J11,0,IF($F5*'Tariff Jul''15'!J9/'Tariff Jul''15'!J10&lt;='Tariff Jul''15'!J12,($F5*'Tariff Jul''15'!J9/'Tariff Jul''15'!J10-'Tariff Jul''15'!J11)*('Tariff Jul''15'!J21/100*1.1)*'Tariff Jul''15'!J10,('Tariff Jul''15'!J12-'Tariff Jul''15'!J11)*('Tariff Jul''15'!J21/100*1.1)*'Tariff Jul''15'!J10))</f>
        <v>623.46899999999994</v>
      </c>
      <c r="I14" s="36">
        <v>0</v>
      </c>
      <c r="J14" s="36">
        <f>IF($F5*'Tariff Jul''15'!L9/'Tariff Jul''15'!L10&lt;'Tariff Jul''15'!L11,0,IF($F5*'Tariff Jul''15'!L9/'Tariff Jul''15'!L10&lt;='Tariff Jul''15'!L12,($F5*'Tariff Jul''15'!L9/'Tariff Jul''15'!L10-'Tariff Jul''15'!L11)*('Tariff Jul''15'!L21/100*1.1)*'Tariff Jul''15'!L10,('Tariff Jul''15'!L12-'Tariff Jul''15'!L11)*('Tariff Jul''15'!L21/100*1.1)*'Tariff Jul''15'!L10))</f>
        <v>665.2800000000002</v>
      </c>
      <c r="K14" s="36">
        <f>IF($F5*'Tariff Jul''15'!M9/'Tariff Jul''15'!M10&lt;'Tariff Jul''15'!M11,0,IF($F5*'Tariff Jul''15'!M9/'Tariff Jul''15'!M10&lt;='Tariff Jul''15'!M12,($F5*'Tariff Jul''15'!M9/'Tariff Jul''15'!M10-'Tariff Jul''15'!M11)*('Tariff Jul''15'!M21/100*1.1)*'Tariff Jul''15'!M10,('Tariff Jul''15'!M12-'Tariff Jul''15'!M11)*('Tariff Jul''15'!M21/100*1.1)*'Tariff Jul''15'!M10))</f>
        <v>0</v>
      </c>
      <c r="L14" s="36">
        <f>IF($F5*'Tariff Jul''15'!N9/'Tariff Jul''15'!N10&lt;'Tariff Jul''15'!N11,0,IF($F5*'Tariff Jul''15'!N9/'Tariff Jul''15'!N10&lt;='Tariff Jul''15'!N12,($F5*'Tariff Jul''15'!N9/'Tariff Jul''15'!N10-'Tariff Jul''15'!N11)*('Tariff Jul''15'!N21/100*1.1)*'Tariff Jul''15'!N10,('Tariff Jul''15'!N12-'Tariff Jul''15'!N11)*('Tariff Jul''15'!N21/100*1.1)*'Tariff Jul''15'!N10))</f>
        <v>0</v>
      </c>
      <c r="M14" s="36">
        <f>IF($F5*'Tariff Jul''15'!O9/'Tariff Jul''15'!O10&lt;'Tariff Jul''15'!O11,0,IF($F5*'Tariff Jul''15'!O9/'Tariff Jul''15'!O10&lt;='Tariff Jul''15'!O12,($F5*'Tariff Jul''15'!O9/'Tariff Jul''15'!O10-'Tariff Jul''15'!O11)*('Tariff Jul''15'!O21/100*1.1)*'Tariff Jul''15'!O10,('Tariff Jul''15'!O12-'Tariff Jul''15'!O11)*('Tariff Jul''15'!O21/100*1.1)*'Tariff Jul''15'!O10))</f>
        <v>0</v>
      </c>
      <c r="N14" s="36">
        <f>IF($F5*'Tariff Jul''15'!P9/'Tariff Jul''15'!P10&lt;'Tariff Jul''15'!P11,0,IF($F5*'Tariff Jul''15'!P9/'Tariff Jul''15'!P10&lt;='Tariff Jul''15'!P12,($F5*'Tariff Jul''15'!P9/'Tariff Jul''15'!P10-'Tariff Jul''15'!P11)*('Tariff Jul''15'!P21/100*1.1)*'Tariff Jul''15'!P10,('Tariff Jul''15'!P12-'Tariff Jul''15'!P11)*('Tariff Jul''15'!P21/100*1.1)*'Tariff Jul''15'!P10))</f>
        <v>0</v>
      </c>
      <c r="O14" s="36">
        <f>IF($F5*'Tariff Jul''15'!Q9/'Tariff Jul''15'!Q10&lt;'Tariff Jul''15'!Q11,0,IF($F5*'Tariff Jul''15'!Q9/'Tariff Jul''15'!Q10&lt;='Tariff Jul''15'!Q12,($F5*'Tariff Jul''15'!Q9/'Tariff Jul''15'!Q10-'Tariff Jul''15'!Q11)*('Tariff Jul''15'!Q21/100*1.1)*'Tariff Jul''15'!Q10,('Tariff Jul''15'!Q12-'Tariff Jul''15'!Q11)*('Tariff Jul''15'!Q21/100*1.1)*'Tariff Jul''15'!Q10))</f>
        <v>709.17</v>
      </c>
      <c r="P14" s="36">
        <f>IF($F5*'Tariff Jul''15'!R9/'Tariff Jul''15'!R10&lt;'Tariff Jul''15'!R11,0,IF($F5*'Tariff Jul''15'!R9/'Tariff Jul''15'!R10&lt;='Tariff Jul''15'!R12,($F5*'Tariff Jul''15'!R9/'Tariff Jul''15'!R10-'Tariff Jul''15'!R11)*('Tariff Jul''15'!R21/100*1.1)*'Tariff Jul''15'!R10,('Tariff Jul''15'!R12-'Tariff Jul''15'!R11)*('Tariff Jul''15'!R21/100*1.1)*'Tariff Jul''15'!R10))</f>
        <v>0</v>
      </c>
      <c r="Q14" s="32"/>
    </row>
    <row r="15" spans="1:17" x14ac:dyDescent="0.15">
      <c r="A15" s="28" t="s">
        <v>531</v>
      </c>
      <c r="B15" s="32"/>
      <c r="C15" s="36">
        <f>IF($F5*'Tariff Jul''15'!E9/'Tariff Jul''15'!E10&lt;'Tariff Jul''15'!E12,0,IF($F5*'Tariff Jul''15'!E9/'Tariff Jul''15'!E10&lt;='Tariff Jul''15'!E13,($F5*'Tariff Jul''15'!E9/'Tariff Jul''15'!E10-'Tariff Jul''15'!E12)*('Tariff Jul''15'!E22/100*1.1)*'Tariff Jul''15'!E10,('Tariff Jul''15'!E13-'Tariff Jul''15'!E12)*('Tariff Jul''15'!E22/100*1.1)*'Tariff Jul''15'!E10))</f>
        <v>0</v>
      </c>
      <c r="D15" s="36">
        <v>0</v>
      </c>
      <c r="E15" s="36">
        <f>IF($F5*'Tariff Jul''15'!G9/'Tariff Jul''15'!G10&lt;'Tariff Jul''15'!G12,0,IF($F5*'Tariff Jul''15'!G9/'Tariff Jul''15'!G10&lt;='Tariff Jul''15'!G13,($F5*'Tariff Jul''15'!G9/'Tariff Jul''15'!G10-'Tariff Jul''15'!G12)*('Tariff Jul''15'!G22/100*1.1)*'Tariff Jul''15'!G10,('Tariff Jul''15'!G13-'Tariff Jul''15'!G12)*('Tariff Jul''15'!G22/100*1.1)*'Tariff Jul''15'!G10))</f>
        <v>0</v>
      </c>
      <c r="F15" s="36">
        <f>IF($F5*'Tariff Jul''15'!H9/'Tariff Jul''15'!H10&lt;'Tariff Jul''15'!H12,0,IF($F5*'Tariff Jul''15'!H9/'Tariff Jul''15'!H10&lt;='Tariff Jul''15'!H13,($F5*'Tariff Jul''15'!H9/'Tariff Jul''15'!H10-'Tariff Jul''15'!H12)*('Tariff Jul''15'!H22/100*1.1)*'Tariff Jul''15'!H10,('Tariff Jul''15'!H13-'Tariff Jul''15'!H12)*('Tariff Jul''15'!H22/100*1.1)*'Tariff Jul''15'!H10))</f>
        <v>535.09500000000003</v>
      </c>
      <c r="G15" s="36">
        <f>IF($F5*'Tariff Jul''15'!I9/'Tariff Jul''15'!I10&lt;'Tariff Jul''15'!I12,0,IF($F5*'Tariff Jul''15'!I9/'Tariff Jul''15'!I10&lt;='Tariff Jul''15'!I13,($F5*'Tariff Jul''15'!I9/'Tariff Jul''15'!I10-'Tariff Jul''15'!I12)*('Tariff Jul''15'!I22/100*1.1)*'Tariff Jul''15'!I10,('Tariff Jul''15'!I13-'Tariff Jul''15'!I12)*('Tariff Jul''15'!I22/100*1.1)*'Tariff Jul''15'!I10))</f>
        <v>517.60500000000002</v>
      </c>
      <c r="H15" s="36">
        <f>IF($F5*'Tariff Jul''15'!J9/'Tariff Jul''15'!J10&lt;'Tariff Jul''15'!J12,0,IF($F5*'Tariff Jul''15'!J9/'Tariff Jul''15'!J10&lt;='Tariff Jul''15'!J13,($F5*'Tariff Jul''15'!J9/'Tariff Jul''15'!J10-'Tariff Jul''15'!J12)*('Tariff Jul''15'!J22/100*1.1)*'Tariff Jul''15'!J10,('Tariff Jul''15'!J13-'Tariff Jul''15'!J12)*('Tariff Jul''15'!J22/100*1.1)*'Tariff Jul''15'!J10))</f>
        <v>515.13</v>
      </c>
      <c r="I15" s="36">
        <v>0</v>
      </c>
      <c r="J15" s="36">
        <v>0</v>
      </c>
      <c r="K15" s="36">
        <f>IF($F5*'Tariff Jul''15'!M9/'Tariff Jul''15'!M10&lt;'Tariff Jul''15'!M12,0,IF($F5*'Tariff Jul''15'!M9/'Tariff Jul''15'!M10&lt;='Tariff Jul''15'!M13,($F5*'Tariff Jul''15'!M9/'Tariff Jul''15'!M10-'Tariff Jul''15'!M12)*('Tariff Jul''15'!M22/100*1.1)*'Tariff Jul''15'!M10,('Tariff Jul''15'!M13-'Tariff Jul''15'!M12)*('Tariff Jul''15'!M22/100*1.1)*'Tariff Jul''15'!M10))</f>
        <v>0</v>
      </c>
      <c r="L15" s="36">
        <v>0</v>
      </c>
      <c r="M15" s="36">
        <v>0</v>
      </c>
      <c r="N15" s="36">
        <f>IF($F5*'Tariff Jul''15'!P9/'Tariff Jul''15'!P10&lt;'Tariff Jul''15'!P12,0,IF($F5*'Tariff Jul''15'!P9/'Tariff Jul''15'!P10&lt;='Tariff Jul''15'!P13,($F5*'Tariff Jul''15'!P9/'Tariff Jul''15'!P10-'Tariff Jul''15'!P12)*('Tariff Jul''15'!P22/100*1.1)*'Tariff Jul''15'!P10,('Tariff Jul''15'!P13-'Tariff Jul''15'!P12)*('Tariff Jul''15'!P22/100*1.1)*'Tariff Jul''15'!P10))</f>
        <v>0</v>
      </c>
      <c r="O15" s="36">
        <v>0</v>
      </c>
      <c r="P15" s="36">
        <v>0</v>
      </c>
      <c r="Q15" s="32"/>
    </row>
    <row r="16" spans="1:17" x14ac:dyDescent="0.15">
      <c r="A16" s="28" t="s">
        <v>100</v>
      </c>
      <c r="B16" s="32"/>
      <c r="C16" s="36">
        <f>IF($F5*'Tariff Jul''15'!E9/'Tariff Jul''15'!E10&lt;'Tariff Jul''15'!E13,0,IF($F5*'Tariff Jul''15'!E9/'Tariff Jul''15'!E10&lt;='Tariff Jul''15'!E14,($F5*'Tariff Jul''15'!E9/'Tariff Jul''15'!E10-'Tariff Jul''15'!E13)*('Tariff Jul''15'!E23/100*1.1)*'Tariff Jul''15'!E10,('Tariff Jul''15'!E14-'Tariff Jul''15'!E13)*('Tariff Jul''15'!E23/100*1.1)*'Tariff Jul''15'!E10))</f>
        <v>0</v>
      </c>
      <c r="D16" s="36">
        <f>IF($F5*'Tariff Jul''15'!F9/'Tariff Jul''15'!F10&lt;'Tariff Jul''15'!F13,0,IF($F5*'Tariff Jul''15'!F9/'Tariff Jul''15'!F10&lt;='Tariff Jul''15'!F14,($F5*'Tariff Jul''15'!F9/'Tariff Jul''15'!F10-'Tariff Jul''15'!F13)*('Tariff Jul''15'!F23/100*1.1)*'Tariff Jul''15'!F10,('Tariff Jul''15'!F14-'Tariff Jul''15'!F13)*('Tariff Jul''15'!F23/100*1.1)*'Tariff Jul''15'!F10))</f>
        <v>0</v>
      </c>
      <c r="E16" s="36">
        <f>IF($F5*'Tariff Jul''15'!G9/'Tariff Jul''15'!G10&lt;'Tariff Jul''15'!G13,0,IF($F5*'Tariff Jul''15'!G9/'Tariff Jul''15'!G10&lt;='Tariff Jul''15'!G14,($F5*'Tariff Jul''15'!G9/'Tariff Jul''15'!G10-'Tariff Jul''15'!G13)*('Tariff Jul''15'!G23/100*1.1)*'Tariff Jul''15'!G10,('Tariff Jul''15'!G14-'Tariff Jul''15'!G13)*('Tariff Jul''15'!G23/100*1.1)*'Tariff Jul''15'!G10))</f>
        <v>0</v>
      </c>
      <c r="F16" s="36">
        <f>IF($F5*'Tariff Jul''15'!H9/'Tariff Jul''15'!H10&lt;'Tariff Jul''15'!H13,0,IF($F5*'Tariff Jul''15'!H9/'Tariff Jul''15'!H10&lt;='Tariff Jul''15'!H14,($F5*'Tariff Jul''15'!H9/'Tariff Jul''15'!H10-'Tariff Jul''15'!H13)*('Tariff Jul''15'!H23/100*1.1)*'Tariff Jul''15'!H10,('Tariff Jul''15'!H14-'Tariff Jul''15'!H13)*('Tariff Jul''15'!H23/100*1.1)*'Tariff Jul''15'!H10))</f>
        <v>0</v>
      </c>
      <c r="G16" s="36">
        <f>IF($F5*'Tariff Jul''15'!I9/'Tariff Jul''15'!I10&lt;'Tariff Jul''15'!I13,0,IF($F5*'Tariff Jul''15'!I9/'Tariff Jul''15'!I10&lt;='Tariff Jul''15'!I14,($F5*'Tariff Jul''15'!I9/'Tariff Jul''15'!I10-'Tariff Jul''15'!I13)*('Tariff Jul''15'!I23/100*1.1)*'Tariff Jul''15'!I10,('Tariff Jul''15'!I14-'Tariff Jul''15'!I13)*('Tariff Jul''15'!I23/100*1.1)*'Tariff Jul''15'!I10))</f>
        <v>0</v>
      </c>
      <c r="H16" s="36">
        <f>IF($F5*'Tariff Jul''15'!J9/'Tariff Jul''15'!J10&lt;'Tariff Jul''15'!J13,0,IF($F5*'Tariff Jul''15'!J9/'Tariff Jul''15'!J10&lt;='Tariff Jul''15'!J14,($F5*'Tariff Jul''15'!J9/'Tariff Jul''15'!J10-'Tariff Jul''15'!J13)*('Tariff Jul''15'!J23/100*1.1)*'Tariff Jul''15'!J10,('Tariff Jul''15'!J14-'Tariff Jul''15'!J13)*('Tariff Jul''15'!J23/100*1.1)*'Tariff Jul''15'!J10))</f>
        <v>0</v>
      </c>
      <c r="I16" s="36">
        <v>0</v>
      </c>
      <c r="J16" s="36">
        <v>0</v>
      </c>
      <c r="K16" s="36">
        <f>IF($F5*'Tariff Jul''15'!M9/'Tariff Jul''15'!M10&lt;'Tariff Jul''15'!M13,0,IF($F5*'Tariff Jul''15'!M9/'Tariff Jul''15'!M10&lt;='Tariff Jul''15'!M14,($F5*'Tariff Jul''15'!M9/'Tariff Jul''15'!M10-'Tariff Jul''15'!M13)*('Tariff Jul''15'!M23/100*1.1)*'Tariff Jul''15'!M10,('Tariff Jul''15'!M14-'Tariff Jul''15'!M13)*('Tariff Jul''15'!M23/100*1.1)*'Tariff Jul''15'!M10))</f>
        <v>0</v>
      </c>
      <c r="L16" s="36">
        <v>0</v>
      </c>
      <c r="M16" s="36">
        <v>0</v>
      </c>
      <c r="N16" s="36">
        <f>IF($F5*'Tariff Jul''15'!P9/'Tariff Jul''15'!P10&lt;'Tariff Jul''15'!P13,0,IF($F5*'Tariff Jul''15'!P9/'Tariff Jul''15'!P10&lt;='Tariff Jul''15'!P14,($F5*'Tariff Jul''15'!P9/'Tariff Jul''15'!P10-'Tariff Jul''15'!P13)*('Tariff Jul''15'!P23/100*1.1)*'Tariff Jul''15'!P10,('Tariff Jul''15'!P14-'Tariff Jul''15'!P13)*('Tariff Jul''15'!P23/100*1.1)*'Tariff Jul''15'!P10))</f>
        <v>0</v>
      </c>
      <c r="O16" s="36">
        <v>0</v>
      </c>
      <c r="P16" s="36">
        <v>0</v>
      </c>
      <c r="Q16" s="32"/>
    </row>
    <row r="17" spans="1:17" x14ac:dyDescent="0.15">
      <c r="A17" s="28" t="s">
        <v>419</v>
      </c>
      <c r="B17" s="32"/>
      <c r="C17" s="36">
        <f>IF(($F5*'Tariff Jul''15'!E9/'Tariff Jul''15'!E10&gt;'Tariff Jul''15'!E14),($F5*'Tariff Jul''15'!E9/'Tariff Jul''15'!E10-'Tariff Jul''15'!E14)*'Tariff Jul''15'!E24/100*1.1*'Tariff Jul''15'!E10,0)</f>
        <v>508.69500000000005</v>
      </c>
      <c r="D17" s="36">
        <f>IF(($F5*'Tariff Jul''15'!F9/'Tariff Jul''15'!F10&gt;'Tariff Jul''15'!F14),($F5*'Tariff Jul''15'!F9/'Tariff Jul''15'!F10-'Tariff Jul''15'!F14)*'Tariff Jul''15'!F24/100*1.1*'Tariff Jul''15'!F10,0)</f>
        <v>550.93500000000006</v>
      </c>
      <c r="E17" s="36">
        <f>IF(($F5*'Tariff Jul''15'!G9/'Tariff Jul''15'!G10&gt;'Tariff Jul''15'!G14),($F5*'Tariff Jul''15'!G9/'Tariff Jul''15'!G10-'Tariff Jul''15'!G14)*'Tariff Jul''15'!G24/100*1.1*'Tariff Jul''15'!G10,0)</f>
        <v>0</v>
      </c>
      <c r="F17" s="36">
        <f>IF(($F5*'Tariff Jul''15'!H9/'Tariff Jul''15'!H10&gt;'Tariff Jul''15'!H14),($F5*'Tariff Jul''15'!H9/'Tariff Jul''15'!H10-'Tariff Jul''15'!H14)*'Tariff Jul''15'!H24/100*1.1*'Tariff Jul''15'!H10,0)</f>
        <v>0</v>
      </c>
      <c r="G17" s="36">
        <f>IF(($F5*'Tariff Jul''15'!I9/'Tariff Jul''15'!I10&gt;'Tariff Jul''15'!I14),($F5*'Tariff Jul''15'!I9/'Tariff Jul''15'!I10-'Tariff Jul''15'!I14)*'Tariff Jul''15'!I24/100*1.1*'Tariff Jul''15'!I10,0)</f>
        <v>0</v>
      </c>
      <c r="H17" s="36">
        <f>IF(($F5*'Tariff Jul''15'!J9/'Tariff Jul''15'!J10&gt;'Tariff Jul''15'!J14),($F5*'Tariff Jul''15'!J9/'Tariff Jul''15'!J10-'Tariff Jul''15'!J14)*'Tariff Jul''15'!J24/100*1.1*'Tariff Jul''15'!J10,0)</f>
        <v>0</v>
      </c>
      <c r="I17" s="36">
        <f>IF(($F5*'Tariff Jul''15'!K9/'Tariff Jul''15'!K10&gt;'Tariff Jul''15'!K14),($F5*'Tariff Jul''15'!K9/'Tariff Jul''15'!K10-'Tariff Jul''15'!K14)*'Tariff Jul''15'!K24/100*1.1*'Tariff Jul''15'!K10,0)</f>
        <v>474.21</v>
      </c>
      <c r="J17" s="36">
        <f>IF(($F5*'Tariff Jul''15'!L9/'Tariff Jul''15'!L10&gt;'Tariff Jul''15'!L14),($F5*'Tariff Jul''15'!L9/'Tariff Jul''15'!L10-'Tariff Jul''15'!L14)*'Tariff Jul''15'!L24/100*1.1*'Tariff Jul''15'!L10,0)</f>
        <v>521.40000000000009</v>
      </c>
      <c r="K17" s="36">
        <f>IF(($F5*'Tariff Jul''15'!M9/'Tariff Jul''15'!M10&gt;'Tariff Jul''15'!M14),($F5*'Tariff Jul''15'!M9/'Tariff Jul''15'!M10-'Tariff Jul''15'!M14)*'Tariff Jul''15'!M24/100*1.1*'Tariff Jul''15'!M10,0)</f>
        <v>612.15000000000009</v>
      </c>
      <c r="L17" s="36">
        <f>IF(($F5*'Tariff Jul''15'!N9/'Tariff Jul''15'!N10&gt;'Tariff Jul''15'!N14),($F5*'Tariff Jul''15'!N9/'Tariff Jul''15'!N10-'Tariff Jul''15'!N14)*'Tariff Jul''15'!N24/100*1.1*'Tariff Jul''15'!N10,0)</f>
        <v>769.82400000000007</v>
      </c>
      <c r="M17" s="36">
        <f>IF(($F5*'Tariff Jul''15'!O9/'Tariff Jul''15'!O10&gt;'Tariff Jul''15'!O14),($F5*'Tariff Jul''15'!O9/'Tariff Jul''15'!O10-'Tariff Jul''15'!O14)*'Tariff Jul''15'!O24/100*1.1*'Tariff Jul''15'!O10,0)</f>
        <v>543.67500000000007</v>
      </c>
      <c r="N17" s="36">
        <f>IF(($F5*'Tariff Jul''15'!P9/'Tariff Jul''15'!P10&gt;'Tariff Jul''15'!P14),($F5*'Tariff Jul''15'!P9/'Tariff Jul''15'!P10-'Tariff Jul''15'!P14)*'Tariff Jul''15'!P24/100*1.1*'Tariff Jul''15'!P10,0)</f>
        <v>626.17500000000007</v>
      </c>
      <c r="O17" s="36">
        <f>IF(($F5*'Tariff Jul''15'!Q9/'Tariff Jul''15'!Q10&gt;'Tariff Jul''15'!Q14),($F5*'Tariff Jul''15'!Q9/'Tariff Jul''15'!Q10-'Tariff Jul''15'!Q14)*'Tariff Jul''15'!Q24/100*1.1*'Tariff Jul''15'!Q10,0)</f>
        <v>576.67500000000007</v>
      </c>
      <c r="P17" s="36">
        <f>IF(($F5*'Tariff Jul''15'!R9/'Tariff Jul''15'!R10&gt;'Tariff Jul''15'!R14),($F5*'Tariff Jul''15'!R9/'Tariff Jul''15'!R10-'Tariff Jul''15'!R14)*'Tariff Jul''15'!R24/100*1.1*'Tariff Jul''15'!R10,0)</f>
        <v>500.49450000000002</v>
      </c>
      <c r="Q17" s="32"/>
    </row>
    <row r="18" spans="1:17" x14ac:dyDescent="0.15">
      <c r="A18" s="28" t="s">
        <v>420</v>
      </c>
      <c r="B18" s="32"/>
      <c r="C18" s="36">
        <f>'Tariff Jul''15'!E25*365/100*1.1</f>
        <v>256.11685</v>
      </c>
      <c r="D18" s="36">
        <f>'Tariff Jul''15'!F25*365/100*1.1</f>
        <v>282.37495000000001</v>
      </c>
      <c r="E18" s="36">
        <f>'Tariff Jul''15'!G25*365/100*1.1</f>
        <v>279.04250000000002</v>
      </c>
      <c r="F18" s="36">
        <f>'Tariff Jul''15'!H25*365/100*1.1</f>
        <v>290.92689999999999</v>
      </c>
      <c r="G18" s="36">
        <f>'Tariff Jul''15'!I25*365/100*1.1</f>
        <v>273.94345000000004</v>
      </c>
      <c r="H18" s="36">
        <f>'Tariff Jul''15'!J25*365/100*1.1</f>
        <v>311.44355000000002</v>
      </c>
      <c r="I18" s="36">
        <f>'Tariff Jul''15'!K25*365/100*1.1</f>
        <v>275.75020000000006</v>
      </c>
      <c r="J18" s="36">
        <f>'Tariff Jul''15'!L25*365/100*1.1</f>
        <v>287.87549999999999</v>
      </c>
      <c r="K18" s="36">
        <f>'Tariff Jul''15'!M25*365/100*1.1</f>
        <v>275.42899999999997</v>
      </c>
      <c r="L18" s="36">
        <f>'Tariff Jul''15'!N25*365/100*1.1</f>
        <v>294.70100000000008</v>
      </c>
      <c r="M18" s="36">
        <f>'Tariff Jul''15'!O25*365/100*1.1</f>
        <v>263.38400000000001</v>
      </c>
      <c r="N18" s="36">
        <f>'Tariff Jul''15'!P25*365/100*1.1</f>
        <v>277.03500000000003</v>
      </c>
      <c r="O18" s="36">
        <f>'Tariff Jul''15'!Q25*365/100*1.1</f>
        <v>272.21700000000004</v>
      </c>
      <c r="P18" s="36">
        <f>'Tariff Jul''15'!R25*365/100*1.1</f>
        <v>313.65983</v>
      </c>
      <c r="Q18" s="37">
        <f>AVERAGE(C18:M18)</f>
        <v>280.99889999999999</v>
      </c>
    </row>
    <row r="19" spans="1:17" x14ac:dyDescent="0.15">
      <c r="A19" s="38" t="s">
        <v>505</v>
      </c>
      <c r="B19" s="32"/>
      <c r="C19" s="39">
        <f>SUM(C8:C18)</f>
        <v>2159.06185</v>
      </c>
      <c r="D19" s="39">
        <f t="shared" ref="D19:J19" si="0">SUM(D8:D18)</f>
        <v>2284.1549500000001</v>
      </c>
      <c r="E19" s="39">
        <f t="shared" si="0"/>
        <v>2310.7425000000003</v>
      </c>
      <c r="F19" s="39">
        <f t="shared" si="0"/>
        <v>2228.9069</v>
      </c>
      <c r="G19" s="39">
        <f t="shared" si="0"/>
        <v>2204.1794500000005</v>
      </c>
      <c r="H19" s="39">
        <f t="shared" si="0"/>
        <v>2178.97955</v>
      </c>
      <c r="I19" s="39">
        <f t="shared" si="0"/>
        <v>2143.5502000000001</v>
      </c>
      <c r="J19" s="39">
        <f t="shared" si="0"/>
        <v>2304.1755000000003</v>
      </c>
      <c r="K19" s="39">
        <f t="shared" ref="K19:P19" si="1">SUM(K8:K18)</f>
        <v>2389.6289999999999</v>
      </c>
      <c r="L19" s="39">
        <f t="shared" si="1"/>
        <v>2012.2850000000003</v>
      </c>
      <c r="M19" s="39">
        <f t="shared" si="1"/>
        <v>2242.7240000000002</v>
      </c>
      <c r="N19" s="39">
        <f t="shared" si="1"/>
        <v>2493.5349999999999</v>
      </c>
      <c r="O19" s="39">
        <f t="shared" si="1"/>
        <v>2348.3570000000004</v>
      </c>
      <c r="P19" s="39">
        <f t="shared" si="1"/>
        <v>2148.70183</v>
      </c>
      <c r="Q19" s="39">
        <f>AVERAGE(C19:M19)</f>
        <v>2223.4899</v>
      </c>
    </row>
    <row r="20" spans="1:17" x14ac:dyDescent="0.15">
      <c r="A20" s="28"/>
      <c r="B20" s="32"/>
      <c r="C20" s="28"/>
      <c r="D20" s="28"/>
      <c r="E20" s="28"/>
      <c r="F20" s="28"/>
      <c r="G20" s="28"/>
      <c r="H20" s="28"/>
      <c r="I20" s="28"/>
      <c r="J20" s="28"/>
      <c r="K20" s="28"/>
      <c r="Q20" s="28"/>
    </row>
    <row r="21" spans="1:17" x14ac:dyDescent="0.15">
      <c r="A21" s="28"/>
      <c r="B21" s="32"/>
      <c r="C21" s="28"/>
      <c r="D21" s="28"/>
      <c r="E21" s="28"/>
      <c r="F21" s="28"/>
      <c r="G21" s="28"/>
      <c r="H21" s="28"/>
      <c r="I21" s="28"/>
      <c r="J21" s="28"/>
      <c r="K21" s="28"/>
      <c r="Q21" s="28"/>
    </row>
    <row r="22" spans="1:17" x14ac:dyDescent="0.15">
      <c r="A22" s="33" t="s">
        <v>506</v>
      </c>
      <c r="B22" s="32"/>
      <c r="C22" s="33" t="s">
        <v>362</v>
      </c>
      <c r="D22" s="28"/>
      <c r="E22" s="28"/>
      <c r="F22" s="10">
        <v>7500</v>
      </c>
      <c r="G22" s="28"/>
      <c r="H22" s="28"/>
      <c r="I22" s="28"/>
      <c r="J22" s="28"/>
      <c r="K22" s="28"/>
      <c r="Q22" s="28"/>
    </row>
    <row r="23" spans="1:17" x14ac:dyDescent="0.15">
      <c r="A23" s="33" t="s">
        <v>507</v>
      </c>
      <c r="B23" s="32"/>
      <c r="C23" s="33" t="s">
        <v>456</v>
      </c>
      <c r="D23" s="28"/>
      <c r="E23" s="28"/>
      <c r="F23" s="11">
        <v>0.8</v>
      </c>
      <c r="G23" s="28"/>
      <c r="H23" s="28"/>
      <c r="I23" s="28"/>
      <c r="J23" s="28"/>
      <c r="K23" s="28"/>
      <c r="Q23" s="28"/>
    </row>
    <row r="24" spans="1:17" x14ac:dyDescent="0.15">
      <c r="A24" s="28"/>
      <c r="B24" s="32"/>
      <c r="C24" s="33" t="s">
        <v>199</v>
      </c>
      <c r="D24" s="28"/>
      <c r="E24" s="28"/>
      <c r="F24" s="11">
        <v>0.2</v>
      </c>
      <c r="G24" s="28"/>
      <c r="H24" s="28"/>
      <c r="I24" s="28"/>
      <c r="J24" s="28"/>
      <c r="K24" s="28"/>
      <c r="Q24" s="28"/>
    </row>
    <row r="25" spans="1:17" x14ac:dyDescent="0.15">
      <c r="A25" s="28"/>
      <c r="B25" s="40"/>
      <c r="C25" s="28"/>
      <c r="D25" s="28"/>
      <c r="E25" s="28"/>
      <c r="F25" s="28"/>
      <c r="G25" s="28"/>
      <c r="H25" s="28"/>
      <c r="I25" s="28"/>
      <c r="J25" s="28"/>
      <c r="K25" s="28"/>
      <c r="Q25" s="28"/>
    </row>
    <row r="26" spans="1:17" x14ac:dyDescent="0.15">
      <c r="A26" s="34" t="s">
        <v>249</v>
      </c>
      <c r="B26" s="40"/>
      <c r="C26" s="9" t="s">
        <v>200</v>
      </c>
      <c r="D26" s="9" t="s">
        <v>181</v>
      </c>
      <c r="E26" s="9" t="s">
        <v>385</v>
      </c>
      <c r="F26" s="9" t="s">
        <v>438</v>
      </c>
      <c r="G26" s="9" t="s">
        <v>470</v>
      </c>
      <c r="H26" s="9" t="s">
        <v>432</v>
      </c>
      <c r="I26" s="9" t="s">
        <v>263</v>
      </c>
      <c r="J26" s="9" t="s">
        <v>203</v>
      </c>
      <c r="K26" s="9" t="s">
        <v>287</v>
      </c>
      <c r="L26" s="9" t="s">
        <v>204</v>
      </c>
      <c r="M26" s="9" t="s">
        <v>246</v>
      </c>
      <c r="N26" s="9" t="s">
        <v>323</v>
      </c>
      <c r="O26" s="9" t="s">
        <v>194</v>
      </c>
      <c r="P26" s="9" t="s">
        <v>248</v>
      </c>
      <c r="Q26" s="9" t="s">
        <v>594</v>
      </c>
    </row>
    <row r="27" spans="1:17" x14ac:dyDescent="0.15">
      <c r="A27" s="28" t="s">
        <v>243</v>
      </c>
      <c r="B27" s="32"/>
      <c r="C27" s="36">
        <f>IF(($F22*$F23)*'Tariff Jul''15'!E29/'Tariff Jul''15'!E30&gt;='Tariff Jul''15'!E33,('Tariff Jul''15'!E33*'Tariff Jul''15'!E38/100*1.1)*'Tariff Jul''15'!E30,(($F22*$F23)*('Tariff Jul''15'!E29/'Tariff Jul''15'!E30)*('Tariff Jul''15'!E38/100*1.1)*'Tariff Jul''15'!E30))</f>
        <v>321.20000000000005</v>
      </c>
      <c r="D27" s="36">
        <f>IF(($F22*$F23)*'Tariff Jul''15'!F29/'Tariff Jul''15'!F30&gt;='Tariff Jul''15'!F33,('Tariff Jul''15'!F33*'Tariff Jul''15'!F38/100*1.1)*'Tariff Jul''15'!F30,(($F22*$F23)*('Tariff Jul''15'!F29/'Tariff Jul''15'!F30)*('Tariff Jul''15'!F38/100*1.1)*'Tariff Jul''15'!F30))</f>
        <v>316.8</v>
      </c>
      <c r="E27" s="36">
        <f>IF(($F22*$F23)*'Tariff Jul''15'!G29/'Tariff Jul''15'!G30&gt;='Tariff Jul''15'!G33,('Tariff Jul''15'!G33*'Tariff Jul''15'!G38/100*1.1)*'Tariff Jul''15'!G30,(($F22*$F23)*('Tariff Jul''15'!G29/'Tariff Jul''15'!G30)*('Tariff Jul''15'!G38/100*1.1)*'Tariff Jul''15'!G30))</f>
        <v>322.19</v>
      </c>
      <c r="F27" s="36">
        <f>IF(($F22*$F23)*'Tariff Jul''15'!H29/'Tariff Jul''15'!H30&gt;='Tariff Jul''15'!H33,('Tariff Jul''15'!H33*'Tariff Jul''15'!H38/100*1.1)*'Tariff Jul''15'!H30,(($F22*$F23)*('Tariff Jul''15'!H29/'Tariff Jul''15'!H30)*('Tariff Jul''15'!H38/100*1.1)*'Tariff Jul''15'!H30))</f>
        <v>90.684000000000012</v>
      </c>
      <c r="G27" s="36">
        <f>IF(($F22*$F23)*'Tariff Jul''15'!I29/'Tariff Jul''15'!I30&gt;='Tariff Jul''15'!I33,('Tariff Jul''15'!I33*'Tariff Jul''15'!I38/100*1.1)*'Tariff Jul''15'!I30,(($F22*$F23)*('Tariff Jul''15'!I29/'Tariff Jul''15'!I30)*('Tariff Jul''15'!I38/100*1.1)*'Tariff Jul''15'!I30))</f>
        <v>90.420000000000016</v>
      </c>
      <c r="H27" s="36">
        <f>IF(($F22*$F23)*'Tariff Jul''15'!J29/'Tariff Jul''15'!J30&gt;='Tariff Jul''15'!J33,('Tariff Jul''15'!J33*'Tariff Jul''15'!J38/100*1.1)*'Tariff Jul''15'!J30,(($F22*$F23)*('Tariff Jul''15'!J29/'Tariff Jul''15'!J30)*('Tariff Jul''15'!J38/100*1.1)*'Tariff Jul''15'!J30))</f>
        <v>87.350999999999999</v>
      </c>
      <c r="I27" s="36">
        <f>IF(($F22*$F23)*'Tariff Jul''15'!K29/'Tariff Jul''15'!K30&gt;='Tariff Jul''15'!K33,('Tariff Jul''15'!K33*'Tariff Jul''15'!K38/100*1.1)*'Tariff Jul''15'!K30,(($F22*$F23)*('Tariff Jul''15'!K29/'Tariff Jul''15'!K30)*('Tariff Jul''15'!K38/100*1.1)*'Tariff Jul''15'!K30))</f>
        <v>308.88000000000005</v>
      </c>
      <c r="J27" s="36">
        <f>IF(($F22*$F23)*'Tariff Jul''15'!L29/'Tariff Jul''15'!L30&gt;='Tariff Jul''15'!L33,('Tariff Jul''15'!L33*'Tariff Jul''15'!L38/100*1.1)*'Tariff Jul''15'!L30,(($F22*$F23)*('Tariff Jul''15'!L29/'Tariff Jul''15'!L30)*('Tariff Jul''15'!L38/100*1.1)*'Tariff Jul''15'!L30))</f>
        <v>101.64000000000001</v>
      </c>
      <c r="K27" s="36">
        <f>IF(($F22*$F23)*'Tariff Jul''15'!M29/'Tariff Jul''15'!M30&gt;='Tariff Jul''15'!M33,('Tariff Jul''15'!M33*'Tariff Jul''15'!M38/100*1.1)*'Tariff Jul''15'!M30,(($F22*$F23)*('Tariff Jul''15'!M29/'Tariff Jul''15'!M30)*('Tariff Jul''15'!M38/100*1.1)*'Tariff Jul''15'!M30))</f>
        <v>324.5</v>
      </c>
      <c r="L27" s="36">
        <f>IF(($F22*$F23)*'Tariff Jul''15'!N29/'Tariff Jul''15'!N30&gt;='Tariff Jul''15'!N33,('Tariff Jul''15'!N33*'Tariff Jul''15'!N38/100*1.1)*'Tariff Jul''15'!N30,(($F22*$F23)*('Tariff Jul''15'!N29/'Tariff Jul''15'!N30)*('Tariff Jul''15'!N38/100*1.1)*'Tariff Jul''15'!N30))</f>
        <v>172.78800000000004</v>
      </c>
      <c r="M27" s="36">
        <f>IF(($F22*$F23)*'Tariff Jul''15'!O29/'Tariff Jul''15'!O30&gt;='Tariff Jul''15'!O33,('Tariff Jul''15'!O33*'Tariff Jul''15'!O38/100*1.1)*'Tariff Jul''15'!O30,(($F22*$F23)*('Tariff Jul''15'!O29/'Tariff Jul''15'!O30)*('Tariff Jul''15'!O38/100*1.1)*'Tariff Jul''15'!O30))</f>
        <v>313.61000000000007</v>
      </c>
      <c r="N27" s="36">
        <f>IF(($F22*$F23)*'Tariff Jul''15'!P29/'Tariff Jul''15'!P30&gt;='Tariff Jul''15'!P33,('Tariff Jul''15'!P33*'Tariff Jul''15'!P38/100*1.1)*'Tariff Jul''15'!P30,(($F22*$F23)*('Tariff Jul''15'!P29/'Tariff Jul''15'!P30)*('Tariff Jul''15'!P38/100*1.1)*'Tariff Jul''15'!P30))</f>
        <v>345.40000000000003</v>
      </c>
      <c r="O27" s="36">
        <f>IF(($F22*$F23)*'Tariff Jul''15'!Q29/'Tariff Jul''15'!Q30&gt;='Tariff Jul''15'!Q33,('Tariff Jul''15'!Q33*'Tariff Jul''15'!Q38/100*1.1)*'Tariff Jul''15'!Q30,(($F22*$F23)*('Tariff Jul''15'!Q29/'Tariff Jul''15'!Q30)*('Tariff Jul''15'!Q38/100*1.1)*'Tariff Jul''15'!Q30))</f>
        <v>90.420000000000016</v>
      </c>
      <c r="P27" s="36">
        <f>IF(($F22*$F23)*'Tariff Jul''15'!R29/'Tariff Jul''15'!R30&gt;='Tariff Jul''15'!R33,('Tariff Jul''15'!R33*'Tariff Jul''15'!R38/100*1.1)*'Tariff Jul''15'!R30,(($F22*$F23)*('Tariff Jul''15'!R29/'Tariff Jul''15'!R30)*('Tariff Jul''15'!R38/100*1.1)*'Tariff Jul''15'!R30))</f>
        <v>291.92900000000003</v>
      </c>
      <c r="Q27" s="32"/>
    </row>
    <row r="28" spans="1:17" x14ac:dyDescent="0.15">
      <c r="A28" s="28" t="s">
        <v>317</v>
      </c>
      <c r="B28" s="32"/>
      <c r="C28" s="36">
        <f>IF(($F22*$F23)*'Tariff Jul''15'!E29/'Tariff Jul''15'!E30&lt;'Tariff Jul''15'!E33,0,IF(($F22*$F23)*'Tariff Jul''15'!E29/'Tariff Jul''15'!E30&lt;='Tariff Jul''15'!E34,(($F22*$F23)*'Tariff Jul''15'!E29/'Tariff Jul''15'!E30-'Tariff Jul''15'!E33)*('Tariff Jul''15'!E39/100*1.1)*'Tariff Jul''15'!E30,('Tariff Jul''15'!E34-'Tariff Jul''15'!E33)*('Tariff Jul''15'!E39/100*1.1)*'Tariff Jul''15'!E30))</f>
        <v>0</v>
      </c>
      <c r="D28" s="36">
        <f>IF(($F22*$F23)*'Tariff Jul''15'!F29/'Tariff Jul''15'!F30&lt;'Tariff Jul''15'!F33,0,IF(($F22*$F23)*'Tariff Jul''15'!F29/'Tariff Jul''15'!F30&lt;='Tariff Jul''15'!F34,(($F22*$F23)*'Tariff Jul''15'!F29/'Tariff Jul''15'!F30-'Tariff Jul''15'!F33)*('Tariff Jul''15'!F39/100*1.1)*'Tariff Jul''15'!F30,('Tariff Jul''15'!F34-'Tariff Jul''15'!F33)*('Tariff Jul''15'!F39/100*1.1)*'Tariff Jul''15'!F30))</f>
        <v>0</v>
      </c>
      <c r="E28" s="36">
        <f>IF(($F22*$F23)*'Tariff Jul''15'!G29/'Tariff Jul''15'!G30&lt;'Tariff Jul''15'!G33,0,IF(($F22*$F23)*'Tariff Jul''15'!G29/'Tariff Jul''15'!G30&lt;='Tariff Jul''15'!G34,(($F22*$F23)*'Tariff Jul''15'!G29/'Tariff Jul''15'!G30-'Tariff Jul''15'!G33)*('Tariff Jul''15'!G39/100*1.1)*'Tariff Jul''15'!G30,('Tariff Jul''15'!G34-'Tariff Jul''15'!G33)*('Tariff Jul''15'!G39/100*1.1)*'Tariff Jul''15'!G30))</f>
        <v>185.73500000000004</v>
      </c>
      <c r="F28" s="36">
        <f>IF(($F22*$F23)*'Tariff Jul''15'!H29/'Tariff Jul''15'!H30&lt;'Tariff Jul''15'!H33,0,IF(($F22*$F23)*'Tariff Jul''15'!H29/'Tariff Jul''15'!H30&lt;='Tariff Jul''15'!H34,(($F22*$F23)*'Tariff Jul''15'!H29/'Tariff Jul''15'!H30-'Tariff Jul''15'!H33)*('Tariff Jul''15'!H39/100*1.1)*'Tariff Jul''15'!H30,('Tariff Jul''15'!H34-'Tariff Jul''15'!H33)*('Tariff Jul''15'!H39/100*1.1)*'Tariff Jul''15'!H30))</f>
        <v>215.446</v>
      </c>
      <c r="G28" s="36">
        <f>IF(($F22*$F23)*'Tariff Jul''15'!I29/'Tariff Jul''15'!I30&lt;'Tariff Jul''15'!I33,0,IF(($F22*$F23)*'Tariff Jul''15'!I29/'Tariff Jul''15'!I30&lt;='Tariff Jul''15'!I34,(($F22*$F23)*'Tariff Jul''15'!I29/'Tariff Jul''15'!I30-'Tariff Jul''15'!I33)*('Tariff Jul''15'!I39/100*1.1)*'Tariff Jul''15'!I30,('Tariff Jul''15'!I34-'Tariff Jul''15'!I33)*('Tariff Jul''15'!I39/100*1.1)*'Tariff Jul''15'!I30))</f>
        <v>219.60400000000004</v>
      </c>
      <c r="H28" s="36">
        <f>IF(($F22*$F23)*'Tariff Jul''15'!J29/'Tariff Jul''15'!J30&lt;'Tariff Jul''15'!J33,0,IF(($F22*$F23)*'Tariff Jul''15'!J29/'Tariff Jul''15'!J30&lt;='Tariff Jul''15'!J34,(($F22*$F23)*'Tariff Jul''15'!J29/'Tariff Jul''15'!J30-'Tariff Jul''15'!J33)*('Tariff Jul''15'!J39/100*1.1)*'Tariff Jul''15'!J30,('Tariff Jul''15'!J34-'Tariff Jul''15'!J33)*('Tariff Jul''15'!J39/100*1.1)*'Tariff Jul''15'!J30))</f>
        <v>207.82299999999998</v>
      </c>
      <c r="I28" s="36">
        <f>IF(($F22*$F23)*'Tariff Jul''15'!K29/'Tariff Jul''15'!K30&lt;'Tariff Jul''15'!K33,0,IF(($F22*$F23)*'Tariff Jul''15'!K29/'Tariff Jul''15'!K30&lt;='Tariff Jul''15'!K34,(($F22*$F23)*'Tariff Jul''15'!K29/'Tariff Jul''15'!K30-'Tariff Jul''15'!K33)*('Tariff Jul''15'!K39/100*1.1)*'Tariff Jul''15'!K30,('Tariff Jul''15'!K34-'Tariff Jul''15'!K33)*('Tariff Jul''15'!K39/100*1.1)*'Tariff Jul''15'!K30))</f>
        <v>0</v>
      </c>
      <c r="J28" s="36">
        <f>IF(($F22*$F23)*'Tariff Jul''15'!L29/'Tariff Jul''15'!L30&lt;'Tariff Jul''15'!L33,0,IF(($F22*$F23)*'Tariff Jul''15'!L29/'Tariff Jul''15'!L30&lt;='Tariff Jul''15'!L34,(($F22*$F23)*'Tariff Jul''15'!L29/'Tariff Jul''15'!L30-'Tariff Jul''15'!L33)*('Tariff Jul''15'!L39/100*1.1)*'Tariff Jul''15'!L30,('Tariff Jul''15'!L34-'Tariff Jul''15'!L33)*('Tariff Jul''15'!L39/100*1.1)*'Tariff Jul''15'!L30))</f>
        <v>248.71</v>
      </c>
      <c r="K28" s="36">
        <f>IF(($F22*$F23)*'Tariff Jul''15'!M29/'Tariff Jul''15'!M30&lt;'Tariff Jul''15'!M33,0,IF(($F22*$F23)*'Tariff Jul''15'!M29/'Tariff Jul''15'!M30&lt;='Tariff Jul''15'!M34,(($F22*$F23)*'Tariff Jul''15'!M29/'Tariff Jul''15'!M30-'Tariff Jul''15'!M33)*('Tariff Jul''15'!M39/100*1.1)*'Tariff Jul''15'!M30,('Tariff Jul''15'!M34-'Tariff Jul''15'!M33)*('Tariff Jul''15'!M39/100*1.1)*'Tariff Jul''15'!M30))</f>
        <v>0</v>
      </c>
      <c r="L28" s="36">
        <f>IF(($F22*$F23)*'Tariff Jul''15'!N29/'Tariff Jul''15'!N30&lt;'Tariff Jul''15'!N33,0,IF(($F22*$F23)*'Tariff Jul''15'!N29/'Tariff Jul''15'!N30&lt;='Tariff Jul''15'!N34,(($F22*$F23)*'Tariff Jul''15'!N29/'Tariff Jul''15'!N30-'Tariff Jul''15'!N33)*('Tariff Jul''15'!N39/100*1.1)*'Tariff Jul''15'!N30,('Tariff Jul''15'!N34-'Tariff Jul''15'!N33)*('Tariff Jul''15'!N39/100*1.1)*'Tariff Jul''15'!N30))</f>
        <v>0</v>
      </c>
      <c r="M28" s="36">
        <f>IF(($F22*$F23)*'Tariff Jul''15'!O29/'Tariff Jul''15'!O30&lt;'Tariff Jul''15'!O33,0,IF(($F22*$F23)*'Tariff Jul''15'!O29/'Tariff Jul''15'!O30&lt;='Tariff Jul''15'!O34,(($F22*$F23)*'Tariff Jul''15'!O29/'Tariff Jul''15'!O30-'Tariff Jul''15'!O33)*('Tariff Jul''15'!O39/100*1.1)*'Tariff Jul''15'!O30,('Tariff Jul''15'!O34-'Tariff Jul''15'!O33)*('Tariff Jul''15'!O39/100*1.1)*'Tariff Jul''15'!O30))</f>
        <v>0</v>
      </c>
      <c r="N28" s="36">
        <f>IF(($F22*$F23)*'Tariff Jul''15'!P29/'Tariff Jul''15'!P30&lt;'Tariff Jul''15'!P33,0,IF(($F22*$F23)*'Tariff Jul''15'!P29/'Tariff Jul''15'!P30&lt;='Tariff Jul''15'!P34,(($F22*$F23)*'Tariff Jul''15'!P29/'Tariff Jul''15'!P30-'Tariff Jul''15'!P33)*('Tariff Jul''15'!P39/100*1.1)*'Tariff Jul''15'!P30,('Tariff Jul''15'!P34-'Tariff Jul''15'!P33)*('Tariff Jul''15'!P39/100*1.1)*'Tariff Jul''15'!P30))</f>
        <v>0</v>
      </c>
      <c r="O28" s="36">
        <f>IF(($F22*$F23)*'Tariff Jul''15'!Q29/'Tariff Jul''15'!Q30&lt;'Tariff Jul''15'!Q33,0,IF(($F22*$F23)*'Tariff Jul''15'!Q29/'Tariff Jul''15'!Q30&lt;='Tariff Jul''15'!Q34,(($F22*$F23)*'Tariff Jul''15'!Q29/'Tariff Jul''15'!Q30-'Tariff Jul''15'!Q33)*('Tariff Jul''15'!Q39/100*1.1)*'Tariff Jul''15'!Q30,('Tariff Jul''15'!Q34-'Tariff Jul''15'!Q33)*('Tariff Jul''15'!Q39/100*1.1)*'Tariff Jul''15'!Q30))</f>
        <v>236.39</v>
      </c>
      <c r="P28" s="36">
        <f>IF(($F22*$F23)*'Tariff Jul''15'!R29/'Tariff Jul''15'!R30&lt;'Tariff Jul''15'!R33,0,IF(($F22*$F23)*'Tariff Jul''15'!R29/'Tariff Jul''15'!R30&lt;='Tariff Jul''15'!R34,(($F22*$F23)*'Tariff Jul''15'!R29/'Tariff Jul''15'!R30-'Tariff Jul''15'!R33)*('Tariff Jul''15'!R39/100*1.1)*'Tariff Jul''15'!R30,('Tariff Jul''15'!R34-'Tariff Jul''15'!R33)*('Tariff Jul''15'!R39/100*1.1)*'Tariff Jul''15'!R30))</f>
        <v>0</v>
      </c>
      <c r="Q28" s="32"/>
    </row>
    <row r="29" spans="1:17" x14ac:dyDescent="0.15">
      <c r="A29" s="28" t="s">
        <v>250</v>
      </c>
      <c r="B29" s="32"/>
      <c r="C29" s="36">
        <f>IF(($F22*$F23)*'Tariff Jul''15'!E29/'Tariff Jul''15'!E30&lt;'Tariff Jul''15'!E34,0,IF(($F22*$F23)*'Tariff Jul''15'!E29/'Tariff Jul''15'!E30&lt;='Tariff Jul''15'!E35,(($F22*$F23)*'Tariff Jul''15'!E29/'Tariff Jul''15'!E30-'Tariff Jul''15'!E34)*('Tariff Jul''15'!E40/100*1.1)*'Tariff Jul''15'!E30,('Tariff Jul''15'!E35-'Tariff Jul''15'!E34)*('Tariff Jul''15'!E40/100*1.1)*'Tariff Jul''15'!E30))</f>
        <v>0</v>
      </c>
      <c r="D29" s="36">
        <f>IF(($F22*$F23)*'Tariff Jul''15'!F29/'Tariff Jul''15'!F30&lt;'Tariff Jul''15'!F34,0,IF(($F22*$F23)*'Tariff Jul''15'!F29/'Tariff Jul''15'!F30&lt;='Tariff Jul''15'!F35,(($F22*$F23)*'Tariff Jul''15'!F29/'Tariff Jul''15'!F30-'Tariff Jul''15'!F34)*('Tariff Jul''15'!F40/100*1.1)*'Tariff Jul''15'!F30,('Tariff Jul''15'!F35-'Tariff Jul''15'!F34)*('Tariff Jul''15'!F40/100*1.1)*'Tariff Jul''15'!F30))</f>
        <v>0</v>
      </c>
      <c r="E29" s="36">
        <f>IF(($F22*$F23)*'Tariff Jul''15'!G29/'Tariff Jul''15'!G30&lt;'Tariff Jul''15'!G34,0,IF(($F22*$F23)*'Tariff Jul''15'!G29/'Tariff Jul''15'!G30&lt;='Tariff Jul''15'!G35,(($F22*$F23)*'Tariff Jul''15'!G29/'Tariff Jul''15'!G30-'Tariff Jul''15'!G34)*('Tariff Jul''15'!G40/100*1.1)*'Tariff Jul''15'!G30,('Tariff Jul''15'!G35-'Tariff Jul''15'!G34)*('Tariff Jul''15'!G40/100*1.1)*'Tariff Jul''15'!G30))</f>
        <v>0</v>
      </c>
      <c r="F29" s="36">
        <f>IF(($F22*$F23)*'Tariff Jul''15'!H29/'Tariff Jul''15'!H30&lt;'Tariff Jul''15'!H34,0,IF(($F22*$F23)*'Tariff Jul''15'!H29/'Tariff Jul''15'!H30&lt;='Tariff Jul''15'!H35,(($F22*$F23)*'Tariff Jul''15'!H29/'Tariff Jul''15'!H30-'Tariff Jul''15'!H34)*('Tariff Jul''15'!H40/100*1.1)*'Tariff Jul''15'!H30,('Tariff Jul''15'!H35-'Tariff Jul''15'!H34)*('Tariff Jul''15'!H40/100*1.1)*'Tariff Jul''15'!H30))</f>
        <v>178.36500000000001</v>
      </c>
      <c r="G29" s="36">
        <f>IF(($F22*$F23)*'Tariff Jul''15'!I29/'Tariff Jul''15'!I30&lt;'Tariff Jul''15'!I34,0,IF(($F22*$F23)*'Tariff Jul''15'!I29/'Tariff Jul''15'!I30&lt;='Tariff Jul''15'!I35,(($F22*$F23)*'Tariff Jul''15'!I29/'Tariff Jul''15'!I30-'Tariff Jul''15'!I34)*('Tariff Jul''15'!I40/100*1.1)*'Tariff Jul''15'!I30,('Tariff Jul''15'!I35-'Tariff Jul''15'!I34)*('Tariff Jul''15'!I40/100*1.1)*'Tariff Jul''15'!I30))</f>
        <v>172.53500000000003</v>
      </c>
      <c r="H29" s="36">
        <f>IF(($F22*$F23)*'Tariff Jul''15'!J29/'Tariff Jul''15'!J30&lt;'Tariff Jul''15'!J34,0,IF(($F22*$F23)*'Tariff Jul''15'!J29/'Tariff Jul''15'!J30&lt;='Tariff Jul''15'!J35,(($F22*$F23)*'Tariff Jul''15'!J29/'Tariff Jul''15'!J30-'Tariff Jul''15'!J34)*('Tariff Jul''15'!J40/100*1.1)*'Tariff Jul''15'!J30,('Tariff Jul''15'!J35-'Tariff Jul''15'!J34)*('Tariff Jul''15'!J40/100*1.1)*'Tariff Jul''15'!J30))</f>
        <v>171.71</v>
      </c>
      <c r="I29" s="36">
        <f>IF(($F22*$F23)*'Tariff Jul''15'!K29/'Tariff Jul''15'!K30&lt;'Tariff Jul''15'!K34,0,IF(($F22*$F23)*'Tariff Jul''15'!K29/'Tariff Jul''15'!K30&lt;='Tariff Jul''15'!K35,(($F22*$F23)*'Tariff Jul''15'!K29/'Tariff Jul''15'!K30-'Tariff Jul''15'!K34)*('Tariff Jul''15'!K40/100*1.1)*'Tariff Jul''15'!K30,('Tariff Jul''15'!K35-'Tariff Jul''15'!K34)*('Tariff Jul''15'!K40/100*1.1)*'Tariff Jul''15'!K30))</f>
        <v>0</v>
      </c>
      <c r="J29" s="36">
        <f>IF(($F22*$F23)*'Tariff Jul''15'!L29/'Tariff Jul''15'!L30&lt;'Tariff Jul''15'!L34,0,IF(($F22*$F23)*'Tariff Jul''15'!L29/'Tariff Jul''15'!L30&lt;='Tariff Jul''15'!L35,(($F22*$F23)*'Tariff Jul''15'!L29/'Tariff Jul''15'!L30-'Tariff Jul''15'!L34)*('Tariff Jul''15'!L40/100*1.1)*'Tariff Jul''15'!L30,('Tariff Jul''15'!L35-'Tariff Jul''15'!L34)*('Tariff Jul''15'!L40/100*1.1)*'Tariff Jul''15'!L30))</f>
        <v>0</v>
      </c>
      <c r="K29" s="36">
        <f>IF(($F22*$F23)*'Tariff Jul''15'!M29/'Tariff Jul''15'!M30&lt;'Tariff Jul''15'!M34,0,IF(($F22*$F23)*'Tariff Jul''15'!M29/'Tariff Jul''15'!M30&lt;='Tariff Jul''15'!M35,(($F22*$F23)*'Tariff Jul''15'!M29/'Tariff Jul''15'!M30-'Tariff Jul''15'!M34)*('Tariff Jul''15'!M40/100*1.1)*'Tariff Jul''15'!M30,('Tariff Jul''15'!M35-'Tariff Jul''15'!M34)*('Tariff Jul''15'!M40/100*1.1)*'Tariff Jul''15'!M30))</f>
        <v>0</v>
      </c>
      <c r="L29" s="36">
        <f>IF(($F22*$F23)*'Tariff Jul''15'!N29/'Tariff Jul''15'!N30&lt;'Tariff Jul''15'!N34,0,IF(($F22*$F23)*'Tariff Jul''15'!N29/'Tariff Jul''15'!N30&lt;='Tariff Jul''15'!N35,(($F22*$F23)*'Tariff Jul''15'!N29/'Tariff Jul''15'!N30-'Tariff Jul''15'!N34)*('Tariff Jul''15'!N40/100*1.1)*'Tariff Jul''15'!N30,('Tariff Jul''15'!N35-'Tariff Jul''15'!N34)*('Tariff Jul''15'!N40/100*1.1)*'Tariff Jul''15'!N30))</f>
        <v>0</v>
      </c>
      <c r="M29" s="36">
        <f>IF(($F22*$F23)*'Tariff Jul''15'!O29/'Tariff Jul''15'!O30&lt;'Tariff Jul''15'!O34,0,IF(($F22*$F23)*'Tariff Jul''15'!O29/'Tariff Jul''15'!O30&lt;='Tariff Jul''15'!O35,(($F22*$F23)*'Tariff Jul''15'!O29/'Tariff Jul''15'!O30-'Tariff Jul''15'!O34)*('Tariff Jul''15'!O40/100*1.1)*'Tariff Jul''15'!O30,('Tariff Jul''15'!O35-'Tariff Jul''15'!O34)*('Tariff Jul''15'!O40/100*1.1)*'Tariff Jul''15'!O30))</f>
        <v>0</v>
      </c>
      <c r="N29" s="36">
        <f>IF(($F22*$F23)*'Tariff Jul''15'!P29/'Tariff Jul''15'!P30&lt;'Tariff Jul''15'!P34,0,IF(($F22*$F23)*'Tariff Jul''15'!P29/'Tariff Jul''15'!P30&lt;='Tariff Jul''15'!P35,(($F22*$F23)*'Tariff Jul''15'!P29/'Tariff Jul''15'!P30-'Tariff Jul''15'!P34)*('Tariff Jul''15'!P40/100*1.1)*'Tariff Jul''15'!P30,('Tariff Jul''15'!P35-'Tariff Jul''15'!P34)*('Tariff Jul''15'!P40/100*1.1)*'Tariff Jul''15'!P30))</f>
        <v>0</v>
      </c>
      <c r="O29" s="36">
        <f>IF(($F22*$F23)*'Tariff Jul''15'!Q29/'Tariff Jul''15'!Q30&lt;'Tariff Jul''15'!Q34,0,IF(($F22*$F23)*'Tariff Jul''15'!Q29/'Tariff Jul''15'!Q30&lt;='Tariff Jul''15'!Q35,(($F22*$F23)*'Tariff Jul''15'!Q29/'Tariff Jul''15'!Q30-'Tariff Jul''15'!Q34)*('Tariff Jul''15'!Q40/100*1.1)*'Tariff Jul''15'!Q30,('Tariff Jul''15'!Q35-'Tariff Jul''15'!Q34)*('Tariff Jul''15'!Q40/100*1.1)*'Tariff Jul''15'!Q30))</f>
        <v>0</v>
      </c>
      <c r="P29" s="36">
        <f>IF(($F22*$F23)*'Tariff Jul''15'!R29/'Tariff Jul''15'!R30&lt;'Tariff Jul''15'!R34,0,IF(($F22*$F23)*'Tariff Jul''15'!R29/'Tariff Jul''15'!R30&lt;='Tariff Jul''15'!R35,(($F22*$F23)*'Tariff Jul''15'!R29/'Tariff Jul''15'!R30-'Tariff Jul''15'!R34)*('Tariff Jul''15'!R40/100*1.1)*'Tariff Jul''15'!R30,('Tariff Jul''15'!R35-'Tariff Jul''15'!R34)*('Tariff Jul''15'!R40/100*1.1)*'Tariff Jul''15'!R30))</f>
        <v>0</v>
      </c>
      <c r="Q29" s="32"/>
    </row>
    <row r="30" spans="1:17" x14ac:dyDescent="0.15">
      <c r="A30" s="28" t="s">
        <v>251</v>
      </c>
      <c r="B30" s="32"/>
      <c r="C30" s="36">
        <f>IF(($F22*$F23)*'Tariff Jul''15'!E29/'Tariff Jul''15'!E30&lt;'Tariff Jul''15'!E35,0,IF(($F22*$F23)*'Tariff Jul''15'!E29/'Tariff Jul''15'!E30&lt;='Tariff Jul''15'!E36,(($F22*$F23)*'Tariff Jul''15'!E29/'Tariff Jul''15'!E30-'Tariff Jul''15'!E35)*('Tariff Jul''15'!E41/100*1.1)*'Tariff Jul''15'!E30,('Tariff Jul''15'!E36-'Tariff Jul''15'!E35)*('Tariff Jul''15'!E41/100*1.1)*'Tariff Jul''15'!E30))</f>
        <v>0</v>
      </c>
      <c r="D30" s="36">
        <f>IF(($F22*$F23)*'Tariff Jul''15'!F29/'Tariff Jul''15'!F30&lt;'Tariff Jul''15'!F35,0,IF(($F22*$F23)*'Tariff Jul''15'!F29/'Tariff Jul''15'!F30&lt;='Tariff Jul''15'!F36,(($F22*$F23)*'Tariff Jul''15'!F29/'Tariff Jul''15'!F30-'Tariff Jul''15'!F35)*('Tariff Jul''15'!F41/100*1.1)*'Tariff Jul''15'!F30,('Tariff Jul''15'!F36-'Tariff Jul''15'!F35)*('Tariff Jul''15'!F41/100*1.1)*'Tariff Jul''15'!F30))</f>
        <v>0</v>
      </c>
      <c r="E30" s="36">
        <f>IF(($F22*$F23)*'Tariff Jul''15'!G29/'Tariff Jul''15'!G30&lt;'Tariff Jul''15'!G35,0,IF(($F22*$F23)*'Tariff Jul''15'!G29/'Tariff Jul''15'!G30&lt;='Tariff Jul''15'!G36,(($F22*$F23)*'Tariff Jul''15'!G29/'Tariff Jul''15'!G30-'Tariff Jul''15'!G35)*('Tariff Jul''15'!G41/100*1.1)*'Tariff Jul''15'!G30,('Tariff Jul''15'!G36-'Tariff Jul''15'!G35)*('Tariff Jul''15'!G41/100*1.1)*'Tariff Jul''15'!G30))</f>
        <v>0</v>
      </c>
      <c r="F30" s="36">
        <f>IF(($F22*$F23)*'Tariff Jul''15'!H29/'Tariff Jul''15'!H30&lt;'Tariff Jul''15'!H35,0,IF(($F22*$F23)*'Tariff Jul''15'!H29/'Tariff Jul''15'!H30&lt;='Tariff Jul''15'!H36,(($F22*$F23)*'Tariff Jul''15'!H29/'Tariff Jul''15'!H30-'Tariff Jul''15'!H35)*('Tariff Jul''15'!H41/100*1.1)*'Tariff Jul''15'!H30,('Tariff Jul''15'!H36-'Tariff Jul''15'!H35)*('Tariff Jul''15'!H41/100*1.1)*'Tariff Jul''15'!H30))</f>
        <v>0</v>
      </c>
      <c r="G30" s="36">
        <f>IF(($F22*$F23)*'Tariff Jul''15'!I29/'Tariff Jul''15'!I30&lt;'Tariff Jul''15'!I35,0,IF(($F22*$F23)*'Tariff Jul''15'!I29/'Tariff Jul''15'!I30&lt;='Tariff Jul''15'!I36,(($F22*$F23)*'Tariff Jul''15'!I29/'Tariff Jul''15'!I30-'Tariff Jul''15'!I35)*('Tariff Jul''15'!I41/100*1.1)*'Tariff Jul''15'!I30,('Tariff Jul''15'!I36-'Tariff Jul''15'!I35)*('Tariff Jul''15'!I41/100*1.1)*'Tariff Jul''15'!I30))</f>
        <v>0</v>
      </c>
      <c r="H30" s="36">
        <f>IF(($F22*$F23)*'Tariff Jul''15'!J29/'Tariff Jul''15'!J30&lt;'Tariff Jul''15'!J35,0,IF(($F22*$F23)*'Tariff Jul''15'!J29/'Tariff Jul''15'!J30&lt;='Tariff Jul''15'!J36,(($F22*$F23)*'Tariff Jul''15'!J29/'Tariff Jul''15'!J30-'Tariff Jul''15'!J35)*('Tariff Jul''15'!J41/100*1.1)*'Tariff Jul''15'!J30,('Tariff Jul''15'!J36-'Tariff Jul''15'!J35)*('Tariff Jul''15'!J41/100*1.1)*'Tariff Jul''15'!J30))</f>
        <v>0</v>
      </c>
      <c r="I30" s="36">
        <f>IF(($F22*$F23)*'Tariff Jul''15'!K29/'Tariff Jul''15'!K30&lt;'Tariff Jul''15'!K35,0,IF(($F22*$F23)*'Tariff Jul''15'!K29/'Tariff Jul''15'!K30&lt;='Tariff Jul''15'!K36,(($F22*$F23)*'Tariff Jul''15'!K29/'Tariff Jul''15'!K30-'Tariff Jul''15'!K35)*('Tariff Jul''15'!K41/100*1.1)*'Tariff Jul''15'!K30,('Tariff Jul''15'!K36-'Tariff Jul''15'!K35)*('Tariff Jul''15'!K41/100*1.1)*'Tariff Jul''15'!K30))</f>
        <v>0</v>
      </c>
      <c r="J30" s="36">
        <f>IF(($F22*$F23)*'Tariff Jul''15'!L29/'Tariff Jul''15'!L30&lt;'Tariff Jul''15'!L35,0,IF(($F22*$F23)*'Tariff Jul''15'!L29/'Tariff Jul''15'!L30&lt;='Tariff Jul''15'!L36,(($F22*$F23)*'Tariff Jul''15'!L29/'Tariff Jul''15'!L30-'Tariff Jul''15'!L35)*('Tariff Jul''15'!L41/100*1.1)*'Tariff Jul''15'!L30,('Tariff Jul''15'!L36-'Tariff Jul''15'!L35)*('Tariff Jul''15'!L41/100*1.1)*'Tariff Jul''15'!L30))</f>
        <v>0</v>
      </c>
      <c r="K30" s="36">
        <f>IF(($F22*$F23)*'Tariff Jul''15'!M29/'Tariff Jul''15'!M30&lt;'Tariff Jul''15'!M35,0,IF(($F22*$F23)*'Tariff Jul''15'!M29/'Tariff Jul''15'!M30&lt;='Tariff Jul''15'!M36,(($F22*$F23)*'Tariff Jul''15'!M29/'Tariff Jul''15'!M30-'Tariff Jul''15'!M35)*('Tariff Jul''15'!M41/100*1.1)*'Tariff Jul''15'!M30,('Tariff Jul''15'!M36-'Tariff Jul''15'!M35)*('Tariff Jul''15'!M41/100*1.1)*'Tariff Jul''15'!M30))</f>
        <v>0</v>
      </c>
      <c r="L30" s="36">
        <f>IF(($F22*$F23)*'Tariff Jul''15'!N29/'Tariff Jul''15'!N30&lt;'Tariff Jul''15'!N35,0,IF(($F22*$F23)*'Tariff Jul''15'!N29/'Tariff Jul''15'!N30&lt;='Tariff Jul''15'!N36,(($F22*$F23)*'Tariff Jul''15'!N29/'Tariff Jul''15'!N30-'Tariff Jul''15'!N35)*('Tariff Jul''15'!N41/100*1.1)*'Tariff Jul''15'!N30,('Tariff Jul''15'!N36-'Tariff Jul''15'!N35)*('Tariff Jul''15'!N41/100*1.1)*'Tariff Jul''15'!N30))</f>
        <v>0</v>
      </c>
      <c r="M30" s="36">
        <f>IF(($F22*$F23)*'Tariff Jul''15'!O29/'Tariff Jul''15'!O30&lt;'Tariff Jul''15'!O35,0,IF(($F22*$F23)*'Tariff Jul''15'!O29/'Tariff Jul''15'!O30&lt;='Tariff Jul''15'!O36,(($F22*$F23)*'Tariff Jul''15'!O29/'Tariff Jul''15'!O30-'Tariff Jul''15'!O35)*('Tariff Jul''15'!O41/100*1.1)*'Tariff Jul''15'!O30,('Tariff Jul''15'!O36-'Tariff Jul''15'!O35)*('Tariff Jul''15'!O41/100*1.1)*'Tariff Jul''15'!O30))</f>
        <v>0</v>
      </c>
      <c r="N30" s="36">
        <f>IF(($F22*$F23)*'Tariff Jul''15'!P29/'Tariff Jul''15'!P30&lt;'Tariff Jul''15'!P35,0,IF(($F22*$F23)*'Tariff Jul''15'!P29/'Tariff Jul''15'!P30&lt;='Tariff Jul''15'!P36,(($F22*$F23)*'Tariff Jul''15'!P29/'Tariff Jul''15'!P30-'Tariff Jul''15'!P35)*('Tariff Jul''15'!P41/100*1.1)*'Tariff Jul''15'!P30,('Tariff Jul''15'!P36-'Tariff Jul''15'!P35)*('Tariff Jul''15'!P41/100*1.1)*'Tariff Jul''15'!P30))</f>
        <v>0</v>
      </c>
      <c r="O30" s="36">
        <f>IF(($F22*$F23)*'Tariff Jul''15'!Q29/'Tariff Jul''15'!Q30&lt;'Tariff Jul''15'!Q35,0,IF(($F22*$F23)*'Tariff Jul''15'!Q29/'Tariff Jul''15'!Q30&lt;='Tariff Jul''15'!Q36,(($F22*$F23)*'Tariff Jul''15'!Q29/'Tariff Jul''15'!Q30-'Tariff Jul''15'!Q35)*('Tariff Jul''15'!Q41/100*1.1)*'Tariff Jul''15'!Q30,('Tariff Jul''15'!Q36-'Tariff Jul''15'!Q35)*('Tariff Jul''15'!Q41/100*1.1)*'Tariff Jul''15'!Q30))</f>
        <v>0</v>
      </c>
      <c r="P30" s="36">
        <f>IF(($F22*$F23)*'Tariff Jul''15'!R29/'Tariff Jul''15'!R30&lt;'Tariff Jul''15'!R35,0,IF(($F22*$F23)*'Tariff Jul''15'!R29/'Tariff Jul''15'!R30&lt;='Tariff Jul''15'!R36,(($F22*$F23)*'Tariff Jul''15'!R29/'Tariff Jul''15'!R30-'Tariff Jul''15'!R35)*('Tariff Jul''15'!R41/100*1.1)*'Tariff Jul''15'!R30,('Tariff Jul''15'!R36-'Tariff Jul''15'!R35)*('Tariff Jul''15'!R41/100*1.1)*'Tariff Jul''15'!R30))</f>
        <v>0</v>
      </c>
      <c r="Q30" s="32"/>
    </row>
    <row r="31" spans="1:17" x14ac:dyDescent="0.15">
      <c r="A31" s="28" t="s">
        <v>104</v>
      </c>
      <c r="B31" s="32"/>
      <c r="C31" s="36">
        <f>IF(($F22*$F23)*'Tariff Jul''15'!E29/'Tariff Jul''15'!E30&gt;'Tariff Jul''15'!E36,(($F22*$F23)*'Tariff Jul''15'!E29/'Tariff Jul''15'!E30-'Tariff Jul''15'!E36)*'Tariff Jul''15'!E42/100*1.1*'Tariff Jul''15'!E30,0)</f>
        <v>187.33000000000004</v>
      </c>
      <c r="D31" s="36">
        <f>IF(($F22*$F23)*'Tariff Jul''15'!F29/'Tariff Jul''15'!F30&gt;'Tariff Jul''15'!F36,(($F22*$F23)*'Tariff Jul''15'!F29/'Tariff Jul''15'!F30-'Tariff Jul''15'!F36)*'Tariff Jul''15'!F42/100*1.1*'Tariff Jul''15'!F30,0)</f>
        <v>183.64500000000001</v>
      </c>
      <c r="E31" s="36">
        <f>IF(($F22*$F23)*'Tariff Jul''15'!G29/'Tariff Jul''15'!G30&gt;'Tariff Jul''15'!G36,(($F22*$F23)*'Tariff Jul''15'!G29/'Tariff Jul''15'!G30-'Tariff Jul''15'!G36)*'Tariff Jul''15'!G42/100*1.1*'Tariff Jul''15'!G30,0)</f>
        <v>0</v>
      </c>
      <c r="F31" s="36">
        <f>IF(($F22*$F23)*'Tariff Jul''15'!H29/'Tariff Jul''15'!H30&gt;'Tariff Jul''15'!H36,(($F22*$F23)*'Tariff Jul''15'!H29/'Tariff Jul''15'!H30-'Tariff Jul''15'!H36)*'Tariff Jul''15'!H42/100*1.1*'Tariff Jul''15'!H30,0)</f>
        <v>0</v>
      </c>
      <c r="G31" s="36">
        <f>IF(($F22*$F23)*'Tariff Jul''15'!I29/'Tariff Jul''15'!I30&gt;'Tariff Jul''15'!I36,(($F22*$F23)*'Tariff Jul''15'!I29/'Tariff Jul''15'!I30-'Tariff Jul''15'!I36)*'Tariff Jul''15'!I42/100*1.1*'Tariff Jul''15'!I30,0)</f>
        <v>0</v>
      </c>
      <c r="H31" s="36">
        <f>IF(($F22*$F23)*'Tariff Jul''15'!J29/'Tariff Jul''15'!J30&gt;'Tariff Jul''15'!J36,(($F22*$F23)*'Tariff Jul''15'!J29/'Tariff Jul''15'!J30-'Tariff Jul''15'!J36)*'Tariff Jul''15'!J42/100*1.1*'Tariff Jul''15'!J30,0)</f>
        <v>0</v>
      </c>
      <c r="I31" s="36">
        <f>IF(($F22*$F23)*'Tariff Jul''15'!K29/'Tariff Jul''15'!K30&gt;'Tariff Jul''15'!K36,(($F22*$F23)*'Tariff Jul''15'!K29/'Tariff Jul''15'!K30-'Tariff Jul''15'!K36)*'Tariff Jul''15'!K42/100*1.1*'Tariff Jul''15'!K30,0)</f>
        <v>158.07</v>
      </c>
      <c r="J31" s="36">
        <f>IF(($F22*$F23)*'Tariff Jul''15'!L29/'Tariff Jul''15'!L30&gt;'Tariff Jul''15'!L36,(($F22*$F23)*'Tariff Jul''15'!L29/'Tariff Jul''15'!L30-'Tariff Jul''15'!L36)*'Tariff Jul''15'!L42/100*1.1*'Tariff Jul''15'!L30,0)</f>
        <v>204.05</v>
      </c>
      <c r="K31" s="36">
        <f>IF(($F22*$F23)*'Tariff Jul''15'!M29/'Tariff Jul''15'!M30&gt;'Tariff Jul''15'!M36,(($F22*$F23)*'Tariff Jul''15'!M29/'Tariff Jul''15'!M30-'Tariff Jul''15'!M36)*'Tariff Jul''15'!M42/100*1.1*'Tariff Jul''15'!M30,0)</f>
        <v>204.05</v>
      </c>
      <c r="L31" s="36">
        <f>IF(($F22*$F23)*'Tariff Jul''15'!N29/'Tariff Jul''15'!N30&gt;'Tariff Jul''15'!N36,(($F22*$F23)*'Tariff Jul''15'!N29/'Tariff Jul''15'!N30-'Tariff Jul''15'!N36)*'Tariff Jul''15'!N42/100*1.1*'Tariff Jul''15'!N30,0)</f>
        <v>256.608</v>
      </c>
      <c r="M31" s="36">
        <f>IF(($F22*$F23)*'Tariff Jul''15'!O29/'Tariff Jul''15'!O30&gt;'Tariff Jul''15'!O36,(($F22*$F23)*'Tariff Jul''15'!O29/'Tariff Jul''15'!O30-'Tariff Jul''15'!O36)*'Tariff Jul''15'!O42/100*1.1*'Tariff Jul''15'!O30,0)</f>
        <v>181.22500000000002</v>
      </c>
      <c r="N31" s="36">
        <f>IF(($F22*$F23)*'Tariff Jul''15'!P29/'Tariff Jul''15'!P30&gt;'Tariff Jul''15'!P36,(($F22*$F23)*'Tariff Jul''15'!P29/'Tariff Jul''15'!P30-'Tariff Jul''15'!P36)*'Tariff Jul''15'!P42/100*1.1*'Tariff Jul''15'!P30,0)</f>
        <v>208.72500000000002</v>
      </c>
      <c r="O31" s="36">
        <f>IF(($F22*$F23)*'Tariff Jul''15'!Q29/'Tariff Jul''15'!Q30&gt;'Tariff Jul''15'!Q36,(($F22*$F23)*'Tariff Jul''15'!Q29/'Tariff Jul''15'!Q30-'Tariff Jul''15'!Q36)*'Tariff Jul''15'!Q42/100*1.1*'Tariff Jul''15'!Q30,0)</f>
        <v>192.22500000000002</v>
      </c>
      <c r="P31" s="36">
        <f>IF(($F22*$F23)*'Tariff Jul''15'!R29/'Tariff Jul''15'!R30&gt;'Tariff Jul''15'!R36,(($F22*$F23)*'Tariff Jul''15'!R29/'Tariff Jul''15'!R30-'Tariff Jul''15'!R36)*'Tariff Jul''15'!R42/100*1.1*'Tariff Jul''15'!R30,0)</f>
        <v>166.83150000000001</v>
      </c>
      <c r="Q31" s="32"/>
    </row>
    <row r="32" spans="1:17" x14ac:dyDescent="0.15">
      <c r="A32" s="28" t="s">
        <v>231</v>
      </c>
      <c r="B32" s="32"/>
      <c r="C32" s="36">
        <f>IF(($F22*$F23)*'Tariff Jul''15'!E31/'Tariff Jul''15'!E32&gt;='Tariff Jul''15'!E33,('Tariff Jul''15'!E33*'Tariff Jul''15'!E43/100*1.1)*'Tariff Jul''15'!E32,(($F22*$F23)*('Tariff Jul''15'!E31/'Tariff Jul''15'!E32*'Tariff Jul''15'!E43/100*1.1)*'Tariff Jul''15'!E32))</f>
        <v>885.72</v>
      </c>
      <c r="D32" s="36">
        <f>IF(($F22*$F23)*'Tariff Jul''15'!F31/'Tariff Jul''15'!F32&gt;='Tariff Jul''15'!F33,('Tariff Jul''15'!F33*'Tariff Jul''15'!F43/100*1.1)*'Tariff Jul''15'!F32,(($F22*$F23)*('Tariff Jul''15'!F31/'Tariff Jul''15'!F32*'Tariff Jul''15'!F43/100*1.1)*'Tariff Jul''15'!F32))</f>
        <v>950.40000000000009</v>
      </c>
      <c r="E32" s="36">
        <f>IF(($F22*$F23)*'Tariff Jul''15'!G31/'Tariff Jul''15'!G32&gt;='Tariff Jul''15'!G33,('Tariff Jul''15'!G33*'Tariff Jul''15'!G43/100*1.1)*'Tariff Jul''15'!G32,(($F22*$F23)*('Tariff Jul''15'!G31/'Tariff Jul''15'!G32*'Tariff Jul''15'!G43/100*1.1)*'Tariff Jul''15'!G32))</f>
        <v>966.56999999999994</v>
      </c>
      <c r="F32" s="36">
        <f>IF(($F22*$F23)*'Tariff Jul''15'!H31/'Tariff Jul''15'!H32&gt;='Tariff Jul''15'!H33,('Tariff Jul''15'!H33*'Tariff Jul''15'!H43/100*1.1)*'Tariff Jul''15'!H32,(($F22*$F23)*('Tariff Jul''15'!H31/'Tariff Jul''15'!H32*'Tariff Jul''15'!H43/100*1.1)*'Tariff Jul''15'!H32))</f>
        <v>272.05200000000002</v>
      </c>
      <c r="G32" s="36">
        <f>IF(($F22*$F23)*'Tariff Jul''15'!I31/'Tariff Jul''15'!I32&gt;='Tariff Jul''15'!I33,('Tariff Jul''15'!I33*'Tariff Jul''15'!I43/100*1.1)*'Tariff Jul''15'!I32,(($F22*$F23)*('Tariff Jul''15'!I31/'Tariff Jul''15'!I32*'Tariff Jul''15'!I43/100*1.1)*'Tariff Jul''15'!I32))</f>
        <v>271.26000000000005</v>
      </c>
      <c r="H32" s="36">
        <f>IF(($F22*$F23)*'Tariff Jul''15'!J31/'Tariff Jul''15'!J32&gt;='Tariff Jul''15'!J33,('Tariff Jul''15'!J33*'Tariff Jul''15'!J43/100*1.1)*'Tariff Jul''15'!J32,(($F22*$F23)*('Tariff Jul''15'!J31/'Tariff Jul''15'!J32*'Tariff Jul''15'!J43/100*1.1)*'Tariff Jul''15'!J32))</f>
        <v>262.053</v>
      </c>
      <c r="I32" s="36">
        <f>IF(($F22*$F23)*'Tariff Jul''15'!K31/'Tariff Jul''15'!K32&gt;='Tariff Jul''15'!K33,('Tariff Jul''15'!K33*'Tariff Jul''15'!K43/100*1.1)*'Tariff Jul''15'!K32,(($F22*$F23)*('Tariff Jul''15'!K31/'Tariff Jul''15'!K32*'Tariff Jul''15'!K43/100*1.1)*'Tariff Jul''15'!K32))</f>
        <v>926.6400000000001</v>
      </c>
      <c r="J32" s="36">
        <f>IF(($F22*$F23)*'Tariff Jul''15'!L31/'Tariff Jul''15'!L32&gt;='Tariff Jul''15'!L33,('Tariff Jul''15'!L33*'Tariff Jul''15'!L43/100*1.1)*'Tariff Jul''15'!L32,(($F22*$F23)*('Tariff Jul''15'!L31/'Tariff Jul''15'!L32*'Tariff Jul''15'!L43/100*1.1)*'Tariff Jul''15'!L32))</f>
        <v>275.22000000000003</v>
      </c>
      <c r="K32" s="36">
        <f>IF(($F22*$F23)*'Tariff Jul''15'!M31/'Tariff Jul''15'!M32&gt;='Tariff Jul''15'!M33,('Tariff Jul''15'!M33*'Tariff Jul''15'!M43/100*1.1)*'Tariff Jul''15'!M32,(($F22*$F23)*('Tariff Jul''15'!M31/'Tariff Jul''15'!M32*'Tariff Jul''15'!M43/100*1.1)*'Tariff Jul''15'!M32))</f>
        <v>973.5</v>
      </c>
      <c r="L32" s="36">
        <f>IF(($F22*$F23)*'Tariff Jul''15'!N31/'Tariff Jul''15'!N32&gt;='Tariff Jul''15'!N33,('Tariff Jul''15'!N33*'Tariff Jul''15'!N43/100*1.1)*'Tariff Jul''15'!N32,(($F22*$F23)*('Tariff Jul''15'!N31/'Tariff Jul''15'!N32*'Tariff Jul''15'!N43/100*1.1)*'Tariff Jul''15'!N32))</f>
        <v>518.36400000000015</v>
      </c>
      <c r="M32" s="36">
        <f>IF(($F22*$F23)*'Tariff Jul''15'!O31/'Tariff Jul''15'!O32&gt;='Tariff Jul''15'!O33,('Tariff Jul''15'!O33*'Tariff Jul''15'!O43/100*1.1)*'Tariff Jul''15'!O32,(($F22*$F23)*('Tariff Jul''15'!O31/'Tariff Jul''15'!O32*'Tariff Jul''15'!O43/100*1.1)*'Tariff Jul''15'!O32))</f>
        <v>940.83000000000015</v>
      </c>
      <c r="N32" s="36">
        <f>IF(($F22*$F23)*'Tariff Jul''15'!P31/'Tariff Jul''15'!P32&gt;='Tariff Jul''15'!P33,('Tariff Jul''15'!P33*'Tariff Jul''15'!P43/100*1.1)*'Tariff Jul''15'!P32,(($F22*$F23)*('Tariff Jul''15'!P31/'Tariff Jul''15'!P32*'Tariff Jul''15'!P43/100*1.1)*'Tariff Jul''15'!P32))</f>
        <v>1036.2</v>
      </c>
      <c r="O32" s="36">
        <f>IF(($F22*$F23)*'Tariff Jul''15'!Q31/'Tariff Jul''15'!Q32&gt;='Tariff Jul''15'!Q33,('Tariff Jul''15'!Q33*'Tariff Jul''15'!Q43/100*1.1)*'Tariff Jul''15'!Q32,(($F22*$F23)*('Tariff Jul''15'!Q31/'Tariff Jul''15'!Q32*'Tariff Jul''15'!Q43/100*1.1)*'Tariff Jul''15'!Q32))</f>
        <v>271.26000000000005</v>
      </c>
      <c r="P32" s="36">
        <f>IF(($F22*$F23)*'Tariff Jul''15'!R31/'Tariff Jul''15'!R32&gt;='Tariff Jul''15'!R33,('Tariff Jul''15'!R33*'Tariff Jul''15'!R43/100*1.1)*'Tariff Jul''15'!R32,(($F22*$F23)*('Tariff Jul''15'!R31/'Tariff Jul''15'!R32*'Tariff Jul''15'!R43/100*1.1)*'Tariff Jul''15'!R32))</f>
        <v>875.78700000000003</v>
      </c>
      <c r="Q32" s="32"/>
    </row>
    <row r="33" spans="1:17" x14ac:dyDescent="0.15">
      <c r="A33" s="28" t="s">
        <v>530</v>
      </c>
      <c r="B33" s="32"/>
      <c r="C33" s="36">
        <f>IF(($F22*$F23)*'Tariff Jul''15'!E31/'Tariff Jul''15'!E32&lt;'Tariff Jul''15'!E33,0,IF(($F22*$F23)*'Tariff Jul''15'!E31/'Tariff Jul''15'!E32&lt;='Tariff Jul''15'!E34,(($F22*$F23)*'Tariff Jul''15'!E31/'Tariff Jul''15'!E32-'Tariff Jul''15'!E33)*('Tariff Jul''15'!E44/100*1.1)*'Tariff Jul''15'!E32,('Tariff Jul''15'!E34-'Tariff Jul''15'!E33)*('Tariff Jul''15'!E44/100*1.1)*'Tariff Jul''15'!E32))</f>
        <v>0</v>
      </c>
      <c r="D33" s="36">
        <f>IF(($F22*$F23)*'Tariff Jul''15'!F31/'Tariff Jul''15'!F32&lt;'Tariff Jul''15'!F33,0,IF(($F22*$F23)*'Tariff Jul''15'!F31/'Tariff Jul''15'!F32&lt;='Tariff Jul''15'!F34,(($F22*$F23)*'Tariff Jul''15'!F31/'Tariff Jul''15'!F32-'Tariff Jul''15'!F33)*('Tariff Jul''15'!F44/100*1.1)*'Tariff Jul''15'!F32,('Tariff Jul''15'!F34-'Tariff Jul''15'!F33)*('Tariff Jul''15'!F44/100*1.1)*'Tariff Jul''15'!F32))</f>
        <v>0</v>
      </c>
      <c r="E33" s="36">
        <f>IF(($F22*$F23)*'Tariff Jul''15'!G31/'Tariff Jul''15'!G32&lt;'Tariff Jul''15'!G33,0,IF(($F22*$F23)*'Tariff Jul''15'!G31/'Tariff Jul''15'!G32&lt;='Tariff Jul''15'!G34,(($F22*$F23)*'Tariff Jul''15'!G31/'Tariff Jul''15'!G32-'Tariff Jul''15'!G33)*('Tariff Jul''15'!G44/100*1.1)*'Tariff Jul''15'!G32,('Tariff Jul''15'!G34-'Tariff Jul''15'!G33)*('Tariff Jul''15'!G44/100*1.1)*'Tariff Jul''15'!G32))</f>
        <v>557.20500000000015</v>
      </c>
      <c r="F33" s="36">
        <f>IF(($F22*$F23)*'Tariff Jul''15'!H31/'Tariff Jul''15'!H32&lt;'Tariff Jul''15'!H33,0,IF(($F22*$F23)*'Tariff Jul''15'!H31/'Tariff Jul''15'!H32&lt;='Tariff Jul''15'!H34,(($F22*$F23)*'Tariff Jul''15'!H31/'Tariff Jul''15'!H32-'Tariff Jul''15'!H33)*('Tariff Jul''15'!H44/100*1.1)*'Tariff Jul''15'!H32,('Tariff Jul''15'!H34-'Tariff Jul''15'!H33)*('Tariff Jul''15'!H44/100*1.1)*'Tariff Jul''15'!H32))</f>
        <v>646.33799999999997</v>
      </c>
      <c r="G33" s="36">
        <f>IF(($F22*$F23)*'Tariff Jul''15'!I31/'Tariff Jul''15'!I32&lt;'Tariff Jul''15'!I33,0,IF(($F22*$F23)*'Tariff Jul''15'!I31/'Tariff Jul''15'!I32&lt;='Tariff Jul''15'!I34,(($F22*$F23)*'Tariff Jul''15'!I31/'Tariff Jul''15'!I32-'Tariff Jul''15'!I33)*('Tariff Jul''15'!I44/100*1.1)*'Tariff Jul''15'!I32,('Tariff Jul''15'!I34-'Tariff Jul''15'!I33)*('Tariff Jul''15'!I44/100*1.1)*'Tariff Jul''15'!I32))</f>
        <v>658.81200000000013</v>
      </c>
      <c r="H33" s="36">
        <f>IF(($F22*$F23)*'Tariff Jul''15'!J31/'Tariff Jul''15'!J32&lt;'Tariff Jul''15'!J33,0,IF(($F22*$F23)*'Tariff Jul''15'!J31/'Tariff Jul''15'!J32&lt;='Tariff Jul''15'!J34,(($F22*$F23)*'Tariff Jul''15'!J31/'Tariff Jul''15'!J32-'Tariff Jul''15'!J33)*('Tariff Jul''15'!J44/100*1.1)*'Tariff Jul''15'!J32,('Tariff Jul''15'!J34-'Tariff Jul''15'!J33)*('Tariff Jul''15'!J44/100*1.1)*'Tariff Jul''15'!J32))</f>
        <v>623.46899999999994</v>
      </c>
      <c r="I33" s="36">
        <f>IF(($F22*$F23)*'Tariff Jul''15'!K31/'Tariff Jul''15'!K32&lt;'Tariff Jul''15'!K33,0,IF(($F22*$F23)*'Tariff Jul''15'!K31/'Tariff Jul''15'!K32&lt;='Tariff Jul''15'!K34,(($F22*$F23)*'Tariff Jul''15'!K31/'Tariff Jul''15'!K32-'Tariff Jul''15'!K33)*('Tariff Jul''15'!K44/100*1.1)*'Tariff Jul''15'!K32,('Tariff Jul''15'!K34-'Tariff Jul''15'!K33)*('Tariff Jul''15'!K44/100*1.1)*'Tariff Jul''15'!K32))</f>
        <v>0</v>
      </c>
      <c r="J33" s="36">
        <f>IF(($F22*$F23)*'Tariff Jul''15'!L31/'Tariff Jul''15'!L32&lt;'Tariff Jul''15'!L33,0,IF(($F22*$F23)*'Tariff Jul''15'!L31/'Tariff Jul''15'!L32&lt;='Tariff Jul''15'!L34,(($F22*$F23)*'Tariff Jul''15'!L31/'Tariff Jul''15'!L32-'Tariff Jul''15'!L33)*('Tariff Jul''15'!L44/100*1.1)*'Tariff Jul''15'!L32,('Tariff Jul''15'!L34-'Tariff Jul''15'!L33)*('Tariff Jul''15'!L44/100*1.1)*'Tariff Jul''15'!L32))</f>
        <v>665.2800000000002</v>
      </c>
      <c r="K33" s="36">
        <f>IF(($F22*$F23)*'Tariff Jul''15'!M31/'Tariff Jul''15'!M32&lt;'Tariff Jul''15'!M33,0,IF(($F22*$F23)*'Tariff Jul''15'!M31/'Tariff Jul''15'!M32&lt;='Tariff Jul''15'!M34,(($F22*$F23)*'Tariff Jul''15'!M31/'Tariff Jul''15'!M32-'Tariff Jul''15'!M33)*('Tariff Jul''15'!M44/100*1.1)*'Tariff Jul''15'!M32,('Tariff Jul''15'!M34-'Tariff Jul''15'!M33)*('Tariff Jul''15'!M44/100*1.1)*'Tariff Jul''15'!M32))</f>
        <v>0</v>
      </c>
      <c r="L33" s="36">
        <f>IF(($F22*$F23)*'Tariff Jul''15'!N31/'Tariff Jul''15'!N32&lt;'Tariff Jul''15'!N33,0,IF(($F22*$F23)*'Tariff Jul''15'!N31/'Tariff Jul''15'!N32&lt;='Tariff Jul''15'!N34,(($F22*$F23)*'Tariff Jul''15'!N31/'Tariff Jul''15'!N32-'Tariff Jul''15'!N33)*('Tariff Jul''15'!N44/100*1.1)*'Tariff Jul''15'!N32,('Tariff Jul''15'!N34-'Tariff Jul''15'!N33)*('Tariff Jul''15'!N44/100*1.1)*'Tariff Jul''15'!N32))</f>
        <v>0</v>
      </c>
      <c r="M33" s="36">
        <f>IF(($F22*$F23)*'Tariff Jul''15'!O31/'Tariff Jul''15'!O32&lt;'Tariff Jul''15'!O33,0,IF(($F22*$F23)*'Tariff Jul''15'!O31/'Tariff Jul''15'!O32&lt;='Tariff Jul''15'!O34,(($F22*$F23)*'Tariff Jul''15'!O31/'Tariff Jul''15'!O32-'Tariff Jul''15'!O33)*('Tariff Jul''15'!O44/100*1.1)*'Tariff Jul''15'!O32,('Tariff Jul''15'!O34-'Tariff Jul''15'!O33)*('Tariff Jul''15'!O44/100*1.1)*'Tariff Jul''15'!O32))</f>
        <v>0</v>
      </c>
      <c r="N33" s="36">
        <f>IF(($F22*$F23)*'Tariff Jul''15'!P31/'Tariff Jul''15'!P32&lt;'Tariff Jul''15'!P33,0,IF(($F22*$F23)*'Tariff Jul''15'!P31/'Tariff Jul''15'!P32&lt;='Tariff Jul''15'!P34,(($F22*$F23)*'Tariff Jul''15'!P31/'Tariff Jul''15'!P32-'Tariff Jul''15'!P33)*('Tariff Jul''15'!P44/100*1.1)*'Tariff Jul''15'!P32,('Tariff Jul''15'!P34-'Tariff Jul''15'!P33)*('Tariff Jul''15'!P44/100*1.1)*'Tariff Jul''15'!P32))</f>
        <v>0</v>
      </c>
      <c r="O33" s="36">
        <f>IF(($F22*$F23)*'Tariff Jul''15'!Q31/'Tariff Jul''15'!Q32&lt;'Tariff Jul''15'!Q33,0,IF(($F22*$F23)*'Tariff Jul''15'!Q31/'Tariff Jul''15'!Q32&lt;='Tariff Jul''15'!Q34,(($F22*$F23)*'Tariff Jul''15'!Q31/'Tariff Jul''15'!Q32-'Tariff Jul''15'!Q33)*('Tariff Jul''15'!Q44/100*1.1)*'Tariff Jul''15'!Q32,('Tariff Jul''15'!Q34-'Tariff Jul''15'!Q33)*('Tariff Jul''15'!Q44/100*1.1)*'Tariff Jul''15'!Q32))</f>
        <v>709.17</v>
      </c>
      <c r="P33" s="36">
        <f>IF(($F22*$F23)*'Tariff Jul''15'!R31/'Tariff Jul''15'!R32&lt;'Tariff Jul''15'!R33,0,IF(($F22*$F23)*'Tariff Jul''15'!R31/'Tariff Jul''15'!R32&lt;='Tariff Jul''15'!R34,(($F22*$F23)*'Tariff Jul''15'!R31/'Tariff Jul''15'!R32-'Tariff Jul''15'!R33)*('Tariff Jul''15'!R44/100*1.1)*'Tariff Jul''15'!R32,('Tariff Jul''15'!R34-'Tariff Jul''15'!R33)*('Tariff Jul''15'!R44/100*1.1)*'Tariff Jul''15'!R32))</f>
        <v>0</v>
      </c>
      <c r="Q33" s="32"/>
    </row>
    <row r="34" spans="1:17" x14ac:dyDescent="0.15">
      <c r="A34" s="28" t="s">
        <v>531</v>
      </c>
      <c r="B34" s="32"/>
      <c r="C34" s="36">
        <f>IF(($F22*$F23)*'Tariff Jul''15'!E31/'Tariff Jul''15'!E32&lt;'Tariff Jul''15'!E34,0,IF(($F22*$F23)*'Tariff Jul''15'!E31/'Tariff Jul''15'!E32&lt;='Tariff Jul''15'!E35,(($F22*$F23)*'Tariff Jul''15'!E31/'Tariff Jul''15'!E32-'Tariff Jul''15'!E34)*('Tariff Jul''15'!E45/100*1.1)*'Tariff Jul''15'!E32,('Tariff Jul''15'!E35-'Tariff Jul''15'!E34)*('Tariff Jul''15'!E45/100*1.1)*'Tariff Jul''15'!E32))</f>
        <v>0</v>
      </c>
      <c r="D34" s="36">
        <f>IF(($F22*$F23)*'Tariff Jul''15'!F31/'Tariff Jul''15'!F32&lt;'Tariff Jul''15'!F34,0,IF(($F22*$F23)*'Tariff Jul''15'!F31/'Tariff Jul''15'!F32&lt;='Tariff Jul''15'!F35,(($F22*$F23)*'Tariff Jul''15'!F31/'Tariff Jul''15'!F32-'Tariff Jul''15'!F34)*('Tariff Jul''15'!F45/100*1.1)*'Tariff Jul''15'!F32,('Tariff Jul''15'!F35-'Tariff Jul''15'!F34)*('Tariff Jul''15'!F45/100*1.1)*'Tariff Jul''15'!F32))</f>
        <v>0</v>
      </c>
      <c r="E34" s="36">
        <f>IF(($F22*$F23)*'Tariff Jul''15'!G31/'Tariff Jul''15'!G32&lt;'Tariff Jul''15'!G34,0,IF(($F22*$F23)*'Tariff Jul''15'!G31/'Tariff Jul''15'!G32&lt;='Tariff Jul''15'!G35,(($F22*$F23)*'Tariff Jul''15'!G31/'Tariff Jul''15'!G32-'Tariff Jul''15'!G34)*('Tariff Jul''15'!G45/100*1.1)*'Tariff Jul''15'!G32,('Tariff Jul''15'!G35-'Tariff Jul''15'!G34)*('Tariff Jul''15'!G45/100*1.1)*'Tariff Jul''15'!G32))</f>
        <v>0</v>
      </c>
      <c r="F34" s="36">
        <f>IF(($F22*$F23)*'Tariff Jul''15'!H31/'Tariff Jul''15'!H32&lt;'Tariff Jul''15'!H34,0,IF(($F22*$F23)*'Tariff Jul''15'!H31/'Tariff Jul''15'!H32&lt;='Tariff Jul''15'!H35,(($F22*$F23)*'Tariff Jul''15'!H31/'Tariff Jul''15'!H32-'Tariff Jul''15'!H34)*('Tariff Jul''15'!H45/100*1.1)*'Tariff Jul''15'!H32,('Tariff Jul''15'!H35-'Tariff Jul''15'!H34)*('Tariff Jul''15'!H45/100*1.1)*'Tariff Jul''15'!H32))</f>
        <v>535.09500000000003</v>
      </c>
      <c r="G34" s="36">
        <f>IF(($F22*$F23)*'Tariff Jul''15'!I31/'Tariff Jul''15'!I32&lt;'Tariff Jul''15'!I34,0,IF(($F22*$F23)*'Tariff Jul''15'!I31/'Tariff Jul''15'!I32&lt;='Tariff Jul''15'!I35,(($F22*$F23)*'Tariff Jul''15'!I31/'Tariff Jul''15'!I32-'Tariff Jul''15'!I34)*('Tariff Jul''15'!I45/100*1.1)*'Tariff Jul''15'!I32,('Tariff Jul''15'!I35-'Tariff Jul''15'!I34)*('Tariff Jul''15'!I45/100*1.1)*'Tariff Jul''15'!I32))</f>
        <v>517.60500000000002</v>
      </c>
      <c r="H34" s="36">
        <f>IF(($F22*$F23)*'Tariff Jul''15'!J31/'Tariff Jul''15'!J32&lt;'Tariff Jul''15'!J34,0,IF(($F22*$F23)*'Tariff Jul''15'!J31/'Tariff Jul''15'!J32&lt;='Tariff Jul''15'!J35,(($F22*$F23)*'Tariff Jul''15'!J31/'Tariff Jul''15'!J32-'Tariff Jul''15'!J34)*('Tariff Jul''15'!J45/100*1.1)*'Tariff Jul''15'!J32,('Tariff Jul''15'!J35-'Tariff Jul''15'!J34)*('Tariff Jul''15'!J45/100*1.1)*'Tariff Jul''15'!J32))</f>
        <v>515.13</v>
      </c>
      <c r="I34" s="36">
        <f>IF(($F22*$F23)*'Tariff Jul''15'!K31/'Tariff Jul''15'!K32&lt;'Tariff Jul''15'!K34,0,IF(($F22*$F23)*'Tariff Jul''15'!K31/'Tariff Jul''15'!K32&lt;='Tariff Jul''15'!K35,(($F22*$F23)*'Tariff Jul''15'!K31/'Tariff Jul''15'!K32-'Tariff Jul''15'!K34)*('Tariff Jul''15'!K45/100*1.1)*'Tariff Jul''15'!K32,('Tariff Jul''15'!K35-'Tariff Jul''15'!K34)*('Tariff Jul''15'!K45/100*1.1)*'Tariff Jul''15'!K32))</f>
        <v>0</v>
      </c>
      <c r="J34" s="36">
        <f>IF(($F22*$F23)*'Tariff Jul''15'!L31/'Tariff Jul''15'!L32&lt;'Tariff Jul''15'!L34,0,IF(($F22*$F23)*'Tariff Jul''15'!L31/'Tariff Jul''15'!L32&lt;='Tariff Jul''15'!L35,(($F22*$F23)*'Tariff Jul''15'!L31/'Tariff Jul''15'!L32-'Tariff Jul''15'!L34)*('Tariff Jul''15'!L45/100*1.1)*'Tariff Jul''15'!L32,('Tariff Jul''15'!L35-'Tariff Jul''15'!L34)*('Tariff Jul''15'!L45/100*1.1)*'Tariff Jul''15'!L32))</f>
        <v>0</v>
      </c>
      <c r="K34" s="36">
        <f>IF(($F22*$F23)*'Tariff Jul''15'!M31/'Tariff Jul''15'!M32&lt;'Tariff Jul''15'!M34,0,IF(($F22*$F23)*'Tariff Jul''15'!M31/'Tariff Jul''15'!M32&lt;='Tariff Jul''15'!M35,(($F22*$F23)*'Tariff Jul''15'!M31/'Tariff Jul''15'!M32-'Tariff Jul''15'!M34)*('Tariff Jul''15'!M45/100*1.1)*'Tariff Jul''15'!M32,('Tariff Jul''15'!M35-'Tariff Jul''15'!M34)*('Tariff Jul''15'!M45/100*1.1)*'Tariff Jul''15'!M32))</f>
        <v>0</v>
      </c>
      <c r="L34" s="36">
        <f>IF(($F22*$F23)*'Tariff Jul''15'!N31/'Tariff Jul''15'!N32&lt;'Tariff Jul''15'!N34,0,IF(($F22*$F23)*'Tariff Jul''15'!N31/'Tariff Jul''15'!N32&lt;='Tariff Jul''15'!N35,(($F22*$F23)*'Tariff Jul''15'!N31/'Tariff Jul''15'!N32-'Tariff Jul''15'!N34)*('Tariff Jul''15'!N45/100*1.1)*'Tariff Jul''15'!N32,('Tariff Jul''15'!N35-'Tariff Jul''15'!N34)*('Tariff Jul''15'!N45/100*1.1)*'Tariff Jul''15'!N32))</f>
        <v>0</v>
      </c>
      <c r="M34" s="36">
        <f>IF(($F22*$F23)*'Tariff Jul''15'!O31/'Tariff Jul''15'!O32&lt;'Tariff Jul''15'!O34,0,IF(($F22*$F23)*'Tariff Jul''15'!O31/'Tariff Jul''15'!O32&lt;='Tariff Jul''15'!O35,(($F22*$F23)*'Tariff Jul''15'!O31/'Tariff Jul''15'!O32-'Tariff Jul''15'!O34)*('Tariff Jul''15'!O45/100*1.1)*'Tariff Jul''15'!O32,('Tariff Jul''15'!O35-'Tariff Jul''15'!O34)*('Tariff Jul''15'!O45/100*1.1)*'Tariff Jul''15'!O32))</f>
        <v>0</v>
      </c>
      <c r="N34" s="36">
        <f>IF(($F22*$F23)*'Tariff Jul''15'!P31/'Tariff Jul''15'!P32&lt;'Tariff Jul''15'!P34,0,IF(($F22*$F23)*'Tariff Jul''15'!P31/'Tariff Jul''15'!P32&lt;='Tariff Jul''15'!P35,(($F22*$F23)*'Tariff Jul''15'!P31/'Tariff Jul''15'!P32-'Tariff Jul''15'!P34)*('Tariff Jul''15'!P45/100*1.1)*'Tariff Jul''15'!P32,('Tariff Jul''15'!P35-'Tariff Jul''15'!P34)*('Tariff Jul''15'!P45/100*1.1)*'Tariff Jul''15'!P32))</f>
        <v>0</v>
      </c>
      <c r="O34" s="36">
        <f>IF(($F22*$F23)*'Tariff Jul''15'!Q31/'Tariff Jul''15'!Q32&lt;'Tariff Jul''15'!Q34,0,IF(($F22*$F23)*'Tariff Jul''15'!Q31/'Tariff Jul''15'!Q32&lt;='Tariff Jul''15'!Q35,(($F22*$F23)*'Tariff Jul''15'!Q31/'Tariff Jul''15'!Q32-'Tariff Jul''15'!Q34)*('Tariff Jul''15'!Q45/100*1.1)*'Tariff Jul''15'!Q32,('Tariff Jul''15'!Q35-'Tariff Jul''15'!Q34)*('Tariff Jul''15'!Q45/100*1.1)*'Tariff Jul''15'!Q32))</f>
        <v>0</v>
      </c>
      <c r="P34" s="36">
        <f>IF(($F22*$F23)*'Tariff Jul''15'!R31/'Tariff Jul''15'!R32&lt;'Tariff Jul''15'!R34,0,IF(($F22*$F23)*'Tariff Jul''15'!R31/'Tariff Jul''15'!R32&lt;='Tariff Jul''15'!R35,(($F22*$F23)*'Tariff Jul''15'!R31/'Tariff Jul''15'!R32-'Tariff Jul''15'!R34)*('Tariff Jul''15'!R45/100*1.1)*'Tariff Jul''15'!R32,('Tariff Jul''15'!R35-'Tariff Jul''15'!R34)*('Tariff Jul''15'!R45/100*1.1)*'Tariff Jul''15'!R32))</f>
        <v>0</v>
      </c>
      <c r="Q34" s="32"/>
    </row>
    <row r="35" spans="1:17" x14ac:dyDescent="0.15">
      <c r="A35" s="28" t="s">
        <v>100</v>
      </c>
      <c r="B35" s="32"/>
      <c r="C35" s="36">
        <f>IF(($F22*$F23)*'Tariff Jul''15'!E31/'Tariff Jul''15'!E32&lt;'Tariff Jul''15'!E35,0,IF(($F22*$F23)*'Tariff Jul''15'!E31/'Tariff Jul''15'!E32&lt;='Tariff Jul''15'!E36,(($F22*$F23)*'Tariff Jul''15'!E31/'Tariff Jul''15'!E32-'Tariff Jul''15'!E35)*('Tariff Jul''15'!E46/100*1.1)*'Tariff Jul''15'!E32,('Tariff Jul''15'!E36-'Tariff Jul''15'!E35)*('Tariff Jul''15'!E46/100*1.1)*'Tariff Jul''15'!E32))</f>
        <v>0</v>
      </c>
      <c r="D35" s="36">
        <f>IF(($F22*$F23)*'Tariff Jul''15'!F31/'Tariff Jul''15'!F32&lt;'Tariff Jul''15'!F35,0,IF(($F22*$F23)*'Tariff Jul''15'!F31/'Tariff Jul''15'!F32&lt;='Tariff Jul''15'!F36,(($F22*$F23)*'Tariff Jul''15'!F31/'Tariff Jul''15'!F32-'Tariff Jul''15'!F35)*('Tariff Jul''15'!F46/100*1.1)*'Tariff Jul''15'!F32,('Tariff Jul''15'!F36-'Tariff Jul''15'!F35)*('Tariff Jul''15'!F46/100*1.1)*'Tariff Jul''15'!F32))</f>
        <v>0</v>
      </c>
      <c r="E35" s="36">
        <f>IF(($F22*$F23)*'Tariff Jul''15'!G31/'Tariff Jul''15'!G32&lt;'Tariff Jul''15'!G35,0,IF(($F22*$F23)*'Tariff Jul''15'!G31/'Tariff Jul''15'!G32&lt;='Tariff Jul''15'!G36,(($F22*$F23)*'Tariff Jul''15'!G31/'Tariff Jul''15'!G32-'Tariff Jul''15'!G35)*('Tariff Jul''15'!G46/100*1.1)*'Tariff Jul''15'!G32,('Tariff Jul''15'!G36-'Tariff Jul''15'!G35)*('Tariff Jul''15'!G46/100*1.1)*'Tariff Jul''15'!G32))</f>
        <v>0</v>
      </c>
      <c r="F35" s="36">
        <f>IF(($F22*$F23)*'Tariff Jul''15'!H31/'Tariff Jul''15'!H32&lt;'Tariff Jul''15'!H35,0,IF(($F22*$F23)*'Tariff Jul''15'!H31/'Tariff Jul''15'!H32&lt;='Tariff Jul''15'!H36,(($F22*$F23)*'Tariff Jul''15'!H31/'Tariff Jul''15'!H32-'Tariff Jul''15'!H35)*('Tariff Jul''15'!H46/100*1.1)*'Tariff Jul''15'!H32,('Tariff Jul''15'!H36-'Tariff Jul''15'!H35)*('Tariff Jul''15'!H46/100*1.1)*'Tariff Jul''15'!H32))</f>
        <v>0</v>
      </c>
      <c r="G35" s="36">
        <f>IF(($F22*$F23)*'Tariff Jul''15'!I31/'Tariff Jul''15'!I32&lt;'Tariff Jul''15'!I35,0,IF(($F22*$F23)*'Tariff Jul''15'!I31/'Tariff Jul''15'!I32&lt;='Tariff Jul''15'!I36,(($F22*$F23)*'Tariff Jul''15'!I31/'Tariff Jul''15'!I32-'Tariff Jul''15'!I35)*('Tariff Jul''15'!I46/100*1.1)*'Tariff Jul''15'!I32,('Tariff Jul''15'!I36-'Tariff Jul''15'!I35)*('Tariff Jul''15'!I46/100*1.1)*'Tariff Jul''15'!I32))</f>
        <v>0</v>
      </c>
      <c r="H35" s="36">
        <f>IF(($F22*$F23)*'Tariff Jul''15'!J31/'Tariff Jul''15'!J32&lt;'Tariff Jul''15'!J35,0,IF(($F22*$F23)*'Tariff Jul''15'!J31/'Tariff Jul''15'!J32&lt;='Tariff Jul''15'!J36,(($F22*$F23)*'Tariff Jul''15'!J31/'Tariff Jul''15'!J32-'Tariff Jul''15'!J35)*('Tariff Jul''15'!J46/100*1.1)*'Tariff Jul''15'!J32,('Tariff Jul''15'!J36-'Tariff Jul''15'!J35)*('Tariff Jul''15'!J46/100*1.1)*'Tariff Jul''15'!J32))</f>
        <v>0</v>
      </c>
      <c r="I35" s="36">
        <f>IF(($F22*$F23)*'Tariff Jul''15'!K31/'Tariff Jul''15'!K32&lt;'Tariff Jul''15'!K35,0,IF(($F22*$F23)*'Tariff Jul''15'!K31/'Tariff Jul''15'!K32&lt;='Tariff Jul''15'!K36,(($F22*$F23)*'Tariff Jul''15'!K31/'Tariff Jul''15'!K32-'Tariff Jul''15'!K35)*('Tariff Jul''15'!K46/100*1.1)*'Tariff Jul''15'!K32,('Tariff Jul''15'!K36-'Tariff Jul''15'!K35)*('Tariff Jul''15'!K46/100*1.1)*'Tariff Jul''15'!K32))</f>
        <v>0</v>
      </c>
      <c r="J35" s="36">
        <f>IF(($F22*$F23)*'Tariff Jul''15'!L31/'Tariff Jul''15'!L32&lt;'Tariff Jul''15'!L35,0,IF(($F22*$F23)*'Tariff Jul''15'!L31/'Tariff Jul''15'!L32&lt;='Tariff Jul''15'!L36,(($F22*$F23)*'Tariff Jul''15'!L31/'Tariff Jul''15'!L32-'Tariff Jul''15'!L35)*('Tariff Jul''15'!L46/100*1.1)*'Tariff Jul''15'!L32,('Tariff Jul''15'!L36-'Tariff Jul''15'!L35)*('Tariff Jul''15'!L46/100*1.1)*'Tariff Jul''15'!L32))</f>
        <v>0</v>
      </c>
      <c r="K35" s="36">
        <f>IF(($F22*$F23)*'Tariff Jul''15'!M31/'Tariff Jul''15'!M32&lt;'Tariff Jul''15'!M35,0,IF(($F22*$F23)*'Tariff Jul''15'!M31/'Tariff Jul''15'!M32&lt;='Tariff Jul''15'!M36,(($F22*$F23)*'Tariff Jul''15'!M31/'Tariff Jul''15'!M32-'Tariff Jul''15'!M35)*('Tariff Jul''15'!M46/100*1.1)*'Tariff Jul''15'!M32,('Tariff Jul''15'!M36-'Tariff Jul''15'!M35)*('Tariff Jul''15'!M46/100*1.1)*'Tariff Jul''15'!M32))</f>
        <v>0</v>
      </c>
      <c r="L35" s="36">
        <f>IF(($F22*$F23)*'Tariff Jul''15'!N31/'Tariff Jul''15'!N32&lt;'Tariff Jul''15'!N35,0,IF(($F22*$F23)*'Tariff Jul''15'!N31/'Tariff Jul''15'!N32&lt;='Tariff Jul''15'!N36,(($F22*$F23)*'Tariff Jul''15'!N31/'Tariff Jul''15'!N32-'Tariff Jul''15'!N35)*('Tariff Jul''15'!N46/100*1.1)*'Tariff Jul''15'!N32,('Tariff Jul''15'!N36-'Tariff Jul''15'!N35)*('Tariff Jul''15'!N46/100*1.1)*'Tariff Jul''15'!N32))</f>
        <v>0</v>
      </c>
      <c r="M35" s="36">
        <f>IF(($F22*$F23)*'Tariff Jul''15'!O31/'Tariff Jul''15'!O32&lt;'Tariff Jul''15'!O35,0,IF(($F22*$F23)*'Tariff Jul''15'!O31/'Tariff Jul''15'!O32&lt;='Tariff Jul''15'!O36,(($F22*$F23)*'Tariff Jul''15'!O31/'Tariff Jul''15'!O32-'Tariff Jul''15'!O35)*('Tariff Jul''15'!O46/100*1.1)*'Tariff Jul''15'!O32,('Tariff Jul''15'!O36-'Tariff Jul''15'!O35)*('Tariff Jul''15'!O46/100*1.1)*'Tariff Jul''15'!O32))</f>
        <v>0</v>
      </c>
      <c r="N35" s="36">
        <f>IF(($F22*$F23)*'Tariff Jul''15'!P31/'Tariff Jul''15'!P32&lt;'Tariff Jul''15'!P35,0,IF(($F22*$F23)*'Tariff Jul''15'!P31/'Tariff Jul''15'!P32&lt;='Tariff Jul''15'!P36,(($F22*$F23)*'Tariff Jul''15'!P31/'Tariff Jul''15'!P32-'Tariff Jul''15'!P35)*('Tariff Jul''15'!P46/100*1.1)*'Tariff Jul''15'!P32,('Tariff Jul''15'!P36-'Tariff Jul''15'!P35)*('Tariff Jul''15'!P46/100*1.1)*'Tariff Jul''15'!P32))</f>
        <v>0</v>
      </c>
      <c r="O35" s="36">
        <f>IF(($F22*$F23)*'Tariff Jul''15'!Q31/'Tariff Jul''15'!Q32&lt;'Tariff Jul''15'!Q35,0,IF(($F22*$F23)*'Tariff Jul''15'!Q31/'Tariff Jul''15'!Q32&lt;='Tariff Jul''15'!Q36,(($F22*$F23)*'Tariff Jul''15'!Q31/'Tariff Jul''15'!Q32-'Tariff Jul''15'!Q35)*('Tariff Jul''15'!Q46/100*1.1)*'Tariff Jul''15'!Q32,('Tariff Jul''15'!Q36-'Tariff Jul''15'!Q35)*('Tariff Jul''15'!Q46/100*1.1)*'Tariff Jul''15'!Q32))</f>
        <v>0</v>
      </c>
      <c r="P35" s="36">
        <f>IF(($F22*$F23)*'Tariff Jul''15'!R31/'Tariff Jul''15'!R32&lt;'Tariff Jul''15'!R35,0,IF(($F22*$F23)*'Tariff Jul''15'!R31/'Tariff Jul''15'!R32&lt;='Tariff Jul''15'!R36,(($F22*$F23)*'Tariff Jul''15'!R31/'Tariff Jul''15'!R32-'Tariff Jul''15'!R35)*('Tariff Jul''15'!R46/100*1.1)*'Tariff Jul''15'!R32,('Tariff Jul''15'!R36-'Tariff Jul''15'!R35)*('Tariff Jul''15'!R46/100*1.1)*'Tariff Jul''15'!R32))</f>
        <v>0</v>
      </c>
      <c r="Q35" s="32"/>
    </row>
    <row r="36" spans="1:17" x14ac:dyDescent="0.15">
      <c r="A36" s="28" t="s">
        <v>419</v>
      </c>
      <c r="B36" s="32"/>
      <c r="C36" s="36">
        <f>IF(($F22*$F23)*'Tariff Jul''15'!E31/'Tariff Jul''15'!E32&gt;'Tariff Jul''15'!E36,(($F22*$F23)*'Tariff Jul''15'!E31/'Tariff Jul''15'!E32-'Tariff Jul''15'!E36)*'Tariff Jul''15'!E47/100*1.1*'Tariff Jul''15'!E32,0)</f>
        <v>508.69500000000005</v>
      </c>
      <c r="D36" s="36">
        <f>IF(($F22*$F23)*'Tariff Jul''15'!F31/'Tariff Jul''15'!F32&gt;'Tariff Jul''15'!F36,(($F22*$F23)*'Tariff Jul''15'!F31/'Tariff Jul''15'!F32-'Tariff Jul''15'!F36)*'Tariff Jul''15'!F47/100*1.1*'Tariff Jul''15'!F32,0)</f>
        <v>550.93500000000006</v>
      </c>
      <c r="E36" s="36">
        <f>IF(($F22*$F23)*'Tariff Jul''15'!G31/'Tariff Jul''15'!G32&gt;'Tariff Jul''15'!G36,(($F22*$F23)*'Tariff Jul''15'!G31/'Tariff Jul''15'!G32-'Tariff Jul''15'!G36)*'Tariff Jul''15'!G47/100*1.1*'Tariff Jul''15'!G32,0)</f>
        <v>0</v>
      </c>
      <c r="F36" s="36">
        <f>IF(($F22*$F23)*'Tariff Jul''15'!H31/'Tariff Jul''15'!H32&gt;'Tariff Jul''15'!H36,(($F22*$F23)*'Tariff Jul''15'!H31/'Tariff Jul''15'!H32-'Tariff Jul''15'!H36)*'Tariff Jul''15'!H47/100*1.1*'Tariff Jul''15'!H32,0)</f>
        <v>0</v>
      </c>
      <c r="G36" s="36">
        <f>IF(($F22*$F23)*'Tariff Jul''15'!I31/'Tariff Jul''15'!I32&gt;'Tariff Jul''15'!I36,(($F22*$F23)*'Tariff Jul''15'!I31/'Tariff Jul''15'!I32-'Tariff Jul''15'!I36)*'Tariff Jul''15'!I47/100*1.1*'Tariff Jul''15'!I32,0)</f>
        <v>0</v>
      </c>
      <c r="H36" s="36">
        <f>IF(($F22*$F23)*'Tariff Jul''15'!J31/'Tariff Jul''15'!J32&gt;'Tariff Jul''15'!J36,(($F22*$F23)*'Tariff Jul''15'!J31/'Tariff Jul''15'!J32-'Tariff Jul''15'!J36)*'Tariff Jul''15'!J47/100*1.1*'Tariff Jul''15'!J32,0)</f>
        <v>0</v>
      </c>
      <c r="I36" s="36">
        <f>IF(($F22*$F23)*'Tariff Jul''15'!K31/'Tariff Jul''15'!K32&gt;'Tariff Jul''15'!K36,(($F22*$F23)*'Tariff Jul''15'!K31/'Tariff Jul''15'!K32-'Tariff Jul''15'!K36)*'Tariff Jul''15'!K47/100*1.1*'Tariff Jul''15'!K32,0)</f>
        <v>474.21</v>
      </c>
      <c r="J36" s="36">
        <f>IF(($F22*$F23)*'Tariff Jul''15'!L31/'Tariff Jul''15'!L32&gt;'Tariff Jul''15'!L36,(($F22*$F23)*'Tariff Jul''15'!L31/'Tariff Jul''15'!L32-'Tariff Jul''15'!L36)*'Tariff Jul''15'!L47/100*1.1*'Tariff Jul''15'!L32,0)</f>
        <v>521.40000000000009</v>
      </c>
      <c r="K36" s="36">
        <f>IF(($F22*$F23)*'Tariff Jul''15'!M31/'Tariff Jul''15'!M32&gt;'Tariff Jul''15'!M36,(($F22*$F23)*'Tariff Jul''15'!M31/'Tariff Jul''15'!M32-'Tariff Jul''15'!M36)*'Tariff Jul''15'!M47/100*1.1*'Tariff Jul''15'!M32,0)</f>
        <v>612.15000000000009</v>
      </c>
      <c r="L36" s="36">
        <f>IF(($F22*$F23)*'Tariff Jul''15'!N31/'Tariff Jul''15'!N32&gt;'Tariff Jul''15'!N36,(($F22*$F23)*'Tariff Jul''15'!N31/'Tariff Jul''15'!N32-'Tariff Jul''15'!N36)*'Tariff Jul''15'!N47/100*1.1*'Tariff Jul''15'!N32,0)</f>
        <v>769.82400000000007</v>
      </c>
      <c r="M36" s="36">
        <f>IF(($F22*$F23)*'Tariff Jul''15'!O31/'Tariff Jul''15'!O32&gt;'Tariff Jul''15'!O36,(($F22*$F23)*'Tariff Jul''15'!O31/'Tariff Jul''15'!O32-'Tariff Jul''15'!O36)*'Tariff Jul''15'!O47/100*1.1*'Tariff Jul''15'!O32,0)</f>
        <v>543.67500000000007</v>
      </c>
      <c r="N36" s="36">
        <f>IF(($F22*$F23)*'Tariff Jul''15'!P31/'Tariff Jul''15'!P32&gt;'Tariff Jul''15'!P36,(($F22*$F23)*'Tariff Jul''15'!P31/'Tariff Jul''15'!P32-'Tariff Jul''15'!P36)*'Tariff Jul''15'!P47/100*1.1*'Tariff Jul''15'!P32,0)</f>
        <v>626.17500000000007</v>
      </c>
      <c r="O36" s="36">
        <f>IF(($F22*$F23)*'Tariff Jul''15'!Q31/'Tariff Jul''15'!Q32&gt;'Tariff Jul''15'!Q36,(($F22*$F23)*'Tariff Jul''15'!Q31/'Tariff Jul''15'!Q32-'Tariff Jul''15'!Q36)*'Tariff Jul''15'!Q47/100*1.1*'Tariff Jul''15'!Q32,0)</f>
        <v>576.67500000000007</v>
      </c>
      <c r="P36" s="36">
        <f>IF(($F22*$F23)*'Tariff Jul''15'!R31/'Tariff Jul''15'!R32&gt;'Tariff Jul''15'!R36,(($F22*$F23)*'Tariff Jul''15'!R31/'Tariff Jul''15'!R32-'Tariff Jul''15'!R36)*'Tariff Jul''15'!R47/100*1.1*'Tariff Jul''15'!R32,0)</f>
        <v>500.49450000000002</v>
      </c>
      <c r="Q36" s="32"/>
    </row>
    <row r="37" spans="1:17" x14ac:dyDescent="0.15">
      <c r="A37" s="28" t="s">
        <v>442</v>
      </c>
      <c r="B37" s="32"/>
      <c r="C37" s="36">
        <f>IF($F22*$F24&gt;='Tariff Jul''15'!E37,('Tariff Jul''15'!E37*'Tariff Jul''15'!E48/100*1.1),($F22*$F24)*('Tariff Jul''15'!E48/100*1.1))</f>
        <v>219.61500000000001</v>
      </c>
      <c r="D37" s="36">
        <f>IF($F22*$F24&gt;='Tariff Jul''15'!F37,('Tariff Jul''15'!F37*'Tariff Jul''15'!F48/100*1.1),($F22*$F24)*('Tariff Jul''15'!F48/100*1.1))</f>
        <v>234.79500000000004</v>
      </c>
      <c r="E37" s="36">
        <f>IF($F22*$F24&gt;='Tariff Jul''15'!G37,('Tariff Jul''15'!G37*'Tariff Jul''15'!G48/100*1.1),($F22*$F24)*('Tariff Jul''15'!G48/100*1.1))</f>
        <v>230.50500000000005</v>
      </c>
      <c r="F37" s="36">
        <f>IF($F22*$F24&gt;='Tariff Jul''15'!H37,('Tariff Jul''15'!H37*'Tariff Jul''15'!H48/100*1.1),($F22*$F24)*('Tariff Jul''15'!H48/100*1.1))</f>
        <v>221.26500000000001</v>
      </c>
      <c r="G37" s="36">
        <f>IF($F22*$F24&gt;='Tariff Jul''15'!I37,('Tariff Jul''15'!I37*'Tariff Jul''15'!I48/100*1.1),($F22*$F24)*('Tariff Jul''15'!I48/100*1.1))</f>
        <v>234.79500000000004</v>
      </c>
      <c r="H37" s="36">
        <f>IF($F22*$F24&gt;='Tariff Jul''15'!J37,('Tariff Jul''15'!J37*'Tariff Jul''15'!J48/100*1.1),($F22*$F24)*('Tariff Jul''15'!J48/100*1.1))</f>
        <v>191.39999999999998</v>
      </c>
      <c r="I37" s="36">
        <f>(($F22*$F24)*('Tariff Jul''15'!K48/100*1.1))</f>
        <v>236.11500000000004</v>
      </c>
      <c r="J37" s="36">
        <f>(($F22*$F24)*('Tariff Jul''15'!L48/100*1.1))</f>
        <v>250.8</v>
      </c>
      <c r="K37" s="36">
        <f>IF($F22*$F24&gt;='Tariff Jul''15'!M37,('Tariff Jul''15'!M37*'Tariff Jul''15'!M48/100*1.1),($F22*$F24)*('Tariff Jul''15'!M48/100*1.1))</f>
        <v>226.05</v>
      </c>
      <c r="L37" s="36">
        <f>(($F22*$F24)*('Tariff Jul''15'!N48/100*1.1))</f>
        <v>261.19499999999999</v>
      </c>
      <c r="M37" s="36">
        <f>(($F22*$F24)*('Tariff Jul''15'!O48/100*1.1))</f>
        <v>249.81000000000003</v>
      </c>
      <c r="N37" s="36">
        <f>IF($F22*$F24&gt;='Tariff Jul''15'!P37,('Tariff Jul''15'!P37*'Tariff Jul''15'!P48/100*1.1),($F22*$F24)*('Tariff Jul''15'!P48/100*1.1))</f>
        <v>235.125</v>
      </c>
      <c r="O37" s="36">
        <f>(($F22*$F24)*('Tariff Jul''15'!Q48/100*1.1))</f>
        <v>197.17500000000001</v>
      </c>
      <c r="P37" s="36">
        <f>(($F22*$F24)*('Tariff Jul''15'!R48/100*1.1))</f>
        <v>205.953</v>
      </c>
      <c r="Q37" s="32"/>
    </row>
    <row r="38" spans="1:17" x14ac:dyDescent="0.15">
      <c r="A38" s="28" t="s">
        <v>443</v>
      </c>
      <c r="B38" s="32"/>
      <c r="C38" s="36">
        <f>IF($F22*$F24&gt;'Tariff Jul''15'!E37,($F22*$F24-'Tariff Jul''15'!E37)*'Tariff Jul''15'!E49/100*1.1,0)</f>
        <v>0</v>
      </c>
      <c r="D38" s="36">
        <f>IF($F22*$F24&gt;'Tariff Jul''15'!F37,($F22*$F24-'Tariff Jul''15'!F37)*'Tariff Jul''15'!F49/100*1.1,0)</f>
        <v>0</v>
      </c>
      <c r="E38" s="36">
        <f>IF($F22*$F24&gt;'Tariff Jul''15'!G37,($F22*$F24-'Tariff Jul''15'!G37)*'Tariff Jul''15'!G49/100*1.1,0)</f>
        <v>0</v>
      </c>
      <c r="F38" s="36">
        <f>IF($F22*$F24&gt;'Tariff Jul''15'!H37,($F22*$F24-'Tariff Jul''15'!H37)*'Tariff Jul''15'!H49/100*1.1,0)</f>
        <v>0</v>
      </c>
      <c r="G38" s="36">
        <f>IF($F22*$F24&gt;'Tariff Jul''15'!I37,($F22*$F24-'Tariff Jul''15'!I37)*'Tariff Jul''15'!I49/100*1.1,0)</f>
        <v>0</v>
      </c>
      <c r="H38" s="36">
        <f>IF($F22*$F24&gt;'Tariff Jul''15'!J37,($F22*$F24-'Tariff Jul''15'!J37)*'Tariff Jul''15'!J49/100*1.1,0)</f>
        <v>0</v>
      </c>
      <c r="I38" s="36">
        <f>IF($F22*$F24&gt;'Tariff Jul''15'!K37,($F22*$F24-'Tariff Jul''15'!K37)*'Tariff Jul''15'!K49/100*1.1,0)</f>
        <v>0</v>
      </c>
      <c r="J38" s="36">
        <f>IF($F22*$F24&gt;'Tariff Jul''15'!L37,($F22*$F24-'Tariff Jul''15'!L37)*'Tariff Jul''15'!L49/100*1.1,0)</f>
        <v>0</v>
      </c>
      <c r="K38" s="36">
        <f>IF($F22*$F24&gt;'Tariff Jul''15'!M37,($F22*$F24-'Tariff Jul''15'!M37)*'Tariff Jul''15'!M49/100*1.1,0)</f>
        <v>0</v>
      </c>
      <c r="L38" s="36">
        <f>IF($F22*$F24&gt;'Tariff Jul''15'!N37,($F22*$F24-'Tariff Jul''15'!N37)*'Tariff Jul''15'!N49/100*1.1,0)</f>
        <v>0</v>
      </c>
      <c r="M38" s="36">
        <f>IF($F22*$F24&gt;'Tariff Jul''15'!O37,($F22*$F24-'Tariff Jul''15'!O37)*'Tariff Jul''15'!O49/100*1.1,0)</f>
        <v>0</v>
      </c>
      <c r="N38" s="36">
        <f>IF($F22*$F24&gt;'Tariff Jul''15'!P37,($F22*$F24-'Tariff Jul''15'!P37)*'Tariff Jul''15'!P49/100*1.1,0)</f>
        <v>0</v>
      </c>
      <c r="O38" s="36">
        <f>IF($F22*$F24&gt;'Tariff Jul''15'!Q37,($F22*$F24-'Tariff Jul''15'!Q37)*'Tariff Jul''15'!Q49/100*1.1,0)</f>
        <v>0</v>
      </c>
      <c r="P38" s="36">
        <f>IF($F22*$F24&gt;'Tariff Jul''15'!R37,($F22*$F24-'Tariff Jul''15'!R37)*'Tariff Jul''15'!R49/100*1.1,0)</f>
        <v>0</v>
      </c>
      <c r="Q38" s="32"/>
    </row>
    <row r="39" spans="1:17" x14ac:dyDescent="0.15">
      <c r="A39" s="28" t="s">
        <v>420</v>
      </c>
      <c r="B39" s="32"/>
      <c r="C39" s="36">
        <f>'Tariff Jul''15'!E50*365/100*1.1</f>
        <v>256.11685</v>
      </c>
      <c r="D39" s="36">
        <f>'Tariff Jul''15'!F50*365/100*1.1</f>
        <v>282.37495000000001</v>
      </c>
      <c r="E39" s="36">
        <f>'Tariff Jul''15'!G50*365/100*1.1</f>
        <v>279.04250000000002</v>
      </c>
      <c r="F39" s="36">
        <f>'Tariff Jul''15'!H50*365/100*1.1</f>
        <v>290.92689999999999</v>
      </c>
      <c r="G39" s="36">
        <f>'Tariff Jul''15'!I50*365/100*1.1</f>
        <v>273.94345000000004</v>
      </c>
      <c r="H39" s="36">
        <f>'Tariff Jul''15'!J50*365/100*1.1</f>
        <v>311.44355000000002</v>
      </c>
      <c r="I39" s="36">
        <f>'Tariff Jul''15'!K50*365/100*1.1</f>
        <v>275.75020000000006</v>
      </c>
      <c r="J39" s="36">
        <f>'Tariff Jul''15'!L50*365/100*1.1</f>
        <v>287.87549999999999</v>
      </c>
      <c r="K39" s="36">
        <f>'Tariff Jul''15'!M50*365/100*1.1</f>
        <v>275.42899999999997</v>
      </c>
      <c r="L39" s="36">
        <f>'Tariff Jul''15'!N50*365/100*1.1</f>
        <v>294.70100000000008</v>
      </c>
      <c r="M39" s="36">
        <f>'Tariff Jul''15'!O50*365/100*1.1</f>
        <v>263.38400000000001</v>
      </c>
      <c r="N39" s="36">
        <f>'Tariff Jul''15'!P50*365/100*1.1</f>
        <v>277.03500000000003</v>
      </c>
      <c r="O39" s="36">
        <f>'Tariff Jul''15'!Q50*365/100*1.1</f>
        <v>272.21700000000004</v>
      </c>
      <c r="P39" s="36">
        <f>'Tariff Jul''15'!R50*365/100*1.1</f>
        <v>313.65983</v>
      </c>
      <c r="Q39" s="37">
        <f>AVERAGE(C39:M39)</f>
        <v>280.99889999999999</v>
      </c>
    </row>
    <row r="40" spans="1:17" x14ac:dyDescent="0.15">
      <c r="A40" s="38" t="s">
        <v>505</v>
      </c>
      <c r="B40" s="32"/>
      <c r="C40" s="39">
        <f>SUM(C27:C39)</f>
        <v>2378.6768500000003</v>
      </c>
      <c r="D40" s="39">
        <f t="shared" ref="D40:L40" si="2">SUM(D27:D39)</f>
        <v>2518.9499500000002</v>
      </c>
      <c r="E40" s="39">
        <f t="shared" si="2"/>
        <v>2541.2474999999999</v>
      </c>
      <c r="F40" s="39">
        <f t="shared" si="2"/>
        <v>2450.1718999999998</v>
      </c>
      <c r="G40" s="39">
        <f t="shared" si="2"/>
        <v>2438.9744500000006</v>
      </c>
      <c r="H40" s="39">
        <f t="shared" si="2"/>
        <v>2370.3795500000001</v>
      </c>
      <c r="I40" s="39">
        <f t="shared" si="2"/>
        <v>2379.6652000000004</v>
      </c>
      <c r="J40" s="39">
        <f t="shared" si="2"/>
        <v>2554.9755000000005</v>
      </c>
      <c r="K40" s="39">
        <f>SUM(K27:K39)</f>
        <v>2615.6790000000001</v>
      </c>
      <c r="L40" s="39">
        <f t="shared" si="2"/>
        <v>2273.4800000000005</v>
      </c>
      <c r="M40" s="39">
        <f>SUM(M27:M39)</f>
        <v>2492.5340000000001</v>
      </c>
      <c r="N40" s="39">
        <f>SUM(N27:N39)</f>
        <v>2728.66</v>
      </c>
      <c r="O40" s="39">
        <f>SUM(O27:O39)</f>
        <v>2545.5320000000006</v>
      </c>
      <c r="P40" s="39">
        <f>SUM(P27:P39)</f>
        <v>2354.6548299999999</v>
      </c>
      <c r="Q40" s="39">
        <f>AVERAGE(C40:M40)</f>
        <v>2455.8849</v>
      </c>
    </row>
    <row r="41" spans="1:17" x14ac:dyDescent="0.1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Q41" s="28"/>
    </row>
    <row r="42" spans="1:17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</row>
    <row r="43" spans="1:17" x14ac:dyDescent="0.15">
      <c r="A43" s="33" t="s">
        <v>490</v>
      </c>
      <c r="B43" s="32"/>
      <c r="C43" s="9" t="s">
        <v>492</v>
      </c>
      <c r="D43" s="9" t="s">
        <v>491</v>
      </c>
      <c r="E43" s="9" t="s">
        <v>385</v>
      </c>
      <c r="F43" s="9" t="s">
        <v>494</v>
      </c>
      <c r="G43" s="9" t="s">
        <v>470</v>
      </c>
      <c r="H43" s="9" t="s">
        <v>467</v>
      </c>
      <c r="I43" s="9" t="s">
        <v>263</v>
      </c>
      <c r="J43" s="9" t="s">
        <v>203</v>
      </c>
      <c r="K43" s="9" t="s">
        <v>247</v>
      </c>
      <c r="L43" s="9" t="s">
        <v>204</v>
      </c>
      <c r="M43" s="9" t="s">
        <v>246</v>
      </c>
      <c r="N43" s="9" t="s">
        <v>323</v>
      </c>
      <c r="O43" s="9" t="s">
        <v>194</v>
      </c>
      <c r="P43" s="9" t="s">
        <v>248</v>
      </c>
    </row>
    <row r="44" spans="1:17" x14ac:dyDescent="0.15">
      <c r="A44" s="28" t="s">
        <v>496</v>
      </c>
      <c r="B44" s="32"/>
      <c r="C44" s="21" t="s">
        <v>291</v>
      </c>
      <c r="D44" s="21" t="s">
        <v>291</v>
      </c>
      <c r="E44" s="21" t="s">
        <v>291</v>
      </c>
      <c r="F44" s="21" t="s">
        <v>497</v>
      </c>
      <c r="G44" s="21" t="s">
        <v>292</v>
      </c>
      <c r="H44" s="21" t="s">
        <v>497</v>
      </c>
      <c r="I44" s="21" t="s">
        <v>253</v>
      </c>
      <c r="J44" s="28" t="s">
        <v>601</v>
      </c>
      <c r="K44" s="28" t="s">
        <v>285</v>
      </c>
      <c r="L44" s="28" t="s">
        <v>601</v>
      </c>
      <c r="M44" s="28" t="s">
        <v>601</v>
      </c>
      <c r="N44" s="28" t="s">
        <v>285</v>
      </c>
      <c r="O44" s="29" t="s">
        <v>195</v>
      </c>
      <c r="P44" s="21" t="s">
        <v>350</v>
      </c>
    </row>
    <row r="45" spans="1:17" x14ac:dyDescent="0.15">
      <c r="A45" s="28" t="s">
        <v>522</v>
      </c>
      <c r="B45" s="32"/>
      <c r="C45" s="21" t="s">
        <v>321</v>
      </c>
      <c r="D45" s="21" t="s">
        <v>224</v>
      </c>
      <c r="E45" s="21" t="s">
        <v>224</v>
      </c>
      <c r="F45" s="21" t="s">
        <v>400</v>
      </c>
      <c r="G45" s="21" t="s">
        <v>321</v>
      </c>
      <c r="H45" s="21" t="s">
        <v>400</v>
      </c>
      <c r="I45" s="21" t="s">
        <v>254</v>
      </c>
      <c r="J45" s="28" t="s">
        <v>331</v>
      </c>
      <c r="K45" s="28" t="s">
        <v>285</v>
      </c>
      <c r="L45" s="21" t="s">
        <v>224</v>
      </c>
      <c r="M45" s="21" t="s">
        <v>224</v>
      </c>
      <c r="N45" s="28" t="s">
        <v>285</v>
      </c>
      <c r="O45" s="29" t="s">
        <v>196</v>
      </c>
      <c r="P45" s="21" t="s">
        <v>351</v>
      </c>
    </row>
    <row r="46" spans="1:17" x14ac:dyDescent="0.15">
      <c r="A46" s="28" t="s">
        <v>512</v>
      </c>
      <c r="B46" s="32"/>
      <c r="C46" s="22" t="s">
        <v>260</v>
      </c>
      <c r="D46" s="22" t="s">
        <v>260</v>
      </c>
      <c r="E46" s="22" t="s">
        <v>260</v>
      </c>
      <c r="F46" s="22" t="s">
        <v>373</v>
      </c>
      <c r="G46" s="22" t="s">
        <v>601</v>
      </c>
      <c r="H46" s="22">
        <v>75</v>
      </c>
      <c r="I46" s="22" t="s">
        <v>255</v>
      </c>
      <c r="J46" s="28" t="s">
        <v>220</v>
      </c>
      <c r="K46" s="28" t="s">
        <v>285</v>
      </c>
      <c r="L46" s="22">
        <v>75</v>
      </c>
      <c r="M46" s="28" t="s">
        <v>601</v>
      </c>
      <c r="N46" s="28" t="s">
        <v>285</v>
      </c>
      <c r="O46" s="72">
        <v>22</v>
      </c>
      <c r="P46" s="22" t="s">
        <v>352</v>
      </c>
    </row>
    <row r="47" spans="1:17" x14ac:dyDescent="0.15">
      <c r="A47" s="28" t="s">
        <v>532</v>
      </c>
      <c r="B47" s="32"/>
      <c r="C47" s="21" t="s">
        <v>349</v>
      </c>
      <c r="D47" s="20" t="s">
        <v>318</v>
      </c>
      <c r="E47" s="20" t="s">
        <v>320</v>
      </c>
      <c r="F47" s="20" t="s">
        <v>372</v>
      </c>
      <c r="G47" s="20" t="s">
        <v>322</v>
      </c>
      <c r="H47" s="20" t="s">
        <v>380</v>
      </c>
      <c r="I47" s="21" t="s">
        <v>256</v>
      </c>
      <c r="J47" s="28" t="s">
        <v>383</v>
      </c>
      <c r="K47" s="28" t="s">
        <v>286</v>
      </c>
      <c r="L47" s="28" t="s">
        <v>601</v>
      </c>
      <c r="M47" s="28" t="s">
        <v>601</v>
      </c>
      <c r="N47" s="28" t="s">
        <v>286</v>
      </c>
      <c r="O47" s="29" t="s">
        <v>328</v>
      </c>
      <c r="P47" s="20" t="s">
        <v>285</v>
      </c>
    </row>
    <row r="48" spans="1:17" x14ac:dyDescent="0.15">
      <c r="A48" s="28" t="s">
        <v>376</v>
      </c>
      <c r="B48" s="32"/>
      <c r="C48" s="64">
        <v>12.73</v>
      </c>
      <c r="D48" s="64">
        <v>12</v>
      </c>
      <c r="E48" s="64">
        <v>12</v>
      </c>
      <c r="F48" s="64" t="s">
        <v>292</v>
      </c>
      <c r="G48" s="36" t="s">
        <v>292</v>
      </c>
      <c r="H48" s="36" t="s">
        <v>107</v>
      </c>
      <c r="I48" s="64">
        <v>12.75</v>
      </c>
      <c r="J48" s="36" t="s">
        <v>107</v>
      </c>
      <c r="K48" s="36" t="s">
        <v>285</v>
      </c>
      <c r="L48" s="36" t="s">
        <v>107</v>
      </c>
      <c r="M48" s="36" t="s">
        <v>284</v>
      </c>
      <c r="N48" s="36" t="s">
        <v>285</v>
      </c>
      <c r="O48" s="73">
        <v>15</v>
      </c>
      <c r="P48" s="64">
        <v>14.85</v>
      </c>
    </row>
    <row r="49" spans="1:17" x14ac:dyDescent="0.15">
      <c r="A49" s="28" t="s">
        <v>553</v>
      </c>
      <c r="B49" s="32"/>
      <c r="C49" s="21" t="s">
        <v>262</v>
      </c>
      <c r="D49" s="21" t="s">
        <v>319</v>
      </c>
      <c r="E49" s="21" t="s">
        <v>497</v>
      </c>
      <c r="F49" s="21" t="s">
        <v>497</v>
      </c>
      <c r="G49" s="21" t="s">
        <v>601</v>
      </c>
      <c r="H49" s="21" t="s">
        <v>497</v>
      </c>
      <c r="I49" s="21" t="s">
        <v>257</v>
      </c>
      <c r="J49" s="28" t="s">
        <v>601</v>
      </c>
      <c r="K49" s="28" t="s">
        <v>285</v>
      </c>
      <c r="L49" s="28" t="s">
        <v>601</v>
      </c>
      <c r="M49" s="28" t="s">
        <v>601</v>
      </c>
      <c r="N49" s="28" t="s">
        <v>285</v>
      </c>
      <c r="O49" s="29" t="s">
        <v>329</v>
      </c>
      <c r="P49" s="21" t="s">
        <v>285</v>
      </c>
    </row>
    <row r="50" spans="1:17" x14ac:dyDescent="0.1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</row>
    <row r="52" spans="1:17" x14ac:dyDescent="0.1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7"/>
      <c r="M52" s="67"/>
      <c r="N52" s="67"/>
      <c r="O52" s="67"/>
      <c r="P52" s="67"/>
      <c r="Q52" s="67"/>
    </row>
  </sheetData>
  <sheetProtection algorithmName="SHA-512" hashValue="s/yx+vfgHGb9+bkAG4Sg7Ysz6uZPRmvOn438Va6yg+M0rfjXoLoB9egRqpjNUoDqY77xVFlANBiH//F8Y6aHhw==" saltValue="nMwKFi5cgveYI8iQHuwarg==" spinCount="100000" sheet="1" objects="1" scenarios="1"/>
  <phoneticPr fontId="6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O52"/>
  <sheetViews>
    <sheetView workbookViewId="0">
      <selection activeCell="F5" activeCellId="1" sqref="F22:F24 F5"/>
    </sheetView>
  </sheetViews>
  <sheetFormatPr baseColWidth="10" defaultRowHeight="13" x14ac:dyDescent="0.15"/>
  <cols>
    <col min="1" max="1" width="20.5" style="29" customWidth="1"/>
    <col min="2" max="2" width="2.5" style="29" customWidth="1"/>
    <col min="3" max="3" width="10" style="29" customWidth="1"/>
    <col min="4" max="4" width="10.83203125" style="29" customWidth="1"/>
    <col min="5" max="5" width="11.83203125" style="29" customWidth="1"/>
    <col min="6" max="12" width="10" style="29" customWidth="1"/>
    <col min="13" max="16384" width="10.83203125" style="29"/>
  </cols>
  <sheetData>
    <row r="1" spans="1:15" x14ac:dyDescent="0.15">
      <c r="A1" s="28" t="s">
        <v>518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5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2"/>
      <c r="N2" s="62"/>
      <c r="O2" s="62"/>
    </row>
    <row r="3" spans="1:15" x14ac:dyDescent="0.15">
      <c r="A3" s="31" t="s">
        <v>472</v>
      </c>
      <c r="B3" s="32"/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1:15" x14ac:dyDescent="0.15">
      <c r="A4" s="28"/>
      <c r="B4" s="32"/>
      <c r="C4" s="28"/>
      <c r="D4" s="28"/>
      <c r="E4" s="28"/>
      <c r="F4" s="28"/>
      <c r="G4" s="28"/>
      <c r="H4" s="28"/>
      <c r="I4" s="28"/>
      <c r="J4" s="28"/>
      <c r="K4" s="28"/>
      <c r="L4" s="28"/>
    </row>
    <row r="5" spans="1:15" x14ac:dyDescent="0.15">
      <c r="A5" s="33" t="s">
        <v>418</v>
      </c>
      <c r="B5" s="32"/>
      <c r="C5" s="33" t="s">
        <v>335</v>
      </c>
      <c r="D5" s="28"/>
      <c r="E5" s="28"/>
      <c r="F5" s="10">
        <v>6000</v>
      </c>
      <c r="G5" s="28"/>
      <c r="H5" s="28"/>
      <c r="I5" s="28"/>
      <c r="J5" s="28"/>
      <c r="K5" s="28"/>
      <c r="L5" s="28"/>
    </row>
    <row r="6" spans="1:15" x14ac:dyDescent="0.15">
      <c r="A6" s="28"/>
      <c r="B6" s="32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5" x14ac:dyDescent="0.15">
      <c r="A7" s="34" t="s">
        <v>249</v>
      </c>
      <c r="B7" s="35"/>
      <c r="C7" s="9" t="s">
        <v>492</v>
      </c>
      <c r="D7" s="9" t="s">
        <v>491</v>
      </c>
      <c r="E7" s="9" t="s">
        <v>385</v>
      </c>
      <c r="F7" s="9" t="s">
        <v>494</v>
      </c>
      <c r="G7" s="9" t="s">
        <v>470</v>
      </c>
      <c r="H7" s="9" t="s">
        <v>248</v>
      </c>
      <c r="I7" s="9" t="s">
        <v>467</v>
      </c>
      <c r="J7" s="9" t="s">
        <v>263</v>
      </c>
      <c r="K7" s="9" t="s">
        <v>203</v>
      </c>
      <c r="L7" s="9" t="s">
        <v>247</v>
      </c>
      <c r="M7" s="9" t="s">
        <v>204</v>
      </c>
      <c r="N7" s="9" t="s">
        <v>246</v>
      </c>
      <c r="O7" s="9" t="s">
        <v>594</v>
      </c>
    </row>
    <row r="8" spans="1:15" x14ac:dyDescent="0.15">
      <c r="A8" s="28" t="s">
        <v>243</v>
      </c>
      <c r="B8" s="32"/>
      <c r="C8" s="36">
        <f>IF($F5*'Tariff Jul''14'!E7/'Tariff Jul''14'!E8&gt;='Tariff Jul''14'!E11,('Tariff Jul''14'!E11*'Tariff Jul''14'!E15/100)*'Tariff Jul''14'!E8,($F5*'Tariff Jul''14'!E7/'Tariff Jul''14'!E8*'Tariff Jul''14'!E15/100)*'Tariff Jul''14'!E8)</f>
        <v>106.72199999999999</v>
      </c>
      <c r="D8" s="36">
        <f>IF($F5*'Tariff Jul''14'!F7/'Tariff Jul''14'!F8&gt;='Tariff Jul''14'!F11,('Tariff Jul''14'!F11*'Tariff Jul''14'!F15/100)*'Tariff Jul''14'!F8,($F5*'Tariff Jul''14'!F7/'Tariff Jul''14'!F8*'Tariff Jul''14'!F15/100)*'Tariff Jul''14'!F8)</f>
        <v>371.8</v>
      </c>
      <c r="E8" s="36">
        <f>IF($F5*'Tariff Jul''14'!G7/'Tariff Jul''14'!G8&gt;='Tariff Jul''14'!G11,('Tariff Jul''14'!G11*'Tariff Jul''14'!G15/100)*'Tariff Jul''14'!G8,($F5*'Tariff Jul''14'!G7/'Tariff Jul''14'!G8*'Tariff Jul''14'!G15/100)*'Tariff Jul''14'!G8)</f>
        <v>393.8</v>
      </c>
      <c r="F8" s="36">
        <f>IF($F5*'Tariff Jul''14'!H7/'Tariff Jul''14'!H8&gt;='Tariff Jul''14'!H11,('Tariff Jul''14'!H11*'Tariff Jul''14'!H15/100)*'Tariff Jul''14'!H8,($F5*'Tariff Jul''14'!H7/'Tariff Jul''14'!H8*'Tariff Jul''14'!H15/100)*'Tariff Jul''14'!H8)</f>
        <v>101.40899999999999</v>
      </c>
      <c r="G8" s="36">
        <f>IF($F5*'Tariff Jul''14'!I7/'Tariff Jul''14'!I8&gt;='Tariff Jul''14'!I11,('Tariff Jul''14'!I11*'Tariff Jul''14'!I15/100)*'Tariff Jul''14'!I8,($F5*'Tariff Jul''14'!I7/'Tariff Jul''14'!I8*'Tariff Jul''14'!I15/100)*'Tariff Jul''14'!I8)</f>
        <v>104.84100000000001</v>
      </c>
      <c r="H8" s="36">
        <f>IF($F5*'Tariff Jul''14'!J7/'Tariff Jul''14'!J8&gt;='Tariff Jul''14'!J11,('Tariff Jul''14'!J11*'Tariff Jul''14'!J15/100)*'Tariff Jul''14'!J8,($F5*'Tariff Jul''14'!J7/'Tariff Jul''14'!J8*'Tariff Jul''14'!J15/100)*'Tariff Jul''14'!J8)</f>
        <v>94.779629999999997</v>
      </c>
      <c r="I8" s="36">
        <f>IF($F5*'Tariff Jul''14'!K7/'Tariff Jul''14'!K8&gt;='Tariff Jul''14'!K11,('Tariff Jul''14'!K11*'Tariff Jul''14'!K15/100)*'Tariff Jul''14'!K8,($F5*'Tariff Jul''14'!K7/'Tariff Jul''14'!K8*'Tariff Jul''14'!K15/100)*'Tariff Jul''14'!K8)</f>
        <v>105.13799999999999</v>
      </c>
      <c r="J8" s="36">
        <f>IF($F5*'Tariff Jul''14'!L7/'Tariff Jul''14'!L8&gt;='Tariff Jul''14'!L11,('Tariff Jul''14'!L11*'Tariff Jul''14'!L15/100)*'Tariff Jul''14'!L8,($F5*'Tariff Jul''14'!L7/'Tariff Jul''14'!L8*'Tariff Jul''14'!L15/100)*'Tariff Jul''14'!L8)</f>
        <v>110.05500000000001</v>
      </c>
      <c r="K8" s="36">
        <f>IF($F5*'Tariff Jul''14'!M7/'Tariff Jul''14'!M8&gt;='Tariff Jul''14'!M11,('Tariff Jul''14'!M11*'Tariff Jul''14'!M15/100)*'Tariff Jul''14'!M8,($F5*'Tariff Jul''14'!M7/'Tariff Jul''14'!M8*'Tariff Jul''14'!M15/100)*'Tariff Jul''14'!M8)</f>
        <v>101.64</v>
      </c>
      <c r="L8" s="36">
        <f>IF($F5*'Tariff Jul''14'!N7/'Tariff Jul''14'!N8&gt;='Tariff Jul''14'!N11,('Tariff Jul''14'!N11*'Tariff Jul''14'!N15/100)*'Tariff Jul''14'!N8,($F5*'Tariff Jul''14'!N7/'Tariff Jul''14'!N8*'Tariff Jul''14'!N15/100)*'Tariff Jul''14'!N8)</f>
        <v>98.01</v>
      </c>
      <c r="M8" s="36">
        <f>IF($F5*'Tariff Jul''14'!O7/'Tariff Jul''14'!O8&gt;='Tariff Jul''14'!O11,('Tariff Jul''14'!O11*'Tariff Jul''14'!O15/100)*'Tariff Jul''14'!O8,($F5*'Tariff Jul''14'!O7/'Tariff Jul''14'!O8*'Tariff Jul''14'!O15/100)*'Tariff Jul''14'!O8)</f>
        <v>337.92</v>
      </c>
      <c r="N8" s="36">
        <f>IF($F5*'Tariff Jul''14'!P7/'Tariff Jul''14'!P8&gt;='Tariff Jul''14'!P11,('Tariff Jul''14'!P11*'Tariff Jul''14'!P15/100)*'Tariff Jul''14'!P8,($F5*'Tariff Jul''14'!P7/'Tariff Jul''14'!P8*'Tariff Jul''14'!P15/100)*'Tariff Jul''14'!P8)</f>
        <v>314.38</v>
      </c>
      <c r="O8" s="32"/>
    </row>
    <row r="9" spans="1:15" x14ac:dyDescent="0.15">
      <c r="A9" s="28" t="s">
        <v>317</v>
      </c>
      <c r="B9" s="32"/>
      <c r="C9" s="36">
        <f>IF($F5*'Tariff Jul''14'!E7/'Tariff Jul''14'!E8&lt;'Tariff Jul''14'!E11,0,IF($F5*'Tariff Jul''14'!E7/'Tariff Jul''14'!E8&lt;='Tariff Jul''14'!E12,($F5*'Tariff Jul''14'!E7/'Tariff Jul''14'!E8-'Tariff Jul''14'!E11)*('Tariff Jul''14'!E16/100)*'Tariff Jul''14'!E8,('Tariff Jul''14'!E12-'Tariff Jul''14'!E11)*('Tariff Jul''14'!E16/100)*'Tariff Jul''14'!E8))</f>
        <v>270.34699999999998</v>
      </c>
      <c r="D9" s="36">
        <v>0</v>
      </c>
      <c r="E9" s="36">
        <f>IF($F5*'Tariff Jul''14'!G7/'Tariff Jul''14'!G8&lt;'Tariff Jul''14'!G11,0,IF($F5*'Tariff Jul''14'!G7/'Tariff Jul''14'!G8&lt;='Tariff Jul''14'!G12,($F5*'Tariff Jul''14'!G7/'Tariff Jul''14'!G8-'Tariff Jul''14'!G11)*('Tariff Jul''14'!G16/100)*'Tariff Jul''14'!G8,('Tariff Jul''14'!G12-'Tariff Jul''14'!G11)*('Tariff Jul''14'!G16/100)*'Tariff Jul''14'!G8))</f>
        <v>218.9</v>
      </c>
      <c r="F9" s="36">
        <f>IF($F5*'Tariff Jul''14'!H7/'Tariff Jul''14'!H8&lt;'Tariff Jul''14'!H11,0,IF($F5*'Tariff Jul''14'!H7/'Tariff Jul''14'!H8&lt;='Tariff Jul''14'!H12,($F5*'Tariff Jul''14'!H7/'Tariff Jul''14'!H8-'Tariff Jul''14'!H11)*('Tariff Jul''14'!H16/100)*'Tariff Jul''14'!H8,('Tariff Jul''14'!H12-'Tariff Jul''14'!H11)*('Tariff Jul''14'!H16/100)*'Tariff Jul''14'!H8))</f>
        <v>240.85599999999999</v>
      </c>
      <c r="G9" s="36">
        <f>IF($F5*'Tariff Jul''14'!I7/'Tariff Jul''14'!I8&lt;'Tariff Jul''14'!I11,0,IF($F5*'Tariff Jul''14'!I7/'Tariff Jul''14'!I8&lt;='Tariff Jul''14'!I12,($F5*'Tariff Jul''14'!I7/'Tariff Jul''14'!I8-'Tariff Jul''14'!I11)*('Tariff Jul''14'!I16/100)*'Tariff Jul''14'!I8,('Tariff Jul''14'!I12-'Tariff Jul''14'!I11)*('Tariff Jul''14'!I16/100)*'Tariff Jul''14'!I8))</f>
        <v>266.65100000000001</v>
      </c>
      <c r="H9" s="36">
        <f>IF($F5*'Tariff Jul''14'!J7/'Tariff Jul''14'!J8&lt;'Tariff Jul''14'!J11,0,IF($F5*'Tariff Jul''14'!J7/'Tariff Jul''14'!J8&lt;='Tariff Jul''14'!J12,($F5*'Tariff Jul''14'!J7/'Tariff Jul''14'!J8-'Tariff Jul''14'!J11)*('Tariff Jul''14'!J16/100)*'Tariff Jul''14'!J8,('Tariff Jul''14'!J12-'Tariff Jul''14'!J11)*('Tariff Jul''14'!J16/100)*'Tariff Jul''14'!J8))</f>
        <v>229.22515000000004</v>
      </c>
      <c r="I9" s="36">
        <f>IF($F5*'Tariff Jul''14'!K7/'Tariff Jul''14'!K8&lt;'Tariff Jul''14'!K11,0,IF($F5*'Tariff Jul''14'!K7/'Tariff Jul''14'!K8&lt;='Tariff Jul''14'!K12,($F5*'Tariff Jul''14'!K7/'Tariff Jul''14'!K8-'Tariff Jul''14'!K11)*('Tariff Jul''14'!K16/100)*'Tariff Jul''14'!K8,('Tariff Jul''14'!K12-'Tariff Jul''14'!K11)*('Tariff Jul''14'!K16/100)*'Tariff Jul''14'!K8))</f>
        <v>249.71099999999998</v>
      </c>
      <c r="J9" s="36">
        <v>0</v>
      </c>
      <c r="K9" s="36">
        <f>IF($F5*'Tariff Jul''14'!M7/'Tariff Jul''14'!M8&lt;'Tariff Jul''14'!M11,0,IF($F5*'Tariff Jul''14'!M7/'Tariff Jul''14'!M8&lt;='Tariff Jul''14'!M12,($F5*'Tariff Jul''14'!M7/'Tariff Jul''14'!M8-'Tariff Jul''14'!M11)*('Tariff Jul''14'!M16/100)*'Tariff Jul''14'!M8,('Tariff Jul''14'!M12-'Tariff Jul''14'!M11)*('Tariff Jul''14'!M16/100)*'Tariff Jul''14'!M8))</f>
        <v>248.71</v>
      </c>
      <c r="L9" s="36">
        <f>IF($F5*'Tariff Jul''14'!N7/'Tariff Jul''14'!N8&lt;'Tariff Jul''14'!N11,0,IF($F5*'Tariff Jul''14'!N7/'Tariff Jul''14'!N8&lt;='Tariff Jul''14'!N12,($F5*'Tariff Jul''14'!N7/'Tariff Jul''14'!N8-'Tariff Jul''14'!N11)*('Tariff Jul''14'!N16/100)*'Tariff Jul''14'!N8,('Tariff Jul''14'!N12-'Tariff Jul''14'!N11)*('Tariff Jul''14'!N16/100)*'Tariff Jul''14'!N8))</f>
        <v>228.69</v>
      </c>
      <c r="M9" s="36">
        <v>0</v>
      </c>
      <c r="N9" s="36">
        <v>0</v>
      </c>
      <c r="O9" s="32"/>
    </row>
    <row r="10" spans="1:15" x14ac:dyDescent="0.15">
      <c r="A10" s="28" t="s">
        <v>250</v>
      </c>
      <c r="B10" s="32"/>
      <c r="C10" s="36">
        <f>IF($F5*'Tariff Jul''14'!E7/'Tariff Jul''14'!E8&lt;'Tariff Jul''14'!E12,0,IF($F5*'Tariff Jul''14'!E7/'Tariff Jul''14'!E8&lt;='Tariff Jul''14'!E13,($F5*'Tariff Jul''14'!E7/'Tariff Jul''14'!E8-'Tariff Jul''14'!E12)*('Tariff Jul''14'!E17/100)*'Tariff Jul''14'!E8,('Tariff Jul''14'!E13-'Tariff Jul''14'!E12)*('Tariff Jul''14'!E17/100)*'Tariff Jul''14'!E8))</f>
        <v>223.02499999999998</v>
      </c>
      <c r="D10" s="36">
        <v>0</v>
      </c>
      <c r="E10" s="36">
        <f>IF($F5*'Tariff Jul''14'!G7/'Tariff Jul''14'!G8&lt;'Tariff Jul''14'!G12,0,IF($F5*'Tariff Jul''14'!G7/'Tariff Jul''14'!G8&lt;='Tariff Jul''14'!G13,($F5*'Tariff Jul''14'!G7/'Tariff Jul''14'!G8-'Tariff Jul''14'!G12)*('Tariff Jul''14'!G17/100)*'Tariff Jul''14'!G8,('Tariff Jul''14'!G13-'Tariff Jul''14'!G12)*('Tariff Jul''14'!G17/100)*'Tariff Jul''14'!G8))</f>
        <v>0</v>
      </c>
      <c r="F10" s="36">
        <f>IF($F5*'Tariff Jul''14'!H7/'Tariff Jul''14'!H8&lt;'Tariff Jul''14'!H12,0,IF($F5*'Tariff Jul''14'!H7/'Tariff Jul''14'!H8&lt;='Tariff Jul''14'!H13,($F5*'Tariff Jul''14'!H7/'Tariff Jul''14'!H8-'Tariff Jul''14'!H12)*('Tariff Jul''14'!H17/100)*'Tariff Jul''14'!H8,('Tariff Jul''14'!H13-'Tariff Jul''14'!H12)*('Tariff Jul''14'!H17/100)*'Tariff Jul''14'!H8))</f>
        <v>199.43000000000004</v>
      </c>
      <c r="G10" s="36">
        <f>IF($F5*'Tariff Jul''14'!I7/'Tariff Jul''14'!I8&lt;'Tariff Jul''14'!I12,0,IF($F5*'Tariff Jul''14'!I7/'Tariff Jul''14'!I8&lt;='Tariff Jul''14'!I13,($F5*'Tariff Jul''14'!I7/'Tariff Jul''14'!I8-'Tariff Jul''14'!I12)*('Tariff Jul''14'!I17/100)*'Tariff Jul''14'!I8,('Tariff Jul''14'!I13-'Tariff Jul''14'!I12)*('Tariff Jul''14'!I17/100)*'Tariff Jul''14'!I8))</f>
        <v>214.99500000000003</v>
      </c>
      <c r="H10" s="36">
        <f>IF($F5*'Tariff Jul''14'!J7/'Tariff Jul''14'!J8&lt;'Tariff Jul''14'!J12,0,IF($F5*'Tariff Jul''14'!J7/'Tariff Jul''14'!J8&lt;='Tariff Jul''14'!J13,($F5*'Tariff Jul''14'!J7/'Tariff Jul''14'!J8-'Tariff Jul''14'!J12)*('Tariff Jul''14'!J17/100)*'Tariff Jul''14'!J8,('Tariff Jul''14'!J13-'Tariff Jul''14'!J12)*('Tariff Jul''14'!J17/100)*'Tariff Jul''14'!J8))</f>
        <v>192.8597</v>
      </c>
      <c r="I10" s="36">
        <f>IF($F5*'Tariff Jul''14'!K7/'Tariff Jul''14'!K8&lt;'Tariff Jul''14'!K12,0,IF($F5*'Tariff Jul''14'!K7/'Tariff Jul''14'!K8&lt;='Tariff Jul''14'!K13,($F5*'Tariff Jul''14'!K7/'Tariff Jul''14'!K8-'Tariff Jul''14'!K12)*('Tariff Jul''14'!K17/100)*'Tariff Jul''14'!K8,('Tariff Jul''14'!K13-'Tariff Jul''14'!K12)*('Tariff Jul''14'!K17/100)*'Tariff Jul''14'!K8))</f>
        <v>204.16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2"/>
    </row>
    <row r="11" spans="1:15" x14ac:dyDescent="0.15">
      <c r="A11" s="28" t="s">
        <v>251</v>
      </c>
      <c r="B11" s="32"/>
      <c r="C11" s="36">
        <f>IF($F5*'Tariff Jul''14'!E7/'Tariff Jul''14'!E8&lt;'Tariff Jul''14'!E13,0,IF($F5*'Tariff Jul''14'!E7/'Tariff Jul''14'!E8&lt;='Tariff Jul''14'!E14,($F5*'Tariff Jul''14'!E7/'Tariff Jul''14'!E8-'Tariff Jul''14'!E13)*('Tariff Jul''14'!E18/100)*'Tariff Jul''14'!E8,('Tariff Jul''14'!E14-'Tariff Jul''14'!E13)*('Tariff Jul''14'!E18/100)*'Tariff Jul''14'!E8))</f>
        <v>0</v>
      </c>
      <c r="D11" s="36">
        <v>0</v>
      </c>
      <c r="E11" s="36">
        <f>IF($F5*'Tariff Jul''14'!G7/'Tariff Jul''14'!G8&lt;'Tariff Jul''14'!G13,0,IF($F5*'Tariff Jul''14'!G7/'Tariff Jul''14'!G8&lt;='Tariff Jul''14'!G14,($F5*'Tariff Jul''14'!G7/'Tariff Jul''14'!G8-'Tariff Jul''14'!G13)*('Tariff Jul''14'!G18/100)*'Tariff Jul''14'!G8,('Tariff Jul''14'!G14-'Tariff Jul''14'!G13)*('Tariff Jul''14'!G18/100)*'Tariff Jul''14'!G8))</f>
        <v>0</v>
      </c>
      <c r="F11" s="36">
        <f>IF($F5*'Tariff Jul''14'!H7/'Tariff Jul''14'!H8&lt;'Tariff Jul''14'!H13,0,IF($F5*'Tariff Jul''14'!H7/'Tariff Jul''14'!H8&lt;='Tariff Jul''14'!H14,($F5*'Tariff Jul''14'!H7/'Tariff Jul''14'!H8-'Tariff Jul''14'!H13)*('Tariff Jul''14'!H18/100)*'Tariff Jul''14'!H8,('Tariff Jul''14'!H14-'Tariff Jul''14'!H13)*('Tariff Jul''14'!H18/100)*'Tariff Jul''14'!H8))</f>
        <v>0</v>
      </c>
      <c r="G11" s="36">
        <f>IF($F5*'Tariff Jul''14'!I7/'Tariff Jul''14'!I8&lt;'Tariff Jul''14'!I13,0,IF($F5*'Tariff Jul''14'!I7/'Tariff Jul''14'!I8&lt;='Tariff Jul''14'!I14,($F5*'Tariff Jul''14'!I7/'Tariff Jul''14'!I8-'Tariff Jul''14'!I13)*('Tariff Jul''14'!I18/100)*'Tariff Jul''14'!I8,('Tariff Jul''14'!I14-'Tariff Jul''14'!I13)*('Tariff Jul''14'!I18/100)*'Tariff Jul''14'!I8))</f>
        <v>0</v>
      </c>
      <c r="H11" s="36">
        <f>IF($F5*'Tariff Jul''14'!J7/'Tariff Jul''14'!J8&lt;'Tariff Jul''14'!J13,0,IF($F5*'Tariff Jul''14'!J7/'Tariff Jul''14'!J8&lt;='Tariff Jul''14'!J14,($F5*'Tariff Jul''14'!J7/'Tariff Jul''14'!J8-'Tariff Jul''14'!J13)*('Tariff Jul''14'!J18/100)*'Tariff Jul''14'!J8,('Tariff Jul''14'!J14-'Tariff Jul''14'!J13)*('Tariff Jul''14'!J18/100)*'Tariff Jul''14'!J8))</f>
        <v>0</v>
      </c>
      <c r="I11" s="36">
        <f>IF($F5*'Tariff Jul''14'!K7/'Tariff Jul''14'!K8&lt;'Tariff Jul''14'!K13,0,IF($F5*'Tariff Jul''14'!K7/'Tariff Jul''14'!K8&lt;='Tariff Jul''14'!K14,($F5*'Tariff Jul''14'!K7/'Tariff Jul''14'!K8-'Tariff Jul''14'!K13)*('Tariff Jul''14'!K18/100)*'Tariff Jul''14'!K8,('Tariff Jul''14'!K14-'Tariff Jul''14'!K13)*('Tariff Jul''14'!K18/100)*'Tariff Jul''14'!K8))</f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2"/>
    </row>
    <row r="12" spans="1:15" x14ac:dyDescent="0.15">
      <c r="A12" s="28" t="s">
        <v>104</v>
      </c>
      <c r="B12" s="32"/>
      <c r="C12" s="36">
        <f>IF(($F5*'Tariff Jul''14'!E7/'Tariff Jul''14'!E8&gt;'Tariff Jul''14'!E14),($F5*'Tariff Jul''14'!E7/'Tariff Jul''14'!E8-'Tariff Jul''14'!E14)*'Tariff Jul''14'!E19/100*'Tariff Jul''14'!E8,0)</f>
        <v>0</v>
      </c>
      <c r="D12" s="36">
        <f>IF(($F5*'Tariff Jul''14'!F7/'Tariff Jul''14'!F8&gt;'Tariff Jul''14'!F14),($F5*'Tariff Jul''14'!F7/'Tariff Jul''14'!F8-'Tariff Jul''14'!F14)*'Tariff Jul''14'!F19/100*'Tariff Jul''14'!F8,0)</f>
        <v>220.935</v>
      </c>
      <c r="E12" s="36">
        <f>IF(($F5*'Tariff Jul''14'!G7/'Tariff Jul''14'!G8&gt;'Tariff Jul''14'!G14),($F5*'Tariff Jul''14'!G7/'Tariff Jul''14'!G8-'Tariff Jul''14'!G14)*'Tariff Jul''14'!G19/100*'Tariff Jul''14'!G8,0)</f>
        <v>0</v>
      </c>
      <c r="F12" s="36">
        <f>IF(($F5*'Tariff Jul''14'!H7/'Tariff Jul''14'!H8&gt;'Tariff Jul''14'!H14),($F5*'Tariff Jul''14'!H7/'Tariff Jul''14'!H8-'Tariff Jul''14'!H14)*'Tariff Jul''14'!H19/100*'Tariff Jul''14'!H8,0)</f>
        <v>0</v>
      </c>
      <c r="G12" s="36">
        <f>IF(($F5*'Tariff Jul''14'!I7/'Tariff Jul''14'!I8&gt;'Tariff Jul''14'!I14),($F5*'Tariff Jul''14'!I7/'Tariff Jul''14'!I8-'Tariff Jul''14'!I14)*'Tariff Jul''14'!I19/100*'Tariff Jul''14'!I8,0)</f>
        <v>0</v>
      </c>
      <c r="H12" s="36">
        <f>IF(($F5*'Tariff Jul''14'!J7/'Tariff Jul''14'!J8&gt;'Tariff Jul''14'!J14),($F5*'Tariff Jul''14'!J7/'Tariff Jul''14'!J8-'Tariff Jul''14'!J14)*'Tariff Jul''14'!J19/100*'Tariff Jul''14'!J8,0)</f>
        <v>0</v>
      </c>
      <c r="I12" s="36">
        <f>IF(($F5*'Tariff Jul''14'!K7/'Tariff Jul''14'!K8&gt;'Tariff Jul''14'!K14),($F5*'Tariff Jul''14'!K7/'Tariff Jul''14'!K8-'Tariff Jul''14'!K14)*'Tariff Jul''14'!K19/100*'Tariff Jul''14'!K8,0)</f>
        <v>0</v>
      </c>
      <c r="J12" s="36">
        <f>IF(($F5*'Tariff Jul''14'!L7/'Tariff Jul''14'!L8&gt;'Tariff Jul''14'!L14),($F5*'Tariff Jul''14'!L7/'Tariff Jul''14'!L8-'Tariff Jul''14'!L14)*'Tariff Jul''14'!L19/100*'Tariff Jul''14'!L8,0)</f>
        <v>439.95599999999996</v>
      </c>
      <c r="K12" s="36">
        <f>IF(($F5*'Tariff Jul''14'!M7/'Tariff Jul''14'!M8&gt;'Tariff Jul''14'!M14),($F5*'Tariff Jul''14'!M7/'Tariff Jul''14'!M8-'Tariff Jul''14'!M14)*'Tariff Jul''14'!M19/100*'Tariff Jul''14'!M8,0)</f>
        <v>204.05</v>
      </c>
      <c r="L12" s="36">
        <f>IF(($F5*'Tariff Jul''14'!N7/'Tariff Jul''14'!N8&gt;'Tariff Jul''14'!N14),($F5*'Tariff Jul''14'!N7/'Tariff Jul''14'!N8-'Tariff Jul''14'!N14)*'Tariff Jul''14'!N19/100*'Tariff Jul''14'!N8,0)</f>
        <v>209</v>
      </c>
      <c r="M12" s="36">
        <f>IF(($F5*'Tariff Jul''14'!O7/'Tariff Jul''14'!O8&gt;'Tariff Jul''14'!O14),($F5*'Tariff Jul''14'!O7/'Tariff Jul''14'!O8-'Tariff Jul''14'!O14)*'Tariff Jul''14'!O19/100*'Tariff Jul''14'!O8,0)</f>
        <v>190.19</v>
      </c>
      <c r="N12" s="36">
        <f>IF(($F5*'Tariff Jul''14'!P7/'Tariff Jul''14'!P8&gt;'Tariff Jul''14'!P14),($F5*'Tariff Jul''14'!P7/'Tariff Jul''14'!P8-'Tariff Jul''14'!P14)*'Tariff Jul''14'!P19/100*'Tariff Jul''14'!P8,0)</f>
        <v>181.61</v>
      </c>
      <c r="O12" s="32"/>
    </row>
    <row r="13" spans="1:15" x14ac:dyDescent="0.15">
      <c r="A13" s="28" t="s">
        <v>231</v>
      </c>
      <c r="B13" s="32"/>
      <c r="C13" s="36">
        <f>IF($F5*'Tariff Jul''14'!E9/'Tariff Jul''14'!E10&gt;='Tariff Jul''14'!E11,('Tariff Jul''14'!E11*'Tariff Jul''14'!E20/100)*'Tariff Jul''14'!E10,($F5*'Tariff Jul''14'!E9/'Tariff Jul''14'!E10*'Tariff Jul''14'!E20/100)*'Tariff Jul''14'!E10)</f>
        <v>304.524</v>
      </c>
      <c r="D13" s="36">
        <f>IF($F5*'Tariff Jul''14'!F9/'Tariff Jul''14'!F10&gt;='Tariff Jul''14'!F11,('Tariff Jul''14'!F11*'Tariff Jul''14'!F20/100)*'Tariff Jul''14'!F10,($F5*'Tariff Jul''14'!F9/'Tariff Jul''14'!F10*'Tariff Jul''14'!F20/100)*'Tariff Jul''14'!F10)</f>
        <v>1115.4000000000001</v>
      </c>
      <c r="E13" s="36">
        <f>IF($F5*'Tariff Jul''14'!G9/'Tariff Jul''14'!G10&gt;='Tariff Jul''14'!G11,('Tariff Jul''14'!G11*'Tariff Jul''14'!G20/100)*'Tariff Jul''14'!G10,($F5*'Tariff Jul''14'!G9/'Tariff Jul''14'!G10*'Tariff Jul''14'!G20/100)*'Tariff Jul''14'!G10)</f>
        <v>1105.5</v>
      </c>
      <c r="F13" s="36">
        <f>IF($F5*'Tariff Jul''14'!H9/'Tariff Jul''14'!H10&gt;='Tariff Jul''14'!H11,('Tariff Jul''14'!H11*'Tariff Jul''14'!H20/100)*'Tariff Jul''14'!H10,($F5*'Tariff Jul''14'!H9/'Tariff Jul''14'!H10*'Tariff Jul''14'!H20/100)*'Tariff Jul''14'!H10)</f>
        <v>304.22699999999998</v>
      </c>
      <c r="G13" s="36">
        <f>IF($F5*'Tariff Jul''14'!I9/'Tariff Jul''14'!I10&gt;='Tariff Jul''14'!I11,('Tariff Jul''14'!I11*'Tariff Jul''14'!I20/100)*'Tariff Jul''14'!I10,($F5*'Tariff Jul''14'!I9/'Tariff Jul''14'!I10*'Tariff Jul''14'!I20/100)*'Tariff Jul''14'!I10)</f>
        <v>298.48500000000001</v>
      </c>
      <c r="H13" s="36">
        <f>IF($F5*'Tariff Jul''14'!J9/'Tariff Jul''14'!J10&gt;='Tariff Jul''14'!J11,('Tariff Jul''14'!J11*'Tariff Jul''14'!J20/100)*'Tariff Jul''14'!J10,($F5*'Tariff Jul''14'!J9/'Tariff Jul''14'!J10*'Tariff Jul''14'!J20/100)*'Tariff Jul''14'!J10)</f>
        <v>284.33888999999999</v>
      </c>
      <c r="I13" s="36">
        <f>IF($F5*'Tariff Jul''14'!K9/'Tariff Jul''14'!K10&gt;='Tariff Jul''14'!K11,('Tariff Jul''14'!K11*'Tariff Jul''14'!K20/100)*'Tariff Jul''14'!K10,($F5*'Tariff Jul''14'!K9/'Tariff Jul''14'!K10*'Tariff Jul''14'!K20/100)*'Tariff Jul''14'!K10)</f>
        <v>315.41399999999999</v>
      </c>
      <c r="J13" s="36">
        <f>IF($F5*'Tariff Jul''14'!L9/'Tariff Jul''14'!L10&gt;='Tariff Jul''14'!L11,('Tariff Jul''14'!L11*'Tariff Jul''14'!L20/100)*'Tariff Jul''14'!L10,($F5*'Tariff Jul''14'!L9/'Tariff Jul''14'!L10*'Tariff Jul''14'!L20/100)*'Tariff Jul''14'!L10)</f>
        <v>330.16500000000002</v>
      </c>
      <c r="K13" s="36">
        <f>IF($F5*'Tariff Jul''14'!M9/'Tariff Jul''14'!M10&gt;='Tariff Jul''14'!M11,('Tariff Jul''14'!M11*'Tariff Jul''14'!M20/100)*'Tariff Jul''14'!M10,($F5*'Tariff Jul''14'!M9/'Tariff Jul''14'!M10*'Tariff Jul''14'!M20/100)*'Tariff Jul''14'!M10)</f>
        <v>275.21999999999997</v>
      </c>
      <c r="L13" s="36">
        <f>IF($F5*'Tariff Jul''14'!N9/'Tariff Jul''14'!N10&gt;='Tariff Jul''14'!N11,('Tariff Jul''14'!N11*'Tariff Jul''14'!N20/100)*'Tariff Jul''14'!N10,($F5*'Tariff Jul''14'!N9/'Tariff Jul''14'!N10*'Tariff Jul''14'!N20/100)*'Tariff Jul''14'!N10)</f>
        <v>294.03000000000003</v>
      </c>
      <c r="M13" s="36">
        <f>IF($F5*'Tariff Jul''14'!O9/'Tariff Jul''14'!O10&gt;='Tariff Jul''14'!O11,('Tariff Jul''14'!O11*'Tariff Jul''14'!O20/100)*'Tariff Jul''14'!O10,($F5*'Tariff Jul''14'!O9/'Tariff Jul''14'!O10*'Tariff Jul''14'!O20/100)*'Tariff Jul''14'!O10)</f>
        <v>1013.76</v>
      </c>
      <c r="N13" s="36">
        <f>IF($F5*'Tariff Jul''14'!P9/'Tariff Jul''14'!P10&gt;='Tariff Jul''14'!P11,('Tariff Jul''14'!P11*'Tariff Jul''14'!P20/100)*'Tariff Jul''14'!P10,($F5*'Tariff Jul''14'!P9/'Tariff Jul''14'!P10*'Tariff Jul''14'!P20/100)*'Tariff Jul''14'!P10)</f>
        <v>943.14</v>
      </c>
      <c r="O13" s="32"/>
    </row>
    <row r="14" spans="1:15" x14ac:dyDescent="0.15">
      <c r="A14" s="28" t="s">
        <v>530</v>
      </c>
      <c r="B14" s="32"/>
      <c r="C14" s="36">
        <f>IF($F5*'Tariff Jul''14'!E9/'Tariff Jul''14'!E10&lt;'Tariff Jul''14'!E11,0,IF($F5*'Tariff Jul''14'!E9/'Tariff Jul''14'!E10&lt;='Tariff Jul''14'!E12,($F5*'Tariff Jul''14'!E9/'Tariff Jul''14'!E10-'Tariff Jul''14'!E11)*('Tariff Jul''14'!E21/100)*'Tariff Jul''14'!E10,('Tariff Jul''14'!E12-'Tariff Jul''14'!E11)*('Tariff Jul''14'!E21/100)*'Tariff Jul''14'!E10))</f>
        <v>723.49199999999996</v>
      </c>
      <c r="D14" s="36">
        <v>0</v>
      </c>
      <c r="E14" s="36">
        <f>IF($F5*'Tariff Jul''14'!G9/'Tariff Jul''14'!G10&lt;'Tariff Jul''14'!G11,0,IF($F5*'Tariff Jul''14'!G9/'Tariff Jul''14'!G10&lt;='Tariff Jul''14'!G12,($F5*'Tariff Jul''14'!G9/'Tariff Jul''14'!G10-'Tariff Jul''14'!G11)*('Tariff Jul''14'!G21/100)*'Tariff Jul''14'!G10,('Tariff Jul''14'!G12-'Tariff Jul''14'!G11)*('Tariff Jul''14'!G21/100)*'Tariff Jul''14'!G10))</f>
        <v>613.79999999999995</v>
      </c>
      <c r="F14" s="36">
        <f>IF($F5*'Tariff Jul''14'!H9/'Tariff Jul''14'!H10&lt;'Tariff Jul''14'!H11,0,IF($F5*'Tariff Jul''14'!H9/'Tariff Jul''14'!H10&lt;='Tariff Jul''14'!H12,($F5*'Tariff Jul''14'!H9/'Tariff Jul''14'!H10-'Tariff Jul''14'!H11)*('Tariff Jul''14'!H21/100)*'Tariff Jul''14'!H10,('Tariff Jul''14'!H12-'Tariff Jul''14'!H11)*('Tariff Jul''14'!H21/100)*'Tariff Jul''14'!H10))</f>
        <v>722.56799999999998</v>
      </c>
      <c r="G14" s="36">
        <f>IF($F5*'Tariff Jul''14'!I9/'Tariff Jul''14'!I10&lt;'Tariff Jul''14'!I11,0,IF($F5*'Tariff Jul''14'!I9/'Tariff Jul''14'!I10&lt;='Tariff Jul''14'!I12,($F5*'Tariff Jul''14'!I9/'Tariff Jul''14'!I10-'Tariff Jul''14'!I11)*('Tariff Jul''14'!I21/100)*'Tariff Jul''14'!I10,('Tariff Jul''14'!I12-'Tariff Jul''14'!I11)*('Tariff Jul''14'!I21/100)*'Tariff Jul''14'!I10))</f>
        <v>709.63200000000006</v>
      </c>
      <c r="H14" s="36">
        <f>IF($F5*'Tariff Jul''14'!J9/'Tariff Jul''14'!J10&lt;'Tariff Jul''14'!J11,0,IF($F5*'Tariff Jul''14'!J9/'Tariff Jul''14'!J10&lt;='Tariff Jul''14'!J12,($F5*'Tariff Jul''14'!J9/'Tariff Jul''14'!J10-'Tariff Jul''14'!J11)*('Tariff Jul''14'!J21/100)*'Tariff Jul''14'!J10,('Tariff Jul''14'!J12-'Tariff Jul''14'!J11)*('Tariff Jul''14'!J21/100)*'Tariff Jul''14'!J10))</f>
        <v>687.67545000000018</v>
      </c>
      <c r="I14" s="36">
        <f>IF($F5*'Tariff Jul''14'!K9/'Tariff Jul''14'!K10&lt;'Tariff Jul''14'!K11,0,IF($F5*'Tariff Jul''14'!K9/'Tariff Jul''14'!K10&lt;='Tariff Jul''14'!K12,($F5*'Tariff Jul''14'!K9/'Tariff Jul''14'!K10-'Tariff Jul''14'!K11)*('Tariff Jul''14'!K21/100)*'Tariff Jul''14'!K10,('Tariff Jul''14'!K12-'Tariff Jul''14'!K11)*('Tariff Jul''14'!K21/100)*'Tariff Jul''14'!K10))</f>
        <v>749.13299999999992</v>
      </c>
      <c r="J14" s="36">
        <v>0</v>
      </c>
      <c r="K14" s="36">
        <f>IF($F5*'Tariff Jul''14'!M9/'Tariff Jul''14'!M10&lt;'Tariff Jul''14'!M11,0,IF($F5*'Tariff Jul''14'!M9/'Tariff Jul''14'!M10&lt;='Tariff Jul''14'!M12,($F5*'Tariff Jul''14'!M9/'Tariff Jul''14'!M10-'Tariff Jul''14'!M11)*('Tariff Jul''14'!M21/100)*'Tariff Jul''14'!M10,('Tariff Jul''14'!M12-'Tariff Jul''14'!M11)*('Tariff Jul''14'!M21/100)*'Tariff Jul''14'!M10))</f>
        <v>665.28</v>
      </c>
      <c r="L14" s="36">
        <f>IF($F5*'Tariff Jul''14'!N9/'Tariff Jul''14'!N10&lt;'Tariff Jul''14'!N11,0,IF($F5*'Tariff Jul''14'!N9/'Tariff Jul''14'!N10&lt;='Tariff Jul''14'!N12,($F5*'Tariff Jul''14'!N9/'Tariff Jul''14'!N10-'Tariff Jul''14'!N11)*('Tariff Jul''14'!N21/100)*'Tariff Jul''14'!N10,('Tariff Jul''14'!N12-'Tariff Jul''14'!N11)*('Tariff Jul''14'!N21/100)*'Tariff Jul''14'!N10))</f>
        <v>686.06999999999994</v>
      </c>
      <c r="M14" s="36">
        <v>0</v>
      </c>
      <c r="N14" s="36">
        <v>0</v>
      </c>
      <c r="O14" s="32"/>
    </row>
    <row r="15" spans="1:15" x14ac:dyDescent="0.15">
      <c r="A15" s="28" t="s">
        <v>531</v>
      </c>
      <c r="B15" s="32"/>
      <c r="C15" s="36">
        <f>IF($F5*'Tariff Jul''14'!E9/'Tariff Jul''14'!E10&lt;'Tariff Jul''14'!E12,0,IF($F5*'Tariff Jul''14'!E9/'Tariff Jul''14'!E10&lt;='Tariff Jul''14'!E13,($F5*'Tariff Jul''14'!E9/'Tariff Jul''14'!E10-'Tariff Jul''14'!E12)*('Tariff Jul''14'!E22/100)*'Tariff Jul''14'!E10,('Tariff Jul''14'!E13-'Tariff Jul''14'!E12)*('Tariff Jul''14'!E22/100)*'Tariff Jul''14'!E10))</f>
        <v>605.71500000000003</v>
      </c>
      <c r="D15" s="36">
        <v>0</v>
      </c>
      <c r="E15" s="36">
        <f>IF($F5*'Tariff Jul''14'!G9/'Tariff Jul''14'!G10&lt;'Tariff Jul''14'!G12,0,IF($F5*'Tariff Jul''14'!G9/'Tariff Jul''14'!G10&lt;='Tariff Jul''14'!G13,($F5*'Tariff Jul''14'!G9/'Tariff Jul''14'!G10-'Tariff Jul''14'!G12)*('Tariff Jul''14'!G22/100)*'Tariff Jul''14'!G10,('Tariff Jul''14'!G13-'Tariff Jul''14'!G12)*('Tariff Jul''14'!G22/100)*'Tariff Jul''14'!G10))</f>
        <v>0</v>
      </c>
      <c r="F15" s="36">
        <f>IF($F5*'Tariff Jul''14'!H9/'Tariff Jul''14'!H10&lt;'Tariff Jul''14'!H12,0,IF($F5*'Tariff Jul''14'!H9/'Tariff Jul''14'!H10&lt;='Tariff Jul''14'!H13,($F5*'Tariff Jul''14'!H9/'Tariff Jul''14'!H10-'Tariff Jul''14'!H12)*('Tariff Jul''14'!H22/100)*'Tariff Jul''14'!H10,('Tariff Jul''14'!H13-'Tariff Jul''14'!H12)*('Tariff Jul''14'!H22/100)*'Tariff Jul''14'!H10))</f>
        <v>598.29000000000008</v>
      </c>
      <c r="G15" s="36">
        <f>IF($F5*'Tariff Jul''14'!I9/'Tariff Jul''14'!I10&lt;'Tariff Jul''14'!I12,0,IF($F5*'Tariff Jul''14'!I9/'Tariff Jul''14'!I10&lt;='Tariff Jul''14'!I13,($F5*'Tariff Jul''14'!I9/'Tariff Jul''14'!I10-'Tariff Jul''14'!I12)*('Tariff Jul''14'!I22/100)*'Tariff Jul''14'!I10,('Tariff Jul''14'!I13-'Tariff Jul''14'!I12)*('Tariff Jul''14'!I22/100)*'Tariff Jul''14'!I10))</f>
        <v>580.14</v>
      </c>
      <c r="H15" s="36">
        <f>IF($F5*'Tariff Jul''14'!J9/'Tariff Jul''14'!J10&lt;'Tariff Jul''14'!J12,0,IF($F5*'Tariff Jul''14'!J9/'Tariff Jul''14'!J10&lt;='Tariff Jul''14'!J13,($F5*'Tariff Jul''14'!J9/'Tariff Jul''14'!J10-'Tariff Jul''14'!J12)*('Tariff Jul''14'!J22/100)*'Tariff Jul''14'!J10,('Tariff Jul''14'!J13-'Tariff Jul''14'!J12)*('Tariff Jul''14'!J22/100)*'Tariff Jul''14'!J10))</f>
        <v>578.57910000000004</v>
      </c>
      <c r="I15" s="36">
        <f>IF($F5*'Tariff Jul''14'!K9/'Tariff Jul''14'!K10&lt;'Tariff Jul''14'!K12,0,IF($F5*'Tariff Jul''14'!K9/'Tariff Jul''14'!K10&lt;='Tariff Jul''14'!K13,($F5*'Tariff Jul''14'!K9/'Tariff Jul''14'!K10-'Tariff Jul''14'!K12)*('Tariff Jul''14'!K22/100)*'Tariff Jul''14'!K10,('Tariff Jul''14'!K13-'Tariff Jul''14'!K12)*('Tariff Jul''14'!K22/100)*'Tariff Jul''14'!K10))</f>
        <v>612.48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2"/>
    </row>
    <row r="16" spans="1:15" x14ac:dyDescent="0.15">
      <c r="A16" s="28" t="s">
        <v>100</v>
      </c>
      <c r="B16" s="32"/>
      <c r="C16" s="36">
        <f>IF($F5*'Tariff Jul''14'!E9/'Tariff Jul''14'!E10&lt;'Tariff Jul''14'!E13,0,IF($F5*'Tariff Jul''14'!E9/'Tariff Jul''14'!E10&lt;='Tariff Jul''14'!E14,($F5*'Tariff Jul''14'!E9/'Tariff Jul''14'!E10-'Tariff Jul''14'!E13)*('Tariff Jul''14'!E23/100)*'Tariff Jul''14'!E10,('Tariff Jul''14'!E14-'Tariff Jul''14'!E13)*('Tariff Jul''14'!E23/100)*'Tariff Jul''14'!E10))</f>
        <v>0</v>
      </c>
      <c r="D16" s="36">
        <f>IF($F5*'Tariff Jul''14'!F9/'Tariff Jul''14'!F10&lt;'Tariff Jul''14'!F13,0,IF($F5*'Tariff Jul''14'!F9/'Tariff Jul''14'!F10&lt;='Tariff Jul''14'!F14,($F5*'Tariff Jul''14'!F9/'Tariff Jul''14'!F10-'Tariff Jul''14'!F13)*('Tariff Jul''14'!F23/100)*'Tariff Jul''14'!F10,('Tariff Jul''14'!F14-'Tariff Jul''14'!F13)*('Tariff Jul''14'!F23/100)*'Tariff Jul''14'!F10))</f>
        <v>0</v>
      </c>
      <c r="E16" s="36">
        <f>IF($F5*'Tariff Jul''14'!G9/'Tariff Jul''14'!G10&lt;'Tariff Jul''14'!G13,0,IF($F5*'Tariff Jul''14'!G9/'Tariff Jul''14'!G10&lt;='Tariff Jul''14'!G14,($F5*'Tariff Jul''14'!G9/'Tariff Jul''14'!G10-'Tariff Jul''14'!G13)*('Tariff Jul''14'!G23/100)*'Tariff Jul''14'!G10,('Tariff Jul''14'!G14-'Tariff Jul''14'!G13)*('Tariff Jul''14'!G23/100)*'Tariff Jul''14'!G10))</f>
        <v>0</v>
      </c>
      <c r="F16" s="36">
        <f>IF($F5*'Tariff Jul''14'!H9/'Tariff Jul''14'!H10&lt;'Tariff Jul''14'!H13,0,IF($F5*'Tariff Jul''14'!H9/'Tariff Jul''14'!H10&lt;='Tariff Jul''14'!H14,($F5*'Tariff Jul''14'!H9/'Tariff Jul''14'!H10-'Tariff Jul''14'!H13)*('Tariff Jul''14'!H23/100)*'Tariff Jul''14'!H10,('Tariff Jul''14'!H14-'Tariff Jul''14'!H13)*('Tariff Jul''14'!H23/100)*'Tariff Jul''14'!H10))</f>
        <v>0</v>
      </c>
      <c r="G16" s="36">
        <f>IF($F5*'Tariff Jul''14'!I9/'Tariff Jul''14'!I10&lt;'Tariff Jul''14'!I13,0,IF($F5*'Tariff Jul''14'!I9/'Tariff Jul''14'!I10&lt;='Tariff Jul''14'!I14,($F5*'Tariff Jul''14'!I9/'Tariff Jul''14'!I10-'Tariff Jul''14'!I13)*('Tariff Jul''14'!I23/100)*'Tariff Jul''14'!I10,('Tariff Jul''14'!I14-'Tariff Jul''14'!I13)*('Tariff Jul''14'!I23/100)*'Tariff Jul''14'!I10))</f>
        <v>0</v>
      </c>
      <c r="H16" s="36">
        <f>IF($F5*'Tariff Jul''14'!J9/'Tariff Jul''14'!J10&lt;'Tariff Jul''14'!J13,0,IF($F5*'Tariff Jul''14'!J9/'Tariff Jul''14'!J10&lt;='Tariff Jul''14'!J14,($F5*'Tariff Jul''14'!J9/'Tariff Jul''14'!J10-'Tariff Jul''14'!J13)*('Tariff Jul''14'!J23/100)*'Tariff Jul''14'!J10,('Tariff Jul''14'!J14-'Tariff Jul''14'!J13)*('Tariff Jul''14'!J23/100)*'Tariff Jul''14'!J10))</f>
        <v>0</v>
      </c>
      <c r="I16" s="36">
        <f>IF($F5*'Tariff Jul''14'!K9/'Tariff Jul''14'!K10&lt;'Tariff Jul''14'!K13,0,IF($F5*'Tariff Jul''14'!K9/'Tariff Jul''14'!K10&lt;='Tariff Jul''14'!K14,($F5*'Tariff Jul''14'!K9/'Tariff Jul''14'!K10-'Tariff Jul''14'!K13)*('Tariff Jul''14'!K23/100)*'Tariff Jul''14'!K10,('Tariff Jul''14'!K14-'Tariff Jul''14'!K13)*('Tariff Jul''14'!K23/100)*'Tariff Jul''14'!K10))</f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2"/>
    </row>
    <row r="17" spans="1:15" x14ac:dyDescent="0.15">
      <c r="A17" s="28" t="s">
        <v>419</v>
      </c>
      <c r="B17" s="32"/>
      <c r="C17" s="36">
        <f>IF(($F5*'Tariff Jul''14'!E9/'Tariff Jul''14'!E10&gt;'Tariff Jul''14'!E14),($F5*'Tariff Jul''14'!E9/'Tariff Jul''14'!E10-'Tariff Jul''14'!E14)*'Tariff Jul''14'!E24/100*'Tariff Jul''14'!E10,0)</f>
        <v>0</v>
      </c>
      <c r="D17" s="36">
        <f>IF(($F5*'Tariff Jul''14'!F9/'Tariff Jul''14'!F10&gt;'Tariff Jul''14'!F14),($F5*'Tariff Jul''14'!F9/'Tariff Jul''14'!F10-'Tariff Jul''14'!F14)*'Tariff Jul''14'!F24/100*'Tariff Jul''14'!F10,0)</f>
        <v>662.80500000000006</v>
      </c>
      <c r="E17" s="36">
        <f>IF(($F5*'Tariff Jul''14'!G9/'Tariff Jul''14'!G10&gt;'Tariff Jul''14'!G14),($F5*'Tariff Jul''14'!G9/'Tariff Jul''14'!G10-'Tariff Jul''14'!G14)*'Tariff Jul''14'!G24/100*'Tariff Jul''14'!G10,0)</f>
        <v>0</v>
      </c>
      <c r="F17" s="36">
        <f>IF(($F5*'Tariff Jul''14'!H9/'Tariff Jul''14'!H10&gt;'Tariff Jul''14'!H14),($F5*'Tariff Jul''14'!H9/'Tariff Jul''14'!H10-'Tariff Jul''14'!H14)*'Tariff Jul''14'!H24/100*'Tariff Jul''14'!H10,0)</f>
        <v>0</v>
      </c>
      <c r="G17" s="36">
        <f>IF(($F5*'Tariff Jul''14'!I9/'Tariff Jul''14'!I10&gt;'Tariff Jul''14'!I14),($F5*'Tariff Jul''14'!I9/'Tariff Jul''14'!I10-'Tariff Jul''14'!I14)*'Tariff Jul''14'!I24/100*'Tariff Jul''14'!I10,0)</f>
        <v>0</v>
      </c>
      <c r="H17" s="36">
        <f>IF(($F5*'Tariff Jul''14'!J9/'Tariff Jul''14'!J10&gt;'Tariff Jul''14'!J14),($F5*'Tariff Jul''14'!J9/'Tariff Jul''14'!J10-'Tariff Jul''14'!J14)*'Tariff Jul''14'!J24/100*'Tariff Jul''14'!J10,0)</f>
        <v>0</v>
      </c>
      <c r="I17" s="36">
        <f>IF(($F5*'Tariff Jul''14'!K9/'Tariff Jul''14'!K10&gt;'Tariff Jul''14'!K14),($F5*'Tariff Jul''14'!K9/'Tariff Jul''14'!K10-'Tariff Jul''14'!K14)*'Tariff Jul''14'!K24/100*'Tariff Jul''14'!K10,0)</f>
        <v>0</v>
      </c>
      <c r="J17" s="36">
        <f>IF(($F5*'Tariff Jul''14'!L9/'Tariff Jul''14'!L10&gt;'Tariff Jul''14'!L14),($F5*'Tariff Jul''14'!L9/'Tariff Jul''14'!L10-'Tariff Jul''14'!L14)*'Tariff Jul''14'!L24/100*'Tariff Jul''14'!L10,0)</f>
        <v>1318.68</v>
      </c>
      <c r="K17" s="36">
        <f>IF(($F5*'Tariff Jul''14'!M9/'Tariff Jul''14'!M10&gt;'Tariff Jul''14'!M14),($F5*'Tariff Jul''14'!M9/'Tariff Jul''14'!M10-'Tariff Jul''14'!M14)*'Tariff Jul''14'!M24/100*'Tariff Jul''14'!M10,0)</f>
        <v>521.40000000000009</v>
      </c>
      <c r="L17" s="36">
        <f>IF(($F5*'Tariff Jul''14'!N9/'Tariff Jul''14'!N10&gt;'Tariff Jul''14'!N14),($F5*'Tariff Jul''14'!N9/'Tariff Jul''14'!N10-'Tariff Jul''14'!N14)*'Tariff Jul''14'!N24/100*'Tariff Jul''14'!N10,0)</f>
        <v>627</v>
      </c>
      <c r="M17" s="36">
        <f>IF(($F5*'Tariff Jul''14'!O9/'Tariff Jul''14'!O10&gt;'Tariff Jul''14'!O14),($F5*'Tariff Jul''14'!O9/'Tariff Jul''14'!O10-'Tariff Jul''14'!O14)*'Tariff Jul''14'!O24/100*'Tariff Jul''14'!O10,0)</f>
        <v>570.56999999999994</v>
      </c>
      <c r="N17" s="36">
        <f>IF(($F5*'Tariff Jul''14'!P9/'Tariff Jul''14'!P10&gt;'Tariff Jul''14'!P14),($F5*'Tariff Jul''14'!P9/'Tariff Jul''14'!P10-'Tariff Jul''14'!P14)*'Tariff Jul''14'!P24/100*'Tariff Jul''14'!P10,0)</f>
        <v>544.83000000000004</v>
      </c>
      <c r="O17" s="32"/>
    </row>
    <row r="18" spans="1:15" x14ac:dyDescent="0.15">
      <c r="A18" s="28" t="s">
        <v>420</v>
      </c>
      <c r="B18" s="32"/>
      <c r="C18" s="36">
        <f>'Tariff Jul''14'!E25*365/100</f>
        <v>256.11685</v>
      </c>
      <c r="D18" s="36">
        <f>'Tariff Jul''14'!F25*365/100</f>
        <v>296.26684999999998</v>
      </c>
      <c r="E18" s="36">
        <f>'Tariff Jul''14'!G25*365/100</f>
        <v>297.11</v>
      </c>
      <c r="F18" s="36">
        <f>'Tariff Jul''14'!H25*365/100</f>
        <v>292.04306999999994</v>
      </c>
      <c r="G18" s="36">
        <f>'Tariff Jul''14'!I25*365/100</f>
        <v>272.77909999999997</v>
      </c>
      <c r="H18" s="36">
        <f>'Tariff Jul''14'!J25*365/100</f>
        <v>276.36559</v>
      </c>
      <c r="I18" s="36">
        <f>'Tariff Jul''14'!K25*365/100</f>
        <v>327.82474999999999</v>
      </c>
      <c r="J18" s="36">
        <f>'Tariff Jul''14'!L25*365/100</f>
        <v>275.75020000000001</v>
      </c>
      <c r="K18" s="36">
        <f>'Tariff Jul''14'!M25*365/100</f>
        <v>287.87550000000005</v>
      </c>
      <c r="L18" s="36">
        <f>'Tariff Jul''14'!N25*365/100</f>
        <v>260.97500000000002</v>
      </c>
      <c r="M18" s="36">
        <f>'Tariff Jul''14'!O25*365/100</f>
        <v>275.00019799999995</v>
      </c>
      <c r="N18" s="36">
        <f>'Tariff Jul''14'!P25*365/100</f>
        <v>264.98999999999995</v>
      </c>
      <c r="O18" s="37">
        <f>AVERAGE(C18:N18)</f>
        <v>281.92475899999999</v>
      </c>
    </row>
    <row r="19" spans="1:15" x14ac:dyDescent="0.15">
      <c r="A19" s="38" t="s">
        <v>505</v>
      </c>
      <c r="B19" s="32"/>
      <c r="C19" s="39">
        <f>SUM(C8:C18)</f>
        <v>2489.9418499999997</v>
      </c>
      <c r="D19" s="39">
        <f t="shared" ref="D19:M19" si="0">SUM(D8:D18)</f>
        <v>2667.2068500000005</v>
      </c>
      <c r="E19" s="39">
        <f t="shared" si="0"/>
        <v>2629.11</v>
      </c>
      <c r="F19" s="39">
        <f t="shared" si="0"/>
        <v>2458.8230700000004</v>
      </c>
      <c r="G19" s="39">
        <f t="shared" si="0"/>
        <v>2447.5231000000003</v>
      </c>
      <c r="H19" s="39">
        <f>SUM(H8:H18)</f>
        <v>2343.8235100000002</v>
      </c>
      <c r="I19" s="39">
        <f t="shared" si="0"/>
        <v>2563.8607499999998</v>
      </c>
      <c r="J19" s="39">
        <f t="shared" si="0"/>
        <v>2474.6061999999997</v>
      </c>
      <c r="K19" s="39">
        <f t="shared" si="0"/>
        <v>2304.1755000000003</v>
      </c>
      <c r="L19" s="39">
        <f>SUM(L8:L18)</f>
        <v>2403.7750000000001</v>
      </c>
      <c r="M19" s="39">
        <f t="shared" si="0"/>
        <v>2387.4401979999993</v>
      </c>
      <c r="N19" s="39">
        <f>SUM(N8:N18)</f>
        <v>2248.9499999999998</v>
      </c>
      <c r="O19" s="39">
        <f>AVERAGE(C19:N19)</f>
        <v>2451.6030023333337</v>
      </c>
    </row>
    <row r="20" spans="1:15" x14ac:dyDescent="0.15">
      <c r="A20" s="28"/>
      <c r="B20" s="32"/>
      <c r="C20" s="28"/>
      <c r="D20" s="28"/>
      <c r="E20" s="28"/>
      <c r="F20" s="28"/>
      <c r="G20" s="28"/>
      <c r="H20" s="28"/>
      <c r="I20" s="28"/>
      <c r="J20" s="28"/>
      <c r="K20" s="28"/>
      <c r="L20" s="28"/>
      <c r="O20" s="28"/>
    </row>
    <row r="21" spans="1:15" x14ac:dyDescent="0.15">
      <c r="A21" s="28"/>
      <c r="B21" s="32"/>
      <c r="C21" s="28"/>
      <c r="D21" s="28"/>
      <c r="E21" s="28"/>
      <c r="F21" s="28"/>
      <c r="G21" s="28"/>
      <c r="H21" s="28"/>
      <c r="I21" s="28"/>
      <c r="J21" s="28"/>
      <c r="K21" s="28"/>
      <c r="L21" s="28"/>
      <c r="O21" s="28"/>
    </row>
    <row r="22" spans="1:15" x14ac:dyDescent="0.15">
      <c r="A22" s="33" t="s">
        <v>506</v>
      </c>
      <c r="B22" s="32"/>
      <c r="C22" s="33" t="s">
        <v>362</v>
      </c>
      <c r="D22" s="28"/>
      <c r="E22" s="28"/>
      <c r="F22" s="10">
        <v>7500</v>
      </c>
      <c r="G22" s="28"/>
      <c r="H22" s="28"/>
      <c r="I22" s="28"/>
      <c r="J22" s="28"/>
      <c r="K22" s="28"/>
      <c r="L22" s="28"/>
      <c r="O22" s="28"/>
    </row>
    <row r="23" spans="1:15" x14ac:dyDescent="0.15">
      <c r="A23" s="33" t="s">
        <v>507</v>
      </c>
      <c r="B23" s="32"/>
      <c r="C23" s="33" t="s">
        <v>456</v>
      </c>
      <c r="D23" s="28"/>
      <c r="E23" s="28"/>
      <c r="F23" s="11">
        <v>0.8</v>
      </c>
      <c r="G23" s="28"/>
      <c r="H23" s="28"/>
      <c r="I23" s="28"/>
      <c r="J23" s="28"/>
      <c r="K23" s="28"/>
      <c r="L23" s="28"/>
      <c r="O23" s="28"/>
    </row>
    <row r="24" spans="1:15" x14ac:dyDescent="0.15">
      <c r="A24" s="28"/>
      <c r="B24" s="32"/>
      <c r="C24" s="33" t="s">
        <v>199</v>
      </c>
      <c r="D24" s="28"/>
      <c r="E24" s="28"/>
      <c r="F24" s="11">
        <v>0.2</v>
      </c>
      <c r="G24" s="28"/>
      <c r="H24" s="28"/>
      <c r="I24" s="28"/>
      <c r="J24" s="28"/>
      <c r="K24" s="28"/>
      <c r="L24" s="28"/>
      <c r="O24" s="28"/>
    </row>
    <row r="25" spans="1:15" x14ac:dyDescent="0.15">
      <c r="A25" s="28"/>
      <c r="B25" s="40"/>
      <c r="C25" s="28"/>
      <c r="D25" s="28"/>
      <c r="E25" s="28"/>
      <c r="F25" s="28"/>
      <c r="G25" s="28"/>
      <c r="H25" s="28"/>
      <c r="I25" s="28"/>
      <c r="J25" s="28"/>
      <c r="K25" s="28"/>
      <c r="L25" s="28"/>
      <c r="O25" s="28"/>
    </row>
    <row r="26" spans="1:15" x14ac:dyDescent="0.15">
      <c r="A26" s="34" t="s">
        <v>249</v>
      </c>
      <c r="B26" s="40"/>
      <c r="C26" s="9" t="s">
        <v>200</v>
      </c>
      <c r="D26" s="9" t="s">
        <v>181</v>
      </c>
      <c r="E26" s="9" t="s">
        <v>386</v>
      </c>
      <c r="F26" s="9" t="s">
        <v>438</v>
      </c>
      <c r="G26" s="9" t="s">
        <v>470</v>
      </c>
      <c r="H26" s="9" t="s">
        <v>248</v>
      </c>
      <c r="I26" s="9" t="s">
        <v>440</v>
      </c>
      <c r="J26" s="9" t="s">
        <v>263</v>
      </c>
      <c r="K26" s="9" t="s">
        <v>203</v>
      </c>
      <c r="L26" s="9" t="s">
        <v>287</v>
      </c>
      <c r="M26" s="9" t="s">
        <v>204</v>
      </c>
      <c r="N26" s="9" t="s">
        <v>246</v>
      </c>
      <c r="O26" s="9" t="s">
        <v>594</v>
      </c>
    </row>
    <row r="27" spans="1:15" x14ac:dyDescent="0.15">
      <c r="A27" s="28" t="s">
        <v>243</v>
      </c>
      <c r="B27" s="32"/>
      <c r="C27" s="36">
        <f>IF(($F22*$F23)*'Tariff Jul''14'!E29/'Tariff Jul''14'!E30&gt;='Tariff Jul''14'!E33,('Tariff Jul''14'!E33*'Tariff Jul''14'!E38/100)*'Tariff Jul''14'!E30,(($F22*$F23)*('Tariff Jul''14'!E29/'Tariff Jul''14'!E30)*('Tariff Jul''14'!E38/100)*'Tariff Jul''14'!E30))</f>
        <v>106.72199999999999</v>
      </c>
      <c r="D27" s="36">
        <f>IF(($F22*$F23)*'Tariff Jul''14'!F29/'Tariff Jul''14'!F30&gt;='Tariff Jul''14'!F33,('Tariff Jul''14'!F33*'Tariff Jul''14'!F38/100)*'Tariff Jul''14'!F30,(($F22*$F23)*('Tariff Jul''14'!F29/'Tariff Jul''14'!F30)*('Tariff Jul''14'!F38/100)*'Tariff Jul''14'!F30))</f>
        <v>371.8</v>
      </c>
      <c r="E27" s="36">
        <f>IF(($F22*$F23)*'Tariff Jul''14'!G29/'Tariff Jul''14'!G30&gt;='Tariff Jul''14'!G33,('Tariff Jul''14'!G33*'Tariff Jul''14'!G38/100)*'Tariff Jul''14'!G30,(($F22*$F23)*('Tariff Jul''14'!G29/'Tariff Jul''14'!G30)*('Tariff Jul''14'!G38/100)*'Tariff Jul''14'!G30))</f>
        <v>393.8</v>
      </c>
      <c r="F27" s="36">
        <f>IF(($F22*$F23)*'Tariff Jul''14'!H29/'Tariff Jul''14'!H30&gt;='Tariff Jul''14'!H33,('Tariff Jul''14'!H33*'Tariff Jul''14'!H38/100)*'Tariff Jul''14'!H30,(($F22*$F23)*('Tariff Jul''14'!H29/'Tariff Jul''14'!H30)*('Tariff Jul''14'!H38/100)*'Tariff Jul''14'!H30))</f>
        <v>101.40899999999999</v>
      </c>
      <c r="G27" s="36">
        <f>IF(($F22*$F23)*'Tariff Jul''14'!I29/'Tariff Jul''14'!I30&gt;='Tariff Jul''14'!I33,('Tariff Jul''14'!I33*'Tariff Jul''14'!I38/100)*'Tariff Jul''14'!I30,(($F22*$F23)*('Tariff Jul''14'!I29/'Tariff Jul''14'!I30)*('Tariff Jul''14'!I38/100)*'Tariff Jul''14'!I30))</f>
        <v>104.84100000000001</v>
      </c>
      <c r="H27" s="36">
        <f>IF(($F22*$F23)*'Tariff Jul''14'!J29/'Tariff Jul''14'!J30&gt;='Tariff Jul''14'!J33,('Tariff Jul''14'!J33*'Tariff Jul''14'!J38/100)*'Tariff Jul''14'!J30,(($F22*$F23)*('Tariff Jul''14'!J29/'Tariff Jul''14'!J30)*('Tariff Jul''14'!J38/100)*'Tariff Jul''14'!J30))</f>
        <v>94.779629999999997</v>
      </c>
      <c r="I27" s="36">
        <f>IF(($F22*$F23)*'Tariff Jul''14'!K29/'Tariff Jul''14'!K30&gt;='Tariff Jul''14'!K33,('Tariff Jul''14'!K33*'Tariff Jul''14'!K38/100)*'Tariff Jul''14'!K30,(($F22*$F23)*('Tariff Jul''14'!K29/'Tariff Jul''14'!K30)*('Tariff Jul''14'!K38/100)*'Tariff Jul''14'!K30))</f>
        <v>105.13799999999999</v>
      </c>
      <c r="J27" s="36">
        <f>IF(($F22*$F23)*'Tariff Jul''14'!L29/'Tariff Jul''14'!L30&gt;='Tariff Jul''14'!L33,('Tariff Jul''14'!L33*'Tariff Jul''14'!L38/100)*'Tariff Jul''14'!L30,(($F22*$F23)*('Tariff Jul''14'!L29/'Tariff Jul''14'!L30)*('Tariff Jul''14'!L38/100)*'Tariff Jul''14'!L30))</f>
        <v>110.05500000000001</v>
      </c>
      <c r="K27" s="36">
        <f>IF(($F22*$F23)*'Tariff Jul''14'!M29/'Tariff Jul''14'!M30&gt;='Tariff Jul''14'!M33,('Tariff Jul''14'!M33*'Tariff Jul''14'!M38/100)*'Tariff Jul''14'!M30,(($F22*$F23)*('Tariff Jul''14'!M29/'Tariff Jul''14'!M30)*('Tariff Jul''14'!M38/100)*'Tariff Jul''14'!M30))</f>
        <v>101.64</v>
      </c>
      <c r="L27" s="36">
        <f>IF(($F22*$F23)*'Tariff Jul''14'!N29/'Tariff Jul''14'!N30&gt;='Tariff Jul''14'!N33,('Tariff Jul''14'!N33*'Tariff Jul''14'!N38/100)*'Tariff Jul''14'!N30,(($F22*$F23)*('Tariff Jul''14'!N29/'Tariff Jul''14'!N30)*('Tariff Jul''14'!N38/100)*'Tariff Jul''14'!N30))</f>
        <v>98.01</v>
      </c>
      <c r="M27" s="36">
        <f>IF(($F22*$F23)*'Tariff Jul''14'!O29/'Tariff Jul''14'!O30&gt;='Tariff Jul''14'!O33,('Tariff Jul''14'!O33*'Tariff Jul''14'!O38/100)*'Tariff Jul''14'!O30,(($F22*$F23)*('Tariff Jul''14'!O29/'Tariff Jul''14'!O30)*('Tariff Jul''14'!O38/100)*'Tariff Jul''14'!O30))</f>
        <v>337.92</v>
      </c>
      <c r="N27" s="36">
        <f>IF(($F22*$F23)*'Tariff Jul''14'!P29/'Tariff Jul''14'!P30&gt;='Tariff Jul''14'!P33,('Tariff Jul''14'!P33*'Tariff Jul''14'!P38/100)*'Tariff Jul''14'!P30,(($F22*$F23)*('Tariff Jul''14'!P29/'Tariff Jul''14'!P30)*('Tariff Jul''14'!P38/100)*'Tariff Jul''14'!P30))</f>
        <v>314.38</v>
      </c>
      <c r="O27" s="32"/>
    </row>
    <row r="28" spans="1:15" x14ac:dyDescent="0.15">
      <c r="A28" s="28" t="s">
        <v>317</v>
      </c>
      <c r="B28" s="32"/>
      <c r="C28" s="36">
        <f>IF(($F22*$F23)*'Tariff Jul''14'!E29/'Tariff Jul''14'!E30&lt;'Tariff Jul''14'!E33,0,IF(($F22*$F23)*'Tariff Jul''14'!E29/'Tariff Jul''14'!E30&lt;='Tariff Jul''14'!E34,(($F22*$F23)*'Tariff Jul''14'!E29/'Tariff Jul''14'!E30-'Tariff Jul''14'!E33)*('Tariff Jul''14'!E39/100)*'Tariff Jul''14'!E30,('Tariff Jul''14'!E34-'Tariff Jul''14'!E33)*('Tariff Jul''14'!E39/100)*'Tariff Jul''14'!E30))</f>
        <v>270.34699999999998</v>
      </c>
      <c r="D28" s="36">
        <f>IF(($F22*$F23)*'Tariff Jul''14'!F29/'Tariff Jul''14'!F30&lt;'Tariff Jul''14'!F33,0,IF(($F22*$F23)*'Tariff Jul''14'!F29/'Tariff Jul''14'!F30&lt;='Tariff Jul''14'!F34,(($F22*$F23)*'Tariff Jul''14'!F29/'Tariff Jul''14'!F30-'Tariff Jul''14'!F33)*('Tariff Jul''14'!F39/100)*'Tariff Jul''14'!F30,('Tariff Jul''14'!F34-'Tariff Jul''14'!F33)*('Tariff Jul''14'!F39/100)*'Tariff Jul''14'!F30))</f>
        <v>0</v>
      </c>
      <c r="E28" s="36">
        <f>IF(($F22*$F23)*'Tariff Jul''14'!G29/'Tariff Jul''14'!G30&lt;'Tariff Jul''14'!G33,0,IF(($F22*$F23)*'Tariff Jul''14'!G29/'Tariff Jul''14'!G30&lt;='Tariff Jul''14'!G34,(($F22*$F23)*'Tariff Jul''14'!G29/'Tariff Jul''14'!G30-'Tariff Jul''14'!G33)*('Tariff Jul''14'!G39/100)*'Tariff Jul''14'!G30,('Tariff Jul''14'!G34-'Tariff Jul''14'!G33)*('Tariff Jul''14'!G39/100)*'Tariff Jul''14'!G30))</f>
        <v>218.9</v>
      </c>
      <c r="F28" s="36">
        <f>IF(($F22*$F23)*'Tariff Jul''14'!H29/'Tariff Jul''14'!H30&lt;'Tariff Jul''14'!H33,0,IF(($F22*$F23)*'Tariff Jul''14'!H29/'Tariff Jul''14'!H30&lt;='Tariff Jul''14'!H34,(($F22*$F23)*'Tariff Jul''14'!H29/'Tariff Jul''14'!H30-'Tariff Jul''14'!H33)*('Tariff Jul''14'!H39/100)*'Tariff Jul''14'!H30,('Tariff Jul''14'!H34-'Tariff Jul''14'!H33)*('Tariff Jul''14'!H39/100)*'Tariff Jul''14'!H30))</f>
        <v>240.85599999999999</v>
      </c>
      <c r="G28" s="36">
        <f>IF(($F22*$F23)*'Tariff Jul''14'!I29/'Tariff Jul''14'!I30&lt;'Tariff Jul''14'!I33,0,IF(($F22*$F23)*'Tariff Jul''14'!I29/'Tariff Jul''14'!I30&lt;='Tariff Jul''14'!I34,(($F22*$F23)*'Tariff Jul''14'!I29/'Tariff Jul''14'!I30-'Tariff Jul''14'!I33)*('Tariff Jul''14'!I39/100)*'Tariff Jul''14'!I30,('Tariff Jul''14'!I34-'Tariff Jul''14'!I33)*('Tariff Jul''14'!I39/100)*'Tariff Jul''14'!I30))</f>
        <v>266.65100000000001</v>
      </c>
      <c r="H28" s="36">
        <f>IF(($F22*$F23)*'Tariff Jul''14'!J29/'Tariff Jul''14'!J30&lt;'Tariff Jul''14'!J33,0,IF(($F22*$F23)*'Tariff Jul''14'!J29/'Tariff Jul''14'!J30&lt;='Tariff Jul''14'!J34,(($F22*$F23)*'Tariff Jul''14'!J29/'Tariff Jul''14'!J30-'Tariff Jul''14'!J33)*('Tariff Jul''14'!J39/100)*'Tariff Jul''14'!J30,('Tariff Jul''14'!J34-'Tariff Jul''14'!J33)*('Tariff Jul''14'!J39/100)*'Tariff Jul''14'!J30))</f>
        <v>229.22515000000004</v>
      </c>
      <c r="I28" s="36">
        <f>IF(($F22*$F23)*'Tariff Jul''14'!K29/'Tariff Jul''14'!K30&lt;'Tariff Jul''14'!K33,0,IF(($F22*$F23)*'Tariff Jul''14'!K29/'Tariff Jul''14'!K30&lt;='Tariff Jul''14'!K34,(($F22*$F23)*'Tariff Jul''14'!K29/'Tariff Jul''14'!K30-'Tariff Jul''14'!K33)*('Tariff Jul''14'!K39/100)*'Tariff Jul''14'!K30,('Tariff Jul''14'!K34-'Tariff Jul''14'!K33)*('Tariff Jul''14'!K39/100)*'Tariff Jul''14'!K30))</f>
        <v>249.71099999999998</v>
      </c>
      <c r="J28" s="36">
        <f>IF(($F22*$F23)*'Tariff Jul''14'!L29/'Tariff Jul''14'!L30&lt;'Tariff Jul''14'!L33,0,IF(($F22*$F23)*'Tariff Jul''14'!L29/'Tariff Jul''14'!L30&lt;='Tariff Jul''14'!L34,(($F22*$F23)*'Tariff Jul''14'!L29/'Tariff Jul''14'!L30-'Tariff Jul''14'!L33)*('Tariff Jul''14'!L39/100)*'Tariff Jul''14'!L30,('Tariff Jul''14'!L34-'Tariff Jul''14'!L33)*('Tariff Jul''14'!L39/100)*'Tariff Jul''14'!L30))</f>
        <v>0</v>
      </c>
      <c r="K28" s="36">
        <f>IF(($F22*$F23)*'Tariff Jul''14'!M29/'Tariff Jul''14'!M30&lt;'Tariff Jul''14'!M33,0,IF(($F22*$F23)*'Tariff Jul''14'!M29/'Tariff Jul''14'!M30&lt;='Tariff Jul''14'!M34,(($F22*$F23)*'Tariff Jul''14'!M29/'Tariff Jul''14'!M30-'Tariff Jul''14'!M33)*('Tariff Jul''14'!M39/100)*'Tariff Jul''14'!M30,('Tariff Jul''14'!M34-'Tariff Jul''14'!M33)*('Tariff Jul''14'!M39/100)*'Tariff Jul''14'!M30))</f>
        <v>248.71</v>
      </c>
      <c r="L28" s="36">
        <f>IF(($F22*$F23)*'Tariff Jul''14'!N29/'Tariff Jul''14'!N30&lt;'Tariff Jul''14'!N33,0,IF(($F22*$F23)*'Tariff Jul''14'!N29/'Tariff Jul''14'!N30&lt;='Tariff Jul''14'!N34,(($F22*$F23)*'Tariff Jul''14'!N29/'Tariff Jul''14'!N30-'Tariff Jul''14'!N33)*('Tariff Jul''14'!N39/100)*'Tariff Jul''14'!N30,('Tariff Jul''14'!N34-'Tariff Jul''14'!N33)*('Tariff Jul''14'!N39/100)*'Tariff Jul''14'!N30))</f>
        <v>228.69</v>
      </c>
      <c r="M28" s="36">
        <f>IF(($F22*$F23)*'Tariff Jul''14'!O29/'Tariff Jul''14'!O30&lt;'Tariff Jul''14'!O33,0,IF(($F22*$F23)*'Tariff Jul''14'!O29/'Tariff Jul''14'!O30&lt;='Tariff Jul''14'!O34,(($F22*$F23)*'Tariff Jul''14'!O29/'Tariff Jul''14'!O30-'Tariff Jul''14'!O33)*('Tariff Jul''14'!O39/100)*'Tariff Jul''14'!O30,('Tariff Jul''14'!O34-'Tariff Jul''14'!O33)*('Tariff Jul''14'!O39/100)*'Tariff Jul''14'!O30))</f>
        <v>0</v>
      </c>
      <c r="N28" s="36">
        <f>IF(($F22*$F23)*'Tariff Jul''14'!P29/'Tariff Jul''14'!P30&lt;'Tariff Jul''14'!P33,0,IF(($F22*$F23)*'Tariff Jul''14'!P29/'Tariff Jul''14'!P30&lt;='Tariff Jul''14'!P34,(($F22*$F23)*'Tariff Jul''14'!P29/'Tariff Jul''14'!P30-'Tariff Jul''14'!P33)*('Tariff Jul''14'!P39/100)*'Tariff Jul''14'!P30,('Tariff Jul''14'!P34-'Tariff Jul''14'!P33)*('Tariff Jul''14'!P39/100)*'Tariff Jul''14'!P30))</f>
        <v>0</v>
      </c>
      <c r="O28" s="32"/>
    </row>
    <row r="29" spans="1:15" x14ac:dyDescent="0.15">
      <c r="A29" s="28" t="s">
        <v>250</v>
      </c>
      <c r="B29" s="32"/>
      <c r="C29" s="36">
        <f>IF(($F22*$F23)*'Tariff Jul''14'!E29/'Tariff Jul''14'!E30&lt;'Tariff Jul''14'!E34,0,IF(($F22*$F23)*'Tariff Jul''14'!E29/'Tariff Jul''14'!E30&lt;='Tariff Jul''14'!E35,(($F22*$F23)*'Tariff Jul''14'!E29/'Tariff Jul''14'!E30-'Tariff Jul''14'!E34)*('Tariff Jul''14'!E40/100)*'Tariff Jul''14'!E30,('Tariff Jul''14'!E35-'Tariff Jul''14'!E34)*('Tariff Jul''14'!E40/100)*'Tariff Jul''14'!E30))</f>
        <v>223.02499999999998</v>
      </c>
      <c r="D29" s="36">
        <f>IF(($F22*$F23)*'Tariff Jul''14'!F29/'Tariff Jul''14'!F30&lt;'Tariff Jul''14'!F34,0,IF(($F22*$F23)*'Tariff Jul''14'!F29/'Tariff Jul''14'!F30&lt;='Tariff Jul''14'!F35,(($F22*$F23)*'Tariff Jul''14'!F29/'Tariff Jul''14'!F30-'Tariff Jul''14'!F34)*('Tariff Jul''14'!F40/100)*'Tariff Jul''14'!F30,('Tariff Jul''14'!F35-'Tariff Jul''14'!F34)*('Tariff Jul''14'!F40/100)*'Tariff Jul''14'!F30))</f>
        <v>0</v>
      </c>
      <c r="E29" s="36">
        <f>IF(($F22*$F23)*'Tariff Jul''14'!G29/'Tariff Jul''14'!G30&lt;'Tariff Jul''14'!G34,0,IF(($F22*$F23)*'Tariff Jul''14'!G29/'Tariff Jul''14'!G30&lt;='Tariff Jul''14'!G35,(($F22*$F23)*'Tariff Jul''14'!G29/'Tariff Jul''14'!G30-'Tariff Jul''14'!G34)*('Tariff Jul''14'!G40/100)*'Tariff Jul''14'!G30,('Tariff Jul''14'!G35-'Tariff Jul''14'!G34)*('Tariff Jul''14'!G40/100)*'Tariff Jul''14'!G30))</f>
        <v>0</v>
      </c>
      <c r="F29" s="36">
        <f>IF(($F22*$F23)*'Tariff Jul''14'!H29/'Tariff Jul''14'!H30&lt;'Tariff Jul''14'!H34,0,IF(($F22*$F23)*'Tariff Jul''14'!H29/'Tariff Jul''14'!H30&lt;='Tariff Jul''14'!H35,(($F22*$F23)*'Tariff Jul''14'!H29/'Tariff Jul''14'!H30-'Tariff Jul''14'!H34)*('Tariff Jul''14'!H40/100)*'Tariff Jul''14'!H30,('Tariff Jul''14'!H35-'Tariff Jul''14'!H34)*('Tariff Jul''14'!H40/100)*'Tariff Jul''14'!H30))</f>
        <v>199.43000000000004</v>
      </c>
      <c r="G29" s="36">
        <f>IF(($F22*$F23)*'Tariff Jul''14'!I29/'Tariff Jul''14'!I30&lt;'Tariff Jul''14'!I34,0,IF(($F22*$F23)*'Tariff Jul''14'!I29/'Tariff Jul''14'!I30&lt;='Tariff Jul''14'!I35,(($F22*$F23)*'Tariff Jul''14'!I29/'Tariff Jul''14'!I30-'Tariff Jul''14'!I34)*('Tariff Jul''14'!I40/100)*'Tariff Jul''14'!I30,('Tariff Jul''14'!I35-'Tariff Jul''14'!I34)*('Tariff Jul''14'!I40/100)*'Tariff Jul''14'!I30))</f>
        <v>214.99500000000003</v>
      </c>
      <c r="H29" s="36">
        <f>IF(($F22*$F23)*'Tariff Jul''14'!J29/'Tariff Jul''14'!J30&lt;'Tariff Jul''14'!J34,0,IF(($F22*$F23)*'Tariff Jul''14'!J29/'Tariff Jul''14'!J30&lt;='Tariff Jul''14'!J35,(($F22*$F23)*'Tariff Jul''14'!J29/'Tariff Jul''14'!J30-'Tariff Jul''14'!J34)*('Tariff Jul''14'!J40/100)*'Tariff Jul''14'!J30,('Tariff Jul''14'!J35-'Tariff Jul''14'!J34)*('Tariff Jul''14'!J40/100)*'Tariff Jul''14'!J30))</f>
        <v>192.8597</v>
      </c>
      <c r="I29" s="36">
        <f>IF(($F22*$F23)*'Tariff Jul''14'!K29/'Tariff Jul''14'!K30&lt;'Tariff Jul''14'!K34,0,IF(($F22*$F23)*'Tariff Jul''14'!K29/'Tariff Jul''14'!K30&lt;='Tariff Jul''14'!K35,(($F22*$F23)*'Tariff Jul''14'!K29/'Tariff Jul''14'!K30-'Tariff Jul''14'!K34)*('Tariff Jul''14'!K40/100)*'Tariff Jul''14'!K30,('Tariff Jul''14'!K35-'Tariff Jul''14'!K34)*('Tariff Jul''14'!K40/100)*'Tariff Jul''14'!K30))</f>
        <v>204.16</v>
      </c>
      <c r="J29" s="36">
        <f>IF(($F22*$F23)*'Tariff Jul''14'!L29/'Tariff Jul''14'!L30&lt;'Tariff Jul''14'!L34,0,IF(($F22*$F23)*'Tariff Jul''14'!L29/'Tariff Jul''14'!L30&lt;='Tariff Jul''14'!L35,(($F22*$F23)*'Tariff Jul''14'!L29/'Tariff Jul''14'!L30-'Tariff Jul''14'!L34)*('Tariff Jul''14'!L40/100)*'Tariff Jul''14'!L30,('Tariff Jul''14'!L35-'Tariff Jul''14'!L34)*('Tariff Jul''14'!L40/100)*'Tariff Jul''14'!L30))</f>
        <v>0</v>
      </c>
      <c r="K29" s="36">
        <f>IF(($F22*$F23)*'Tariff Jul''14'!M29/'Tariff Jul''14'!M30&lt;'Tariff Jul''14'!M34,0,IF(($F22*$F23)*'Tariff Jul''14'!M29/'Tariff Jul''14'!M30&lt;='Tariff Jul''14'!M35,(($F22*$F23)*'Tariff Jul''14'!M29/'Tariff Jul''14'!M30-'Tariff Jul''14'!M34)*('Tariff Jul''14'!M40/100)*'Tariff Jul''14'!M30,('Tariff Jul''14'!M35-'Tariff Jul''14'!M34)*('Tariff Jul''14'!M40/100)*'Tariff Jul''14'!M30))</f>
        <v>0</v>
      </c>
      <c r="L29" s="36">
        <f>IF(($F22*$F23)*'Tariff Jul''14'!N29/'Tariff Jul''14'!N30&lt;'Tariff Jul''14'!N34,0,IF(($F22*$F23)*'Tariff Jul''14'!N29/'Tariff Jul''14'!N30&lt;='Tariff Jul''14'!N35,(($F22*$F23)*'Tariff Jul''14'!N29/'Tariff Jul''14'!N30-'Tariff Jul''14'!N34)*('Tariff Jul''14'!N40/100)*'Tariff Jul''14'!N30,('Tariff Jul''14'!N35-'Tariff Jul''14'!N34)*('Tariff Jul''14'!N40/100)*'Tariff Jul''14'!N30))</f>
        <v>0</v>
      </c>
      <c r="M29" s="36">
        <f>IF(($F22*$F23)*'Tariff Jul''14'!O29/'Tariff Jul''14'!O30&lt;'Tariff Jul''14'!O34,0,IF(($F22*$F23)*'Tariff Jul''14'!O29/'Tariff Jul''14'!O30&lt;='Tariff Jul''14'!O35,(($F22*$F23)*'Tariff Jul''14'!O29/'Tariff Jul''14'!O30-'Tariff Jul''14'!O34)*('Tariff Jul''14'!O40/100)*'Tariff Jul''14'!O30,('Tariff Jul''14'!O35-'Tariff Jul''14'!O34)*('Tariff Jul''14'!O40/100)*'Tariff Jul''14'!O30))</f>
        <v>0</v>
      </c>
      <c r="N29" s="36">
        <f>IF(($F22*$F23)*'Tariff Jul''14'!P29/'Tariff Jul''14'!P30&lt;'Tariff Jul''14'!P34,0,IF(($F22*$F23)*'Tariff Jul''14'!P29/'Tariff Jul''14'!P30&lt;='Tariff Jul''14'!P35,(($F22*$F23)*'Tariff Jul''14'!P29/'Tariff Jul''14'!P30-'Tariff Jul''14'!P34)*('Tariff Jul''14'!P40/100)*'Tariff Jul''14'!P30,('Tariff Jul''14'!P35-'Tariff Jul''14'!P34)*('Tariff Jul''14'!P40/100)*'Tariff Jul''14'!P30))</f>
        <v>0</v>
      </c>
      <c r="O29" s="32"/>
    </row>
    <row r="30" spans="1:15" x14ac:dyDescent="0.15">
      <c r="A30" s="28" t="s">
        <v>251</v>
      </c>
      <c r="B30" s="32"/>
      <c r="C30" s="36">
        <f>IF(($F22*$F23)*'Tariff Jul''14'!E29/'Tariff Jul''14'!E30&lt;'Tariff Jul''14'!E35,0,IF(($F22*$F23)*'Tariff Jul''14'!E29/'Tariff Jul''14'!E30&lt;='Tariff Jul''14'!E36,(($F22*$F23)*'Tariff Jul''14'!E29/'Tariff Jul''14'!E30-'Tariff Jul''14'!E35)*('Tariff Jul''14'!E41/100)*'Tariff Jul''14'!E30,('Tariff Jul''14'!E36-'Tariff Jul''14'!E35)*('Tariff Jul''14'!E41/100)*'Tariff Jul''14'!E30))</f>
        <v>0</v>
      </c>
      <c r="D30" s="36">
        <f>IF(($F22*$F23)*'Tariff Jul''14'!F29/'Tariff Jul''14'!F30&lt;'Tariff Jul''14'!F35,0,IF(($F22*$F23)*'Tariff Jul''14'!F29/'Tariff Jul''14'!F30&lt;='Tariff Jul''14'!F36,(($F22*$F23)*'Tariff Jul''14'!F29/'Tariff Jul''14'!F30-'Tariff Jul''14'!F35)*('Tariff Jul''14'!F41/100)*'Tariff Jul''14'!F30,('Tariff Jul''14'!F36-'Tariff Jul''14'!F35)*('Tariff Jul''14'!F41/100)*'Tariff Jul''14'!F30))</f>
        <v>0</v>
      </c>
      <c r="E30" s="36">
        <f>IF(($F22*$F23)*'Tariff Jul''14'!G29/'Tariff Jul''14'!G30&lt;'Tariff Jul''14'!G35,0,IF(($F22*$F23)*'Tariff Jul''14'!G29/'Tariff Jul''14'!G30&lt;='Tariff Jul''14'!G36,(($F22*$F23)*'Tariff Jul''14'!G29/'Tariff Jul''14'!G30-'Tariff Jul''14'!G35)*('Tariff Jul''14'!G41/100)*'Tariff Jul''14'!G30,('Tariff Jul''14'!G36-'Tariff Jul''14'!G35)*('Tariff Jul''14'!G41/100)*'Tariff Jul''14'!G30))</f>
        <v>0</v>
      </c>
      <c r="F30" s="36">
        <f>IF(($F22*$F23)*'Tariff Jul''14'!H29/'Tariff Jul''14'!H30&lt;'Tariff Jul''14'!H35,0,IF(($F22*$F23)*'Tariff Jul''14'!H29/'Tariff Jul''14'!H30&lt;='Tariff Jul''14'!H36,(($F22*$F23)*'Tariff Jul''14'!H29/'Tariff Jul''14'!H30-'Tariff Jul''14'!H35)*('Tariff Jul''14'!H41/100)*'Tariff Jul''14'!H30,('Tariff Jul''14'!H36-'Tariff Jul''14'!H35)*('Tariff Jul''14'!H41/100)*'Tariff Jul''14'!H30))</f>
        <v>0</v>
      </c>
      <c r="G30" s="36">
        <f>IF(($F22*$F23)*'Tariff Jul''14'!I29/'Tariff Jul''14'!I30&lt;'Tariff Jul''14'!I35,0,IF(($F22*$F23)*'Tariff Jul''14'!I29/'Tariff Jul''14'!I30&lt;='Tariff Jul''14'!I36,(($F22*$F23)*'Tariff Jul''14'!I29/'Tariff Jul''14'!I30-'Tariff Jul''14'!I35)*('Tariff Jul''14'!I41/100)*'Tariff Jul''14'!I30,('Tariff Jul''14'!I36-'Tariff Jul''14'!I35)*('Tariff Jul''14'!I41/100)*'Tariff Jul''14'!I30))</f>
        <v>0</v>
      </c>
      <c r="H30" s="36">
        <f>IF(($F22*$F23)*'Tariff Jul''14'!J29/'Tariff Jul''14'!J30&lt;'Tariff Jul''14'!J35,0,IF(($F22*$F23)*'Tariff Jul''14'!J29/'Tariff Jul''14'!J30&lt;='Tariff Jul''14'!J36,(($F22*$F23)*'Tariff Jul''14'!J29/'Tariff Jul''14'!J30-'Tariff Jul''14'!J35)*('Tariff Jul''14'!J41/100)*'Tariff Jul''14'!J30,('Tariff Jul''14'!J36-'Tariff Jul''14'!J35)*('Tariff Jul''14'!J41/100)*'Tariff Jul''14'!J30))</f>
        <v>0</v>
      </c>
      <c r="I30" s="36">
        <f>IF(($F22*$F23)*'Tariff Jul''14'!K29/'Tariff Jul''14'!K30&lt;'Tariff Jul''14'!K35,0,IF(($F22*$F23)*'Tariff Jul''14'!K29/'Tariff Jul''14'!K30&lt;='Tariff Jul''14'!K36,(($F22*$F23)*'Tariff Jul''14'!K29/'Tariff Jul''14'!K30-'Tariff Jul''14'!K35)*('Tariff Jul''14'!K41/100)*'Tariff Jul''14'!K30,('Tariff Jul''14'!K36-'Tariff Jul''14'!K35)*('Tariff Jul''14'!K41/100)*'Tariff Jul''14'!K30))</f>
        <v>0</v>
      </c>
      <c r="J30" s="36">
        <f>IF(($F22*$F23)*'Tariff Jul''14'!L29/'Tariff Jul''14'!L30&lt;'Tariff Jul''14'!L35,0,IF(($F22*$F23)*'Tariff Jul''14'!L29/'Tariff Jul''14'!L30&lt;='Tariff Jul''14'!L36,(($F22*$F23)*'Tariff Jul''14'!L29/'Tariff Jul''14'!L30-'Tariff Jul''14'!L35)*('Tariff Jul''14'!L41/100)*'Tariff Jul''14'!L30,('Tariff Jul''14'!L36-'Tariff Jul''14'!L35)*('Tariff Jul''14'!L41/100)*'Tariff Jul''14'!L30))</f>
        <v>0</v>
      </c>
      <c r="K30" s="36">
        <f>IF(($F22*$F23)*'Tariff Jul''14'!M29/'Tariff Jul''14'!M30&lt;'Tariff Jul''14'!M35,0,IF(($F22*$F23)*'Tariff Jul''14'!M29/'Tariff Jul''14'!M30&lt;='Tariff Jul''14'!M36,(($F22*$F23)*'Tariff Jul''14'!M29/'Tariff Jul''14'!M30-'Tariff Jul''14'!M35)*('Tariff Jul''14'!M41/100)*'Tariff Jul''14'!M30,('Tariff Jul''14'!M36-'Tariff Jul''14'!M35)*('Tariff Jul''14'!M41/100)*'Tariff Jul''14'!M30))</f>
        <v>0</v>
      </c>
      <c r="L30" s="36">
        <f>IF(($F22*$F23)*'Tariff Jul''14'!N29/'Tariff Jul''14'!N30&lt;'Tariff Jul''14'!N35,0,IF(($F22*$F23)*'Tariff Jul''14'!N29/'Tariff Jul''14'!N30&lt;='Tariff Jul''14'!N36,(($F22*$F23)*'Tariff Jul''14'!N29/'Tariff Jul''14'!N30-'Tariff Jul''14'!N35)*('Tariff Jul''14'!N41/100)*'Tariff Jul''14'!N30,('Tariff Jul''14'!N36-'Tariff Jul''14'!N35)*('Tariff Jul''14'!N41/100)*'Tariff Jul''14'!N30))</f>
        <v>0</v>
      </c>
      <c r="M30" s="36">
        <f>IF(($F22*$F23)*'Tariff Jul''14'!O29/'Tariff Jul''14'!O30&lt;'Tariff Jul''14'!O35,0,IF(($F22*$F23)*'Tariff Jul''14'!O29/'Tariff Jul''14'!O30&lt;='Tariff Jul''14'!O36,(($F22*$F23)*'Tariff Jul''14'!O29/'Tariff Jul''14'!O30-'Tariff Jul''14'!O35)*('Tariff Jul''14'!O41/100)*'Tariff Jul''14'!O30,('Tariff Jul''14'!O36-'Tariff Jul''14'!O35)*('Tariff Jul''14'!O41/100)*'Tariff Jul''14'!O30))</f>
        <v>0</v>
      </c>
      <c r="N30" s="36">
        <f>IF(($F22*$F23)*'Tariff Jul''14'!P29/'Tariff Jul''14'!P30&lt;'Tariff Jul''14'!P35,0,IF(($F22*$F23)*'Tariff Jul''14'!P29/'Tariff Jul''14'!P30&lt;='Tariff Jul''14'!P36,(($F22*$F23)*'Tariff Jul''14'!P29/'Tariff Jul''14'!P30-'Tariff Jul''14'!P35)*('Tariff Jul''14'!P41/100)*'Tariff Jul''14'!P30,('Tariff Jul''14'!P36-'Tariff Jul''14'!P35)*('Tariff Jul''14'!P41/100)*'Tariff Jul''14'!P30))</f>
        <v>0</v>
      </c>
      <c r="O30" s="32"/>
    </row>
    <row r="31" spans="1:15" x14ac:dyDescent="0.15">
      <c r="A31" s="28" t="s">
        <v>104</v>
      </c>
      <c r="B31" s="32"/>
      <c r="C31" s="36">
        <f>IF(($F22*$F23)*'Tariff Jul''14'!E29/'Tariff Jul''14'!E30&gt;'Tariff Jul''14'!E36,(($F22*$F23)*'Tariff Jul''14'!E29/'Tariff Jul''14'!E30-'Tariff Jul''14'!E36)*'Tariff Jul''14'!E42/100*'Tariff Jul''14'!E30,0)</f>
        <v>0</v>
      </c>
      <c r="D31" s="36">
        <f>IF(($F22*$F23)*'Tariff Jul''14'!F29/'Tariff Jul''14'!F30&gt;'Tariff Jul''14'!F36,(($F22*$F23)*'Tariff Jul''14'!F29/'Tariff Jul''14'!F30-'Tariff Jul''14'!F36)*'Tariff Jul''14'!F42/100*'Tariff Jul''14'!F30,0)</f>
        <v>220.935</v>
      </c>
      <c r="E31" s="36">
        <f>IF(($F22*$F23)*'Tariff Jul''14'!G29/'Tariff Jul''14'!G30&gt;'Tariff Jul''14'!G36,(($F22*$F23)*'Tariff Jul''14'!G29/'Tariff Jul''14'!G30-'Tariff Jul''14'!G36)*'Tariff Jul''14'!G42/100*'Tariff Jul''14'!G30,0)</f>
        <v>0</v>
      </c>
      <c r="F31" s="36">
        <f>IF(($F22*$F23)*'Tariff Jul''14'!H29/'Tariff Jul''14'!H30&gt;'Tariff Jul''14'!H36,(($F22*$F23)*'Tariff Jul''14'!H29/'Tariff Jul''14'!H30-'Tariff Jul''14'!H36)*'Tariff Jul''14'!H42/100*'Tariff Jul''14'!H30,0)</f>
        <v>0</v>
      </c>
      <c r="G31" s="36">
        <f>IF(($F22*$F23)*'Tariff Jul''14'!I29/'Tariff Jul''14'!I30&gt;'Tariff Jul''14'!I36,(($F22*$F23)*'Tariff Jul''14'!I29/'Tariff Jul''14'!I30-'Tariff Jul''14'!I36)*'Tariff Jul''14'!I42/100*'Tariff Jul''14'!I30,0)</f>
        <v>0</v>
      </c>
      <c r="H31" s="36">
        <f>IF(($F22*$F23)*'Tariff Jul''14'!J29/'Tariff Jul''14'!J30&gt;'Tariff Jul''14'!J36,(($F22*$F23)*'Tariff Jul''14'!J29/'Tariff Jul''14'!J30-'Tariff Jul''14'!J36)*'Tariff Jul''14'!J42/100*'Tariff Jul''14'!J30,0)</f>
        <v>0</v>
      </c>
      <c r="I31" s="36">
        <f>IF(($F22*$F23)*'Tariff Jul''14'!K29/'Tariff Jul''14'!K30&gt;'Tariff Jul''14'!K36,(($F22*$F23)*'Tariff Jul''14'!K29/'Tariff Jul''14'!K30-'Tariff Jul''14'!K36)*'Tariff Jul''14'!K42/100*'Tariff Jul''14'!K30,0)</f>
        <v>0</v>
      </c>
      <c r="J31" s="36">
        <f>IF(($F22*$F23)*'Tariff Jul''14'!L29/'Tariff Jul''14'!L30&gt;'Tariff Jul''14'!L36,(($F22*$F23)*'Tariff Jul''14'!L29/'Tariff Jul''14'!L30-'Tariff Jul''14'!L36)*'Tariff Jul''14'!L42/100*'Tariff Jul''14'!L30,0)</f>
        <v>439.95599999999996</v>
      </c>
      <c r="K31" s="36">
        <f>IF(($F22*$F23)*'Tariff Jul''14'!M29/'Tariff Jul''14'!M30&gt;'Tariff Jul''14'!M36,(($F22*$F23)*'Tariff Jul''14'!M29/'Tariff Jul''14'!M30-'Tariff Jul''14'!M36)*'Tariff Jul''14'!M42/100*'Tariff Jul''14'!M30,0)</f>
        <v>204.05</v>
      </c>
      <c r="L31" s="36">
        <f>IF(($F22*$F23)*'Tariff Jul''14'!N29/'Tariff Jul''14'!N30&gt;'Tariff Jul''14'!N36,(($F22*$F23)*'Tariff Jul''14'!N29/'Tariff Jul''14'!N30-'Tariff Jul''14'!N36)*'Tariff Jul''14'!N42/100*'Tariff Jul''14'!N30,0)</f>
        <v>209</v>
      </c>
      <c r="M31" s="36">
        <f>IF(($F22*$F23)*'Tariff Jul''14'!O29/'Tariff Jul''14'!O30&gt;'Tariff Jul''14'!O36,(($F22*$F23)*'Tariff Jul''14'!O29/'Tariff Jul''14'!O30-'Tariff Jul''14'!O36)*'Tariff Jul''14'!O42/100*'Tariff Jul''14'!O30,0)</f>
        <v>190.19</v>
      </c>
      <c r="N31" s="36">
        <f>IF(($F22*$F23)*'Tariff Jul''14'!P29/'Tariff Jul''14'!P30&gt;'Tariff Jul''14'!P36,(($F22*$F23)*'Tariff Jul''14'!P29/'Tariff Jul''14'!P30-'Tariff Jul''14'!P36)*'Tariff Jul''14'!P42/100*'Tariff Jul''14'!P30,0)</f>
        <v>181.61</v>
      </c>
      <c r="O31" s="32"/>
    </row>
    <row r="32" spans="1:15" x14ac:dyDescent="0.15">
      <c r="A32" s="28" t="s">
        <v>231</v>
      </c>
      <c r="B32" s="32"/>
      <c r="C32" s="36">
        <f>IF(($F22*$F23)*'Tariff Jul''14'!E31/'Tariff Jul''14'!E32&gt;='Tariff Jul''14'!E33,('Tariff Jul''14'!E33*'Tariff Jul''14'!E43/100)*'Tariff Jul''14'!E32,(($F22*$F23)*('Tariff Jul''14'!E31/'Tariff Jul''14'!E32*'Tariff Jul''14'!E43/100)*'Tariff Jul''14'!E32))</f>
        <v>304.524</v>
      </c>
      <c r="D32" s="36">
        <f>IF(($F22*$F23)*'Tariff Jul''14'!F31/'Tariff Jul''14'!F32&gt;='Tariff Jul''14'!F33,('Tariff Jul''14'!F33*'Tariff Jul''14'!F43/100)*'Tariff Jul''14'!F32,(($F22*$F23)*('Tariff Jul''14'!F31/'Tariff Jul''14'!F32*'Tariff Jul''14'!F43/100)*'Tariff Jul''14'!F32))</f>
        <v>1115.4000000000001</v>
      </c>
      <c r="E32" s="36">
        <f>IF(($F22*$F23)*'Tariff Jul''14'!G31/'Tariff Jul''14'!G32&gt;='Tariff Jul''14'!G33,('Tariff Jul''14'!G33*'Tariff Jul''14'!G43/100)*'Tariff Jul''14'!G32,(($F22*$F23)*('Tariff Jul''14'!G31/'Tariff Jul''14'!G32*'Tariff Jul''14'!G43/100)*'Tariff Jul''14'!G32))</f>
        <v>1105.5</v>
      </c>
      <c r="F32" s="36">
        <f>IF(($F22*$F23)*'Tariff Jul''14'!H31/'Tariff Jul''14'!H32&gt;='Tariff Jul''14'!H33,('Tariff Jul''14'!H33*'Tariff Jul''14'!H43/100)*'Tariff Jul''14'!H32,(($F22*$F23)*('Tariff Jul''14'!H31/'Tariff Jul''14'!H32*'Tariff Jul''14'!H43/100)*'Tariff Jul''14'!H32))</f>
        <v>304.22699999999998</v>
      </c>
      <c r="G32" s="36">
        <f>IF(($F22*$F23)*'Tariff Jul''14'!I31/'Tariff Jul''14'!I32&gt;='Tariff Jul''14'!I33,('Tariff Jul''14'!I33*'Tariff Jul''14'!I43/100)*'Tariff Jul''14'!I32,(($F22*$F23)*('Tariff Jul''14'!I31/'Tariff Jul''14'!I32*'Tariff Jul''14'!I43/100)*'Tariff Jul''14'!I32))</f>
        <v>298.48500000000001</v>
      </c>
      <c r="H32" s="36">
        <f>IF(($F22*$F23)*'Tariff Jul''14'!J31/'Tariff Jul''14'!J32&gt;='Tariff Jul''14'!J33,('Tariff Jul''14'!J33*'Tariff Jul''14'!J43/100)*'Tariff Jul''14'!J32,(($F22*$F23)*('Tariff Jul''14'!J31/'Tariff Jul''14'!J32*'Tariff Jul''14'!J43/100)*'Tariff Jul''14'!J32))</f>
        <v>284.33888999999999</v>
      </c>
      <c r="I32" s="36">
        <f>IF(($F22*$F23)*'Tariff Jul''14'!K31/'Tariff Jul''14'!K32&gt;='Tariff Jul''14'!K33,('Tariff Jul''14'!K33*'Tariff Jul''14'!K43/100)*'Tariff Jul''14'!K32,(($F22*$F23)*('Tariff Jul''14'!K31/'Tariff Jul''14'!K32*'Tariff Jul''14'!K43/100)*'Tariff Jul''14'!K32))</f>
        <v>315.41399999999999</v>
      </c>
      <c r="J32" s="36">
        <f>IF(($F22*$F23)*'Tariff Jul''14'!L31/'Tariff Jul''14'!L32&gt;='Tariff Jul''14'!L33,('Tariff Jul''14'!L33*'Tariff Jul''14'!L43/100)*'Tariff Jul''14'!L32,(($F22*$F23)*('Tariff Jul''14'!L31/'Tariff Jul''14'!L32*'Tariff Jul''14'!L43/100)*'Tariff Jul''14'!L32))</f>
        <v>330.16500000000002</v>
      </c>
      <c r="K32" s="36">
        <f>IF(($F22*$F23)*'Tariff Jul''14'!M31/'Tariff Jul''14'!M32&gt;='Tariff Jul''14'!M33,('Tariff Jul''14'!M33*'Tariff Jul''14'!M43/100)*'Tariff Jul''14'!M32,(($F22*$F23)*('Tariff Jul''14'!M31/'Tariff Jul''14'!M32*'Tariff Jul''14'!M43/100)*'Tariff Jul''14'!M32))</f>
        <v>275.21999999999997</v>
      </c>
      <c r="L32" s="36">
        <f>IF(($F22*$F23)*'Tariff Jul''14'!N31/'Tariff Jul''14'!N32&gt;='Tariff Jul''14'!N33,('Tariff Jul''14'!N33*'Tariff Jul''14'!N43/100)*'Tariff Jul''14'!N32,(($F22*$F23)*('Tariff Jul''14'!N31/'Tariff Jul''14'!N32*'Tariff Jul''14'!N43/100)*'Tariff Jul''14'!N32))</f>
        <v>294.03000000000003</v>
      </c>
      <c r="M32" s="36">
        <f>IF(($F22*$F23)*'Tariff Jul''14'!O31/'Tariff Jul''14'!O32&gt;='Tariff Jul''14'!O33,('Tariff Jul''14'!O33*'Tariff Jul''14'!O43/100)*'Tariff Jul''14'!O32,(($F22*$F23)*('Tariff Jul''14'!O31/'Tariff Jul''14'!O32*'Tariff Jul''14'!O43/100)*'Tariff Jul''14'!O32))</f>
        <v>1013.76</v>
      </c>
      <c r="N32" s="36">
        <f>IF(($F22*$F23)*'Tariff Jul''14'!P31/'Tariff Jul''14'!P32&gt;='Tariff Jul''14'!P33,('Tariff Jul''14'!P33*'Tariff Jul''14'!P43/100)*'Tariff Jul''14'!P32,(($F22*$F23)*('Tariff Jul''14'!P31/'Tariff Jul''14'!P32*'Tariff Jul''14'!P43/100)*'Tariff Jul''14'!P32))</f>
        <v>943.14</v>
      </c>
      <c r="O32" s="32"/>
    </row>
    <row r="33" spans="1:15" x14ac:dyDescent="0.15">
      <c r="A33" s="28" t="s">
        <v>530</v>
      </c>
      <c r="B33" s="32"/>
      <c r="C33" s="36">
        <f>IF(($F22*$F23)*'Tariff Jul''14'!E31/'Tariff Jul''14'!E32&lt;'Tariff Jul''14'!E33,0,IF(($F22*$F23)*'Tariff Jul''14'!E31/'Tariff Jul''14'!E32&lt;='Tariff Jul''14'!E34,(($F22*$F23)*'Tariff Jul''14'!E31/'Tariff Jul''14'!E32-'Tariff Jul''14'!E33)*('Tariff Jul''14'!E44/100)*'Tariff Jul''14'!E32,('Tariff Jul''14'!E34-'Tariff Jul''14'!E33)*('Tariff Jul''14'!E44/100)*'Tariff Jul''14'!E32))</f>
        <v>723.49199999999996</v>
      </c>
      <c r="D33" s="36">
        <f>IF(($F22*$F23)*'Tariff Jul''14'!F31/'Tariff Jul''14'!F32&lt;'Tariff Jul''14'!F33,0,IF(($F22*$F23)*'Tariff Jul''14'!F31/'Tariff Jul''14'!F32&lt;='Tariff Jul''14'!F34,(($F22*$F23)*'Tariff Jul''14'!F31/'Tariff Jul''14'!F32-'Tariff Jul''14'!F33)*('Tariff Jul''14'!F44/100)*'Tariff Jul''14'!F32,('Tariff Jul''14'!F34-'Tariff Jul''14'!F33)*('Tariff Jul''14'!F44/100)*'Tariff Jul''14'!F32))</f>
        <v>0</v>
      </c>
      <c r="E33" s="36">
        <f>IF(($F22*$F23)*'Tariff Jul''14'!G31/'Tariff Jul''14'!G32&lt;'Tariff Jul''14'!G33,0,IF(($F22*$F23)*'Tariff Jul''14'!G31/'Tariff Jul''14'!G32&lt;='Tariff Jul''14'!G34,(($F22*$F23)*'Tariff Jul''14'!G31/'Tariff Jul''14'!G32-'Tariff Jul''14'!G33)*('Tariff Jul''14'!G44/100)*'Tariff Jul''14'!G32,('Tariff Jul''14'!G34-'Tariff Jul''14'!G33)*('Tariff Jul''14'!G44/100)*'Tariff Jul''14'!G32))</f>
        <v>613.79999999999995</v>
      </c>
      <c r="F33" s="36">
        <f>IF(($F22*$F23)*'Tariff Jul''14'!H31/'Tariff Jul''14'!H32&lt;'Tariff Jul''14'!H33,0,IF(($F22*$F23)*'Tariff Jul''14'!H31/'Tariff Jul''14'!H32&lt;='Tariff Jul''14'!H34,(($F22*$F23)*'Tariff Jul''14'!H31/'Tariff Jul''14'!H32-'Tariff Jul''14'!H33)*('Tariff Jul''14'!H44/100)*'Tariff Jul''14'!H32,('Tariff Jul''14'!H34-'Tariff Jul''14'!H33)*('Tariff Jul''14'!H44/100)*'Tariff Jul''14'!H32))</f>
        <v>722.56799999999998</v>
      </c>
      <c r="G33" s="36">
        <f>IF(($F22*$F23)*'Tariff Jul''14'!I31/'Tariff Jul''14'!I32&lt;'Tariff Jul''14'!I33,0,IF(($F22*$F23)*'Tariff Jul''14'!I31/'Tariff Jul''14'!I32&lt;='Tariff Jul''14'!I34,(($F22*$F23)*'Tariff Jul''14'!I31/'Tariff Jul''14'!I32-'Tariff Jul''14'!I33)*('Tariff Jul''14'!I44/100)*'Tariff Jul''14'!I32,('Tariff Jul''14'!I34-'Tariff Jul''14'!I33)*('Tariff Jul''14'!I44/100)*'Tariff Jul''14'!I32))</f>
        <v>709.63200000000006</v>
      </c>
      <c r="H33" s="36">
        <f>IF(($F22*$F23)*'Tariff Jul''14'!J31/'Tariff Jul''14'!J32&lt;'Tariff Jul''14'!J33,0,IF(($F22*$F23)*'Tariff Jul''14'!J31/'Tariff Jul''14'!J32&lt;='Tariff Jul''14'!J34,(($F22*$F23)*'Tariff Jul''14'!J31/'Tariff Jul''14'!J32-'Tariff Jul''14'!J33)*('Tariff Jul''14'!J44/100)*'Tariff Jul''14'!J32,('Tariff Jul''14'!J34-'Tariff Jul''14'!J33)*('Tariff Jul''14'!J44/100)*'Tariff Jul''14'!J32))</f>
        <v>687.67545000000018</v>
      </c>
      <c r="I33" s="36">
        <f>IF(($F22*$F23)*'Tariff Jul''14'!K31/'Tariff Jul''14'!K32&lt;'Tariff Jul''14'!K33,0,IF(($F22*$F23)*'Tariff Jul''14'!K31/'Tariff Jul''14'!K32&lt;='Tariff Jul''14'!K34,(($F22*$F23)*'Tariff Jul''14'!K31/'Tariff Jul''14'!K32-'Tariff Jul''14'!K33)*('Tariff Jul''14'!K44/100)*'Tariff Jul''14'!K32,('Tariff Jul''14'!K34-'Tariff Jul''14'!K33)*('Tariff Jul''14'!K44/100)*'Tariff Jul''14'!K32))</f>
        <v>749.13299999999992</v>
      </c>
      <c r="J33" s="36">
        <f>IF(($F22*$F23)*'Tariff Jul''14'!L31/'Tariff Jul''14'!L32&lt;'Tariff Jul''14'!L33,0,IF(($F22*$F23)*'Tariff Jul''14'!L31/'Tariff Jul''14'!L32&lt;='Tariff Jul''14'!L34,(($F22*$F23)*'Tariff Jul''14'!L31/'Tariff Jul''14'!L32-'Tariff Jul''14'!L33)*('Tariff Jul''14'!L44/100)*'Tariff Jul''14'!L32,('Tariff Jul''14'!L34-'Tariff Jul''14'!L33)*('Tariff Jul''14'!L44/100)*'Tariff Jul''14'!L32))</f>
        <v>0</v>
      </c>
      <c r="K33" s="36">
        <f>IF(($F22*$F23)*'Tariff Jul''14'!M31/'Tariff Jul''14'!M32&lt;'Tariff Jul''14'!M33,0,IF(($F22*$F23)*'Tariff Jul''14'!M31/'Tariff Jul''14'!M32&lt;='Tariff Jul''14'!M34,(($F22*$F23)*'Tariff Jul''14'!M31/'Tariff Jul''14'!M32-'Tariff Jul''14'!M33)*('Tariff Jul''14'!M44/100)*'Tariff Jul''14'!M32,('Tariff Jul''14'!M34-'Tariff Jul''14'!M33)*('Tariff Jul''14'!M44/100)*'Tariff Jul''14'!M32))</f>
        <v>665.28</v>
      </c>
      <c r="L33" s="36">
        <f>IF(($F22*$F23)*'Tariff Jul''14'!N31/'Tariff Jul''14'!N32&lt;'Tariff Jul''14'!N33,0,IF(($F22*$F23)*'Tariff Jul''14'!N31/'Tariff Jul''14'!N32&lt;='Tariff Jul''14'!N34,(($F22*$F23)*'Tariff Jul''14'!N31/'Tariff Jul''14'!N32-'Tariff Jul''14'!N33)*('Tariff Jul''14'!N44/100)*'Tariff Jul''14'!N32,('Tariff Jul''14'!N34-'Tariff Jul''14'!N33)*('Tariff Jul''14'!N44/100)*'Tariff Jul''14'!N32))</f>
        <v>686.06999999999994</v>
      </c>
      <c r="M33" s="36">
        <f>IF(($F22*$F23)*'Tariff Jul''14'!O31/'Tariff Jul''14'!O32&lt;'Tariff Jul''14'!O33,0,IF(($F22*$F23)*'Tariff Jul''14'!O31/'Tariff Jul''14'!O32&lt;='Tariff Jul''14'!O34,(($F22*$F23)*'Tariff Jul''14'!O31/'Tariff Jul''14'!O32-'Tariff Jul''14'!O33)*('Tariff Jul''14'!O44/100)*'Tariff Jul''14'!O32,('Tariff Jul''14'!O34-'Tariff Jul''14'!O33)*('Tariff Jul''14'!O44/100)*'Tariff Jul''14'!O32))</f>
        <v>0</v>
      </c>
      <c r="N33" s="36">
        <f>IF(($F22*$F23)*'Tariff Jul''14'!P31/'Tariff Jul''14'!P32&lt;'Tariff Jul''14'!P33,0,IF(($F22*$F23)*'Tariff Jul''14'!P31/'Tariff Jul''14'!P32&lt;='Tariff Jul''14'!P34,(($F22*$F23)*'Tariff Jul''14'!P31/'Tariff Jul''14'!P32-'Tariff Jul''14'!P33)*('Tariff Jul''14'!P44/100)*'Tariff Jul''14'!P32,('Tariff Jul''14'!P34-'Tariff Jul''14'!P33)*('Tariff Jul''14'!P44/100)*'Tariff Jul''14'!P32))</f>
        <v>0</v>
      </c>
      <c r="O33" s="32"/>
    </row>
    <row r="34" spans="1:15" x14ac:dyDescent="0.15">
      <c r="A34" s="28" t="s">
        <v>531</v>
      </c>
      <c r="B34" s="32"/>
      <c r="C34" s="36">
        <f>IF(($F22*$F23)*'Tariff Jul''14'!E31/'Tariff Jul''14'!E32&lt;'Tariff Jul''14'!E34,0,IF(($F22*$F23)*'Tariff Jul''14'!E31/'Tariff Jul''14'!E32&lt;='Tariff Jul''14'!E35,(($F22*$F23)*'Tariff Jul''14'!E31/'Tariff Jul''14'!E32-'Tariff Jul''14'!E34)*('Tariff Jul''14'!E45/100)*'Tariff Jul''14'!E32,('Tariff Jul''14'!E35-'Tariff Jul''14'!E34)*('Tariff Jul''14'!E45/100)*'Tariff Jul''14'!E32))</f>
        <v>605.71500000000003</v>
      </c>
      <c r="D34" s="36">
        <f>IF(($F22*$F23)*'Tariff Jul''14'!F31/'Tariff Jul''14'!F32&lt;'Tariff Jul''14'!F34,0,IF(($F22*$F23)*'Tariff Jul''14'!F31/'Tariff Jul''14'!F32&lt;='Tariff Jul''14'!F35,(($F22*$F23)*'Tariff Jul''14'!F31/'Tariff Jul''14'!F32-'Tariff Jul''14'!F34)*('Tariff Jul''14'!F45/100)*'Tariff Jul''14'!F32,('Tariff Jul''14'!F35-'Tariff Jul''14'!F34)*('Tariff Jul''14'!F45/100)*'Tariff Jul''14'!F32))</f>
        <v>0</v>
      </c>
      <c r="E34" s="36">
        <f>IF(($F22*$F23)*'Tariff Jul''14'!G31/'Tariff Jul''14'!G32&lt;'Tariff Jul''14'!G34,0,IF(($F22*$F23)*'Tariff Jul''14'!G31/'Tariff Jul''14'!G32&lt;='Tariff Jul''14'!G35,(($F22*$F23)*'Tariff Jul''14'!G31/'Tariff Jul''14'!G32-'Tariff Jul''14'!G34)*('Tariff Jul''14'!G45/100)*'Tariff Jul''14'!G32,('Tariff Jul''14'!G35-'Tariff Jul''14'!G34)*('Tariff Jul''14'!G45/100)*'Tariff Jul''14'!G32))</f>
        <v>0</v>
      </c>
      <c r="F34" s="36">
        <f>IF(($F22*$F23)*'Tariff Jul''14'!H31/'Tariff Jul''14'!H32&lt;'Tariff Jul''14'!H34,0,IF(($F22*$F23)*'Tariff Jul''14'!H31/'Tariff Jul''14'!H32&lt;='Tariff Jul''14'!H35,(($F22*$F23)*'Tariff Jul''14'!H31/'Tariff Jul''14'!H32-'Tariff Jul''14'!H34)*('Tariff Jul''14'!H45/100)*'Tariff Jul''14'!H32,('Tariff Jul''14'!H35-'Tariff Jul''14'!H34)*('Tariff Jul''14'!H45/100)*'Tariff Jul''14'!H32))</f>
        <v>598.29000000000008</v>
      </c>
      <c r="G34" s="36">
        <f>IF(($F22*$F23)*'Tariff Jul''14'!I31/'Tariff Jul''14'!I32&lt;'Tariff Jul''14'!I34,0,IF(($F22*$F23)*'Tariff Jul''14'!I31/'Tariff Jul''14'!I32&lt;='Tariff Jul''14'!I35,(($F22*$F23)*'Tariff Jul''14'!I31/'Tariff Jul''14'!I32-'Tariff Jul''14'!I34)*('Tariff Jul''14'!I45/100)*'Tariff Jul''14'!I32,('Tariff Jul''14'!I35-'Tariff Jul''14'!I34)*('Tariff Jul''14'!I45/100)*'Tariff Jul''14'!I32))</f>
        <v>580.14</v>
      </c>
      <c r="H34" s="36">
        <f>IF(($F22*$F23)*'Tariff Jul''14'!J31/'Tariff Jul''14'!J32&lt;'Tariff Jul''14'!J34,0,IF(($F22*$F23)*'Tariff Jul''14'!J31/'Tariff Jul''14'!J32&lt;='Tariff Jul''14'!J35,(($F22*$F23)*'Tariff Jul''14'!J31/'Tariff Jul''14'!J32-'Tariff Jul''14'!J34)*('Tariff Jul''14'!J45/100)*'Tariff Jul''14'!J32,('Tariff Jul''14'!J35-'Tariff Jul''14'!J34)*('Tariff Jul''14'!J45/100)*'Tariff Jul''14'!J32))</f>
        <v>578.57910000000004</v>
      </c>
      <c r="I34" s="36">
        <f>IF(($F22*$F23)*'Tariff Jul''14'!K31/'Tariff Jul''14'!K32&lt;'Tariff Jul''14'!K34,0,IF(($F22*$F23)*'Tariff Jul''14'!K31/'Tariff Jul''14'!K32&lt;='Tariff Jul''14'!K35,(($F22*$F23)*'Tariff Jul''14'!K31/'Tariff Jul''14'!K32-'Tariff Jul''14'!K34)*('Tariff Jul''14'!K45/100)*'Tariff Jul''14'!K32,('Tariff Jul''14'!K35-'Tariff Jul''14'!K34)*('Tariff Jul''14'!K45/100)*'Tariff Jul''14'!K32))</f>
        <v>612.48</v>
      </c>
      <c r="J34" s="36">
        <f>IF(($F22*$F23)*'Tariff Jul''14'!L31/'Tariff Jul''14'!L32&lt;'Tariff Jul''14'!L34,0,IF(($F22*$F23)*'Tariff Jul''14'!L31/'Tariff Jul''14'!L32&lt;='Tariff Jul''14'!L35,(($F22*$F23)*'Tariff Jul''14'!L31/'Tariff Jul''14'!L32-'Tariff Jul''14'!L34)*('Tariff Jul''14'!L45/100)*'Tariff Jul''14'!L32,('Tariff Jul''14'!L35-'Tariff Jul''14'!L34)*('Tariff Jul''14'!L45/100)*'Tariff Jul''14'!L32))</f>
        <v>0</v>
      </c>
      <c r="K34" s="36">
        <f>IF(($F22*$F23)*'Tariff Jul''14'!M31/'Tariff Jul''14'!M32&lt;'Tariff Jul''14'!M34,0,IF(($F22*$F23)*'Tariff Jul''14'!M31/'Tariff Jul''14'!M32&lt;='Tariff Jul''14'!M35,(($F22*$F23)*'Tariff Jul''14'!M31/'Tariff Jul''14'!M32-'Tariff Jul''14'!M34)*('Tariff Jul''14'!M45/100)*'Tariff Jul''14'!M32,('Tariff Jul''14'!M35-'Tariff Jul''14'!M34)*('Tariff Jul''14'!M45/100)*'Tariff Jul''14'!M32))</f>
        <v>0</v>
      </c>
      <c r="L34" s="36">
        <f>IF(($F22*$F23)*'Tariff Jul''14'!N31/'Tariff Jul''14'!N32&lt;'Tariff Jul''14'!N34,0,IF(($F22*$F23)*'Tariff Jul''14'!N31/'Tariff Jul''14'!N32&lt;='Tariff Jul''14'!N35,(($F22*$F23)*'Tariff Jul''14'!N31/'Tariff Jul''14'!N32-'Tariff Jul''14'!N34)*('Tariff Jul''14'!N45/100)*'Tariff Jul''14'!N32,('Tariff Jul''14'!N35-'Tariff Jul''14'!N34)*('Tariff Jul''14'!N45/100)*'Tariff Jul''14'!N32))</f>
        <v>0</v>
      </c>
      <c r="M34" s="36">
        <f>IF(($F22*$F23)*'Tariff Jul''14'!O31/'Tariff Jul''14'!O32&lt;'Tariff Jul''14'!O34,0,IF(($F22*$F23)*'Tariff Jul''14'!O31/'Tariff Jul''14'!O32&lt;='Tariff Jul''14'!O35,(($F22*$F23)*'Tariff Jul''14'!O31/'Tariff Jul''14'!O32-'Tariff Jul''14'!O34)*('Tariff Jul''14'!O45/100)*'Tariff Jul''14'!O32,('Tariff Jul''14'!O35-'Tariff Jul''14'!O34)*('Tariff Jul''14'!O45/100)*'Tariff Jul''14'!O32))</f>
        <v>0</v>
      </c>
      <c r="N34" s="36">
        <f>IF(($F22*$F23)*'Tariff Jul''14'!P31/'Tariff Jul''14'!P32&lt;'Tariff Jul''14'!P34,0,IF(($F22*$F23)*'Tariff Jul''14'!P31/'Tariff Jul''14'!P32&lt;='Tariff Jul''14'!P35,(($F22*$F23)*'Tariff Jul''14'!P31/'Tariff Jul''14'!P32-'Tariff Jul''14'!P34)*('Tariff Jul''14'!P45/100)*'Tariff Jul''14'!P32,('Tariff Jul''14'!P35-'Tariff Jul''14'!P34)*('Tariff Jul''14'!P45/100)*'Tariff Jul''14'!P32))</f>
        <v>0</v>
      </c>
      <c r="O34" s="32"/>
    </row>
    <row r="35" spans="1:15" x14ac:dyDescent="0.15">
      <c r="A35" s="28" t="s">
        <v>100</v>
      </c>
      <c r="B35" s="32"/>
      <c r="C35" s="36">
        <f>IF(($F22*$F23)*'Tariff Jul''14'!E31/'Tariff Jul''14'!E32&lt;'Tariff Jul''14'!E35,0,IF(($F22*$F23)*'Tariff Jul''14'!E31/'Tariff Jul''14'!E32&lt;='Tariff Jul''14'!E36,(($F22*$F23)*'Tariff Jul''14'!E31/'Tariff Jul''14'!E32-'Tariff Jul''14'!E35)*('Tariff Jul''14'!E46/100)*'Tariff Jul''14'!E32,('Tariff Jul''14'!E36-'Tariff Jul''14'!E35)*('Tariff Jul''14'!E46/100)*'Tariff Jul''14'!E32))</f>
        <v>0</v>
      </c>
      <c r="D35" s="36">
        <f>IF(($F22*$F23)*'Tariff Jul''14'!F31/'Tariff Jul''14'!F32&lt;'Tariff Jul''14'!F35,0,IF(($F22*$F23)*'Tariff Jul''14'!F31/'Tariff Jul''14'!F32&lt;='Tariff Jul''14'!F36,(($F22*$F23)*'Tariff Jul''14'!F31/'Tariff Jul''14'!F32-'Tariff Jul''14'!F35)*('Tariff Jul''14'!F46/100)*'Tariff Jul''14'!F32,('Tariff Jul''14'!F36-'Tariff Jul''14'!F35)*('Tariff Jul''14'!F46/100)*'Tariff Jul''14'!F32))</f>
        <v>0</v>
      </c>
      <c r="E35" s="36">
        <f>IF(($F22*$F23)*'Tariff Jul''14'!G31/'Tariff Jul''14'!G32&lt;'Tariff Jul''14'!G35,0,IF(($F22*$F23)*'Tariff Jul''14'!G31/'Tariff Jul''14'!G32&lt;='Tariff Jul''14'!G36,(($F22*$F23)*'Tariff Jul''14'!G31/'Tariff Jul''14'!G32-'Tariff Jul''14'!G35)*('Tariff Jul''14'!G46/100)*'Tariff Jul''14'!G32,('Tariff Jul''14'!G36-'Tariff Jul''14'!G35)*('Tariff Jul''14'!G46/100)*'Tariff Jul''14'!G32))</f>
        <v>0</v>
      </c>
      <c r="F35" s="36">
        <f>IF(($F22*$F23)*'Tariff Jul''14'!H31/'Tariff Jul''14'!H32&lt;'Tariff Jul''14'!H35,0,IF(($F22*$F23)*'Tariff Jul''14'!H31/'Tariff Jul''14'!H32&lt;='Tariff Jul''14'!H36,(($F22*$F23)*'Tariff Jul''14'!H31/'Tariff Jul''14'!H32-'Tariff Jul''14'!H35)*('Tariff Jul''14'!H46/100)*'Tariff Jul''14'!H32,('Tariff Jul''14'!H36-'Tariff Jul''14'!H35)*('Tariff Jul''14'!H46/100)*'Tariff Jul''14'!H32))</f>
        <v>0</v>
      </c>
      <c r="G35" s="36">
        <f>IF(($F22*$F23)*'Tariff Jul''14'!I31/'Tariff Jul''14'!I32&lt;'Tariff Jul''14'!I35,0,IF(($F22*$F23)*'Tariff Jul''14'!I31/'Tariff Jul''14'!I32&lt;='Tariff Jul''14'!I36,(($F22*$F23)*'Tariff Jul''14'!I31/'Tariff Jul''14'!I32-'Tariff Jul''14'!I35)*('Tariff Jul''14'!I46/100)*'Tariff Jul''14'!I32,('Tariff Jul''14'!I36-'Tariff Jul''14'!I35)*('Tariff Jul''14'!I46/100)*'Tariff Jul''14'!I32))</f>
        <v>0</v>
      </c>
      <c r="H35" s="36">
        <f>IF(($F22*$F23)*'Tariff Jul''14'!J31/'Tariff Jul''14'!J32&lt;'Tariff Jul''14'!J35,0,IF(($F22*$F23)*'Tariff Jul''14'!J31/'Tariff Jul''14'!J32&lt;='Tariff Jul''14'!J36,(($F22*$F23)*'Tariff Jul''14'!J31/'Tariff Jul''14'!J32-'Tariff Jul''14'!J35)*('Tariff Jul''14'!J46/100)*'Tariff Jul''14'!J32,('Tariff Jul''14'!J36-'Tariff Jul''14'!J35)*('Tariff Jul''14'!J46/100)*'Tariff Jul''14'!J32))</f>
        <v>0</v>
      </c>
      <c r="I35" s="36">
        <f>IF(($F22*$F23)*'Tariff Jul''14'!K31/'Tariff Jul''14'!K32&lt;'Tariff Jul''14'!K35,0,IF(($F22*$F23)*'Tariff Jul''14'!K31/'Tariff Jul''14'!K32&lt;='Tariff Jul''14'!K36,(($F22*$F23)*'Tariff Jul''14'!K31/'Tariff Jul''14'!K32-'Tariff Jul''14'!K35)*('Tariff Jul''14'!K46/100)*'Tariff Jul''14'!K32,('Tariff Jul''14'!K36-'Tariff Jul''14'!K35)*('Tariff Jul''14'!K46/100)*'Tariff Jul''14'!K32))</f>
        <v>0</v>
      </c>
      <c r="J35" s="36">
        <f>IF(($F22*$F23)*'Tariff Jul''14'!L31/'Tariff Jul''14'!L32&lt;'Tariff Jul''14'!L35,0,IF(($F22*$F23)*'Tariff Jul''14'!L31/'Tariff Jul''14'!L32&lt;='Tariff Jul''14'!L36,(($F22*$F23)*'Tariff Jul''14'!L31/'Tariff Jul''14'!L32-'Tariff Jul''14'!L35)*('Tariff Jul''14'!L46/100)*'Tariff Jul''14'!L32,('Tariff Jul''14'!L36-'Tariff Jul''14'!L35)*('Tariff Jul''14'!L46/100)*'Tariff Jul''14'!L32))</f>
        <v>0</v>
      </c>
      <c r="K35" s="36">
        <f>IF(($F22*$F23)*'Tariff Jul''14'!M31/'Tariff Jul''14'!M32&lt;'Tariff Jul''14'!M35,0,IF(($F22*$F23)*'Tariff Jul''14'!M31/'Tariff Jul''14'!M32&lt;='Tariff Jul''14'!M36,(($F22*$F23)*'Tariff Jul''14'!M31/'Tariff Jul''14'!M32-'Tariff Jul''14'!M35)*('Tariff Jul''14'!M46/100)*'Tariff Jul''14'!M32,('Tariff Jul''14'!M36-'Tariff Jul''14'!M35)*('Tariff Jul''14'!M46/100)*'Tariff Jul''14'!M32))</f>
        <v>0</v>
      </c>
      <c r="L35" s="36">
        <f>IF(($F22*$F23)*'Tariff Jul''14'!N31/'Tariff Jul''14'!N32&lt;'Tariff Jul''14'!N35,0,IF(($F22*$F23)*'Tariff Jul''14'!N31/'Tariff Jul''14'!N32&lt;='Tariff Jul''14'!N36,(($F22*$F23)*'Tariff Jul''14'!N31/'Tariff Jul''14'!N32-'Tariff Jul''14'!N35)*('Tariff Jul''14'!N46/100)*'Tariff Jul''14'!N32,('Tariff Jul''14'!N36-'Tariff Jul''14'!N35)*('Tariff Jul''14'!N46/100)*'Tariff Jul''14'!N32))</f>
        <v>0</v>
      </c>
      <c r="M35" s="36">
        <f>IF(($F22*$F23)*'Tariff Jul''14'!O31/'Tariff Jul''14'!O32&lt;'Tariff Jul''14'!O35,0,IF(($F22*$F23)*'Tariff Jul''14'!O31/'Tariff Jul''14'!O32&lt;='Tariff Jul''14'!O36,(($F22*$F23)*'Tariff Jul''14'!O31/'Tariff Jul''14'!O32-'Tariff Jul''14'!O35)*('Tariff Jul''14'!O46/100)*'Tariff Jul''14'!O32,('Tariff Jul''14'!O36-'Tariff Jul''14'!O35)*('Tariff Jul''14'!O46/100)*'Tariff Jul''14'!O32))</f>
        <v>0</v>
      </c>
      <c r="N35" s="36">
        <f>IF(($F22*$F23)*'Tariff Jul''14'!P31/'Tariff Jul''14'!P32&lt;'Tariff Jul''14'!P35,0,IF(($F22*$F23)*'Tariff Jul''14'!P31/'Tariff Jul''14'!P32&lt;='Tariff Jul''14'!P36,(($F22*$F23)*'Tariff Jul''14'!P31/'Tariff Jul''14'!P32-'Tariff Jul''14'!P35)*('Tariff Jul''14'!P46/100)*'Tariff Jul''14'!P32,('Tariff Jul''14'!P36-'Tariff Jul''14'!P35)*('Tariff Jul''14'!P46/100)*'Tariff Jul''14'!P32))</f>
        <v>0</v>
      </c>
      <c r="O35" s="32"/>
    </row>
    <row r="36" spans="1:15" x14ac:dyDescent="0.15">
      <c r="A36" s="28" t="s">
        <v>419</v>
      </c>
      <c r="B36" s="32"/>
      <c r="C36" s="36">
        <f>IF(($F22*$F23)*'Tariff Jul''14'!E31/'Tariff Jul''14'!E32&gt;'Tariff Jul''14'!E36,(($F22*$F23)*'Tariff Jul''14'!E31/'Tariff Jul''14'!E32-'Tariff Jul''14'!E36)*'Tariff Jul''14'!E47/100*'Tariff Jul''14'!E32,0)</f>
        <v>0</v>
      </c>
      <c r="D36" s="36">
        <f>IF(($F22*$F23)*'Tariff Jul''14'!F31/'Tariff Jul''14'!F32&gt;'Tariff Jul''14'!F36,(($F22*$F23)*'Tariff Jul''14'!F31/'Tariff Jul''14'!F32-'Tariff Jul''14'!F36)*'Tariff Jul''14'!F47/100*'Tariff Jul''14'!F32,0)</f>
        <v>662.80500000000006</v>
      </c>
      <c r="E36" s="36">
        <f>IF(($F22*$F23)*'Tariff Jul''14'!G31/'Tariff Jul''14'!G32&gt;'Tariff Jul''14'!G36,(($F22*$F23)*'Tariff Jul''14'!G31/'Tariff Jul''14'!G32-'Tariff Jul''14'!G36)*'Tariff Jul''14'!G47/100*'Tariff Jul''14'!G32,0)</f>
        <v>0</v>
      </c>
      <c r="F36" s="36">
        <f>IF(($F22*$F23)*'Tariff Jul''14'!H31/'Tariff Jul''14'!H32&gt;'Tariff Jul''14'!H36,(($F22*$F23)*'Tariff Jul''14'!H31/'Tariff Jul''14'!H32-'Tariff Jul''14'!H36)*'Tariff Jul''14'!H47/100*'Tariff Jul''14'!H32,0)</f>
        <v>0</v>
      </c>
      <c r="G36" s="36">
        <f>IF(($F22*$F23)*'Tariff Jul''14'!I31/'Tariff Jul''14'!I32&gt;'Tariff Jul''14'!I36,(($F22*$F23)*'Tariff Jul''14'!I31/'Tariff Jul''14'!I32-'Tariff Jul''14'!I36)*'Tariff Jul''14'!I47/100*'Tariff Jul''14'!I32,0)</f>
        <v>0</v>
      </c>
      <c r="H36" s="36">
        <f>IF(($F22*$F23)*'Tariff Jul''14'!J31/'Tariff Jul''14'!J32&gt;'Tariff Jul''14'!J36,(($F22*$F23)*'Tariff Jul''14'!J31/'Tariff Jul''14'!J32-'Tariff Jul''14'!J36)*'Tariff Jul''14'!J47/100*'Tariff Jul''14'!J32,0)</f>
        <v>0</v>
      </c>
      <c r="I36" s="36">
        <f>IF(($F22*$F23)*'Tariff Jul''14'!K31/'Tariff Jul''14'!K32&gt;'Tariff Jul''14'!K36,(($F22*$F23)*'Tariff Jul''14'!K31/'Tariff Jul''14'!K32-'Tariff Jul''14'!K36)*'Tariff Jul''14'!K47/100*'Tariff Jul''14'!K32,0)</f>
        <v>0</v>
      </c>
      <c r="J36" s="36">
        <f>IF(($F22*$F23)*'Tariff Jul''14'!L31/'Tariff Jul''14'!L32&gt;'Tariff Jul''14'!L36,(($F22*$F23)*'Tariff Jul''14'!L31/'Tariff Jul''14'!L32-'Tariff Jul''14'!L36)*'Tariff Jul''14'!L47/100*'Tariff Jul''14'!L32,0)</f>
        <v>1318.68</v>
      </c>
      <c r="K36" s="36">
        <f>IF(($F22*$F23)*'Tariff Jul''14'!M31/'Tariff Jul''14'!M32&gt;'Tariff Jul''14'!M36,(($F22*$F23)*'Tariff Jul''14'!M31/'Tariff Jul''14'!M32-'Tariff Jul''14'!M36)*'Tariff Jul''14'!M47/100*'Tariff Jul''14'!M32,0)</f>
        <v>521.40000000000009</v>
      </c>
      <c r="L36" s="36">
        <f>IF(($F22*$F23)*'Tariff Jul''14'!N31/'Tariff Jul''14'!N32&gt;'Tariff Jul''14'!N36,(($F22*$F23)*'Tariff Jul''14'!N31/'Tariff Jul''14'!N32-'Tariff Jul''14'!N36)*'Tariff Jul''14'!N47/100*'Tariff Jul''14'!N32,0)</f>
        <v>627</v>
      </c>
      <c r="M36" s="36">
        <f>IF(($F22*$F23)*'Tariff Jul''14'!O31/'Tariff Jul''14'!O32&gt;'Tariff Jul''14'!O36,(($F22*$F23)*'Tariff Jul''14'!O31/'Tariff Jul''14'!O32-'Tariff Jul''14'!O36)*'Tariff Jul''14'!O47/100*'Tariff Jul''14'!O32,0)</f>
        <v>570.56999999999994</v>
      </c>
      <c r="N36" s="36">
        <f>IF(($F22*$F23)*'Tariff Jul''14'!P31/'Tariff Jul''14'!P32&gt;'Tariff Jul''14'!P36,(($F22*$F23)*'Tariff Jul''14'!P31/'Tariff Jul''14'!P32-'Tariff Jul''14'!P36)*'Tariff Jul''14'!P47/100*'Tariff Jul''14'!P32,0)</f>
        <v>544.83000000000004</v>
      </c>
      <c r="O36" s="32"/>
    </row>
    <row r="37" spans="1:15" x14ac:dyDescent="0.15">
      <c r="A37" s="28" t="s">
        <v>442</v>
      </c>
      <c r="B37" s="32"/>
      <c r="C37" s="36">
        <f>IF($F22*$F24&gt;='Tariff Jul''14'!E37,('Tariff Jul''14'!E37*'Tariff Jul''14'!E48/100),($F22*$F24)*('Tariff Jul''14'!E48/100))</f>
        <v>250.30500000000004</v>
      </c>
      <c r="D37" s="36">
        <f>IF($F22*$F24&gt;='Tariff Jul''14'!F37,('Tariff Jul''14'!F37*'Tariff Jul''14'!F48/100),($F22*$F24)*('Tariff Jul''14'!F48/100))</f>
        <v>267.96000000000004</v>
      </c>
      <c r="E37" s="36">
        <f>IF($F22*$F24&gt;='Tariff Jul''14'!G37,('Tariff Jul''14'!G37*'Tariff Jul''14'!G48/100),($F22*$F24)*('Tariff Jul''14'!G48/100))</f>
        <v>275.55</v>
      </c>
      <c r="F37" s="36">
        <f>IF($F22*$F24&gt;='Tariff Jul''14'!H37,('Tariff Jul''14'!H37*'Tariff Jul''14'!H48/100),($F22*$F24)*('Tariff Jul''14'!H48/100))</f>
        <v>246.67500000000001</v>
      </c>
      <c r="G37" s="36">
        <f>IF($F22*$F24&gt;='Tariff Jul''14'!I37,('Tariff Jul''14'!I37*'Tariff Jul''14'!I48/100),($F22*$F24)*('Tariff Jul''14'!I48/100))</f>
        <v>240.57</v>
      </c>
      <c r="H37" s="36">
        <f>IF($F22*$F24&gt;='Tariff Jul''14'!J37,('Tariff Jul''14'!J37*'Tariff Jul''14'!J48/100),($F22*$F24)*('Tariff Jul''14'!J48/100))</f>
        <v>225.61350000000002</v>
      </c>
      <c r="I37" s="36">
        <f>IF($F22*$F24&gt;='Tariff Jul''14'!K37,('Tariff Jul''14'!K37*'Tariff Jul''14'!K48/100),($F22*$F24)*('Tariff Jul''14'!K48/100))</f>
        <v>253.60499999999999</v>
      </c>
      <c r="J37" s="36">
        <f>(($F22*$F24)*('Tariff Jul''14'!L48/100))</f>
        <v>266.14499999999998</v>
      </c>
      <c r="K37" s="36">
        <f>(($F22*$F24)*('Tariff Jul''14'!M48/100))</f>
        <v>250.79999999999998</v>
      </c>
      <c r="L37" s="36">
        <f>(($F22*$F24)*('Tariff Jul''14'!N48/100))</f>
        <v>247.5</v>
      </c>
      <c r="M37" s="36">
        <f>(($F22*$F24)*('Tariff Jul''14'!O48/100))</f>
        <v>295.84499999999997</v>
      </c>
      <c r="N37" s="36">
        <f>(($F22*$F24)*('Tariff Jul''14'!P48/100))</f>
        <v>251.29500000000002</v>
      </c>
      <c r="O37" s="32"/>
    </row>
    <row r="38" spans="1:15" x14ac:dyDescent="0.15">
      <c r="A38" s="28" t="s">
        <v>443</v>
      </c>
      <c r="B38" s="32"/>
      <c r="C38" s="36">
        <f>IF($F22*$F24&gt;'Tariff Jul''14'!E37,($F22*$F24-'Tariff Jul''14'!E37)*'Tariff Jul''14'!E49/100,0)</f>
        <v>0</v>
      </c>
      <c r="D38" s="36">
        <f>IF($F22*$F24&gt;'Tariff Jul''14'!F37,($F22*$F24-'Tariff Jul''14'!F37)*'Tariff Jul''14'!F49/100,0)</f>
        <v>0</v>
      </c>
      <c r="E38" s="36">
        <f>IF($F22*$F24&gt;'Tariff Jul''14'!G37,($F22*$F24-'Tariff Jul''14'!G37)*'Tariff Jul''14'!G49/100,0)</f>
        <v>0</v>
      </c>
      <c r="F38" s="36">
        <f>IF($F22*$F24&gt;'Tariff Jul''14'!H37,($F22*$F24-'Tariff Jul''14'!H37)*'Tariff Jul''14'!H49/100,0)</f>
        <v>0</v>
      </c>
      <c r="G38" s="36">
        <f>IF($F22*$F24&gt;'Tariff Jul''14'!I37,($F22*$F24-'Tariff Jul''14'!I37)*'Tariff Jul''14'!I49/100,0)</f>
        <v>0</v>
      </c>
      <c r="H38" s="36">
        <f>IF($F22*$F24&gt;'Tariff Jul''14'!J37,($F22*$F24-'Tariff Jul''14'!J37)*'Tariff Jul''14'!J49/100,0)</f>
        <v>0</v>
      </c>
      <c r="I38" s="36">
        <f>IF($F22*$F24&gt;'Tariff Jul''14'!K37,($F22*$F24-'Tariff Jul''14'!K37)*'Tariff Jul''14'!K49/100,0)</f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2"/>
    </row>
    <row r="39" spans="1:15" x14ac:dyDescent="0.15">
      <c r="A39" s="28" t="s">
        <v>420</v>
      </c>
      <c r="B39" s="32"/>
      <c r="C39" s="36">
        <f>'Tariff Jul''14'!E50*365/100</f>
        <v>256.11685</v>
      </c>
      <c r="D39" s="36">
        <f>'Tariff Jul''14'!F50*365/100</f>
        <v>296.26684999999998</v>
      </c>
      <c r="E39" s="36">
        <f>'Tariff Jul''14'!G50*365/100</f>
        <v>297.11</v>
      </c>
      <c r="F39" s="36">
        <f>'Tariff Jul''14'!H50*365/100</f>
        <v>292.04306999999994</v>
      </c>
      <c r="G39" s="36">
        <f>'Tariff Jul''14'!I50*365/100</f>
        <v>272.77909999999997</v>
      </c>
      <c r="H39" s="36">
        <f>'Tariff Jul''14'!J50*365/100</f>
        <v>276.36559</v>
      </c>
      <c r="I39" s="36">
        <f>'Tariff Jul''14'!K50*365/100</f>
        <v>327.82474999999999</v>
      </c>
      <c r="J39" s="36">
        <f>'Tariff Jul''14'!L50*365/100</f>
        <v>275.75020000000001</v>
      </c>
      <c r="K39" s="36">
        <f>'Tariff Jul''14'!M50*365/100</f>
        <v>287.87550000000005</v>
      </c>
      <c r="L39" s="36">
        <f>'Tariff Jul''14'!N50*365/100</f>
        <v>260.97500000000002</v>
      </c>
      <c r="M39" s="36">
        <f>'Tariff Jul''14'!O50*365/100</f>
        <v>275.00019799999995</v>
      </c>
      <c r="N39" s="36">
        <f>'Tariff Jul''14'!P50*365/100</f>
        <v>264.98999999999995</v>
      </c>
      <c r="O39" s="37">
        <f>AVERAGE(C39:N39)</f>
        <v>281.92475899999999</v>
      </c>
    </row>
    <row r="40" spans="1:15" x14ac:dyDescent="0.15">
      <c r="A40" s="38" t="s">
        <v>505</v>
      </c>
      <c r="B40" s="32"/>
      <c r="C40" s="39">
        <f>SUM(C27:C39)</f>
        <v>2740.2468499999995</v>
      </c>
      <c r="D40" s="39">
        <f t="shared" ref="D40:M40" si="1">SUM(D27:D39)</f>
        <v>2935.1668500000005</v>
      </c>
      <c r="E40" s="39">
        <f t="shared" si="1"/>
        <v>2904.6600000000003</v>
      </c>
      <c r="F40" s="39">
        <f t="shared" si="1"/>
        <v>2705.4980700000006</v>
      </c>
      <c r="G40" s="39">
        <f t="shared" si="1"/>
        <v>2688.0931</v>
      </c>
      <c r="H40" s="39">
        <f>SUM(H27:H39)</f>
        <v>2569.4370100000001</v>
      </c>
      <c r="I40" s="39">
        <f t="shared" si="1"/>
        <v>2817.4657500000003</v>
      </c>
      <c r="J40" s="39">
        <f t="shared" si="1"/>
        <v>2740.7511999999997</v>
      </c>
      <c r="K40" s="39">
        <f t="shared" si="1"/>
        <v>2554.9755000000005</v>
      </c>
      <c r="L40" s="39">
        <f>SUM(L27:L39)</f>
        <v>2651.2750000000001</v>
      </c>
      <c r="M40" s="39">
        <f t="shared" si="1"/>
        <v>2683.2851979999996</v>
      </c>
      <c r="N40" s="39">
        <f>SUM(N27:N39)</f>
        <v>2500.2449999999999</v>
      </c>
      <c r="O40" s="39">
        <f>AVERAGE(C40:N40)</f>
        <v>2707.5916273333337</v>
      </c>
    </row>
    <row r="41" spans="1:15" x14ac:dyDescent="0.1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O41" s="28"/>
    </row>
    <row r="42" spans="1:15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x14ac:dyDescent="0.15">
      <c r="A43" s="33" t="s">
        <v>490</v>
      </c>
      <c r="B43" s="32"/>
      <c r="C43" s="9" t="s">
        <v>492</v>
      </c>
      <c r="D43" s="9" t="s">
        <v>491</v>
      </c>
      <c r="E43" s="9" t="s">
        <v>385</v>
      </c>
      <c r="F43" s="9" t="s">
        <v>494</v>
      </c>
      <c r="G43" s="9" t="s">
        <v>470</v>
      </c>
      <c r="H43" s="9" t="s">
        <v>248</v>
      </c>
      <c r="I43" s="9" t="s">
        <v>467</v>
      </c>
      <c r="J43" s="9" t="s">
        <v>441</v>
      </c>
      <c r="K43" s="9" t="s">
        <v>333</v>
      </c>
      <c r="L43" s="9" t="s">
        <v>247</v>
      </c>
      <c r="M43" s="9" t="s">
        <v>204</v>
      </c>
      <c r="N43" s="9" t="s">
        <v>246</v>
      </c>
    </row>
    <row r="44" spans="1:15" x14ac:dyDescent="0.15">
      <c r="A44" s="28" t="s">
        <v>496</v>
      </c>
      <c r="B44" s="32"/>
      <c r="C44" s="20" t="s">
        <v>414</v>
      </c>
      <c r="D44" s="21" t="s">
        <v>381</v>
      </c>
      <c r="E44" s="21" t="s">
        <v>105</v>
      </c>
      <c r="F44" s="21" t="s">
        <v>497</v>
      </c>
      <c r="G44" s="21" t="s">
        <v>292</v>
      </c>
      <c r="H44" s="21" t="s">
        <v>110</v>
      </c>
      <c r="I44" s="21" t="s">
        <v>497</v>
      </c>
      <c r="J44" s="21" t="s">
        <v>223</v>
      </c>
      <c r="K44" s="28" t="s">
        <v>377</v>
      </c>
      <c r="L44" s="28" t="s">
        <v>285</v>
      </c>
      <c r="M44" s="28" t="s">
        <v>536</v>
      </c>
      <c r="N44" s="28" t="s">
        <v>387</v>
      </c>
    </row>
    <row r="45" spans="1:15" x14ac:dyDescent="0.15">
      <c r="A45" s="28" t="s">
        <v>522</v>
      </c>
      <c r="B45" s="32"/>
      <c r="C45" s="21" t="s">
        <v>400</v>
      </c>
      <c r="D45" s="21" t="s">
        <v>224</v>
      </c>
      <c r="E45" s="21" t="s">
        <v>401</v>
      </c>
      <c r="F45" s="21" t="s">
        <v>400</v>
      </c>
      <c r="G45" s="21" t="s">
        <v>377</v>
      </c>
      <c r="H45" s="21" t="s">
        <v>395</v>
      </c>
      <c r="I45" s="21" t="s">
        <v>400</v>
      </c>
      <c r="J45" s="21" t="s">
        <v>226</v>
      </c>
      <c r="K45" s="28" t="s">
        <v>331</v>
      </c>
      <c r="L45" s="28" t="s">
        <v>285</v>
      </c>
      <c r="M45" s="21" t="s">
        <v>224</v>
      </c>
      <c r="N45" s="21" t="s">
        <v>224</v>
      </c>
    </row>
    <row r="46" spans="1:15" x14ac:dyDescent="0.15">
      <c r="A46" s="28" t="s">
        <v>512</v>
      </c>
      <c r="B46" s="32"/>
      <c r="C46" s="21" t="s">
        <v>227</v>
      </c>
      <c r="D46" s="22" t="s">
        <v>260</v>
      </c>
      <c r="E46" s="22" t="s">
        <v>390</v>
      </c>
      <c r="F46" s="22" t="s">
        <v>466</v>
      </c>
      <c r="G46" s="22" t="s">
        <v>377</v>
      </c>
      <c r="H46" s="22">
        <v>82.5</v>
      </c>
      <c r="I46" s="22">
        <v>75</v>
      </c>
      <c r="J46" s="22">
        <v>48</v>
      </c>
      <c r="K46" s="28" t="s">
        <v>220</v>
      </c>
      <c r="L46" s="28" t="s">
        <v>285</v>
      </c>
      <c r="M46" s="22">
        <v>75</v>
      </c>
      <c r="N46" s="28" t="s">
        <v>387</v>
      </c>
    </row>
    <row r="47" spans="1:15" x14ac:dyDescent="0.15">
      <c r="A47" s="28" t="s">
        <v>532</v>
      </c>
      <c r="B47" s="32"/>
      <c r="C47" s="21" t="s">
        <v>415</v>
      </c>
      <c r="D47" s="20" t="s">
        <v>259</v>
      </c>
      <c r="E47" s="20" t="s">
        <v>106</v>
      </c>
      <c r="F47" s="20" t="s">
        <v>111</v>
      </c>
      <c r="G47" s="20" t="s">
        <v>288</v>
      </c>
      <c r="H47" s="20" t="s">
        <v>285</v>
      </c>
      <c r="I47" s="20" t="s">
        <v>380</v>
      </c>
      <c r="J47" s="21" t="s">
        <v>497</v>
      </c>
      <c r="K47" s="28" t="s">
        <v>232</v>
      </c>
      <c r="L47" s="28" t="s">
        <v>286</v>
      </c>
      <c r="M47" s="28" t="s">
        <v>536</v>
      </c>
      <c r="N47" s="28" t="s">
        <v>387</v>
      </c>
    </row>
    <row r="48" spans="1:15" x14ac:dyDescent="0.15">
      <c r="A48" s="28" t="s">
        <v>376</v>
      </c>
      <c r="B48" s="32"/>
      <c r="C48" s="64">
        <v>12.73</v>
      </c>
      <c r="D48" s="64">
        <v>12</v>
      </c>
      <c r="E48" s="64" t="s">
        <v>292</v>
      </c>
      <c r="F48" s="64" t="s">
        <v>292</v>
      </c>
      <c r="G48" s="36" t="s">
        <v>292</v>
      </c>
      <c r="H48" s="64">
        <v>14.85</v>
      </c>
      <c r="I48" s="36" t="s">
        <v>107</v>
      </c>
      <c r="J48" s="64">
        <v>12.75</v>
      </c>
      <c r="K48" s="36" t="s">
        <v>107</v>
      </c>
      <c r="L48" s="36" t="s">
        <v>285</v>
      </c>
      <c r="M48" s="36" t="s">
        <v>107</v>
      </c>
      <c r="N48" s="36" t="s">
        <v>284</v>
      </c>
    </row>
    <row r="49" spans="1:15" x14ac:dyDescent="0.15">
      <c r="A49" s="28" t="s">
        <v>553</v>
      </c>
      <c r="B49" s="32"/>
      <c r="C49" s="21" t="s">
        <v>262</v>
      </c>
      <c r="D49" s="21" t="s">
        <v>262</v>
      </c>
      <c r="E49" s="21" t="s">
        <v>497</v>
      </c>
      <c r="F49" s="21" t="s">
        <v>497</v>
      </c>
      <c r="G49" s="21" t="s">
        <v>377</v>
      </c>
      <c r="H49" s="21" t="s">
        <v>285</v>
      </c>
      <c r="I49" s="21" t="s">
        <v>497</v>
      </c>
      <c r="J49" s="21" t="s">
        <v>384</v>
      </c>
      <c r="K49" s="28" t="s">
        <v>377</v>
      </c>
      <c r="L49" s="28" t="s">
        <v>285</v>
      </c>
      <c r="M49" s="28" t="s">
        <v>536</v>
      </c>
      <c r="N49" s="28" t="s">
        <v>387</v>
      </c>
    </row>
    <row r="50" spans="1:15" x14ac:dyDescent="0.1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2" spans="1:15" x14ac:dyDescent="0.1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2"/>
      <c r="N52" s="62"/>
      <c r="O52" s="62"/>
    </row>
  </sheetData>
  <sheetProtection algorithmName="SHA-512" hashValue="k6Rj4f/yXTkDas7rUTiG/HrDDoKp61s+SJfHAQ4rBKOvqEjT5uyowdlM2Paov8katcBoOjYMD92UI0XKKEOKFA==" saltValue="024royAA9BdJl5scPkR0TQ==" spinCount="100000" sheet="1" objects="1" scenarios="1"/>
  <phoneticPr fontId="6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L50"/>
  <sheetViews>
    <sheetView workbookViewId="0">
      <selection activeCell="O25" sqref="O25"/>
    </sheetView>
  </sheetViews>
  <sheetFormatPr baseColWidth="10" defaultRowHeight="13" x14ac:dyDescent="0.15"/>
  <cols>
    <col min="1" max="1" width="20.5" style="29" customWidth="1"/>
    <col min="2" max="2" width="2.5" style="29" customWidth="1"/>
    <col min="3" max="3" width="11.1640625" style="29" customWidth="1"/>
    <col min="4" max="4" width="11.33203125" style="29" customWidth="1"/>
    <col min="5" max="5" width="12.6640625" style="29" customWidth="1"/>
    <col min="6" max="10" width="10" style="29" customWidth="1"/>
    <col min="11" max="16384" width="10.83203125" style="29"/>
  </cols>
  <sheetData>
    <row r="1" spans="1:12" x14ac:dyDescent="0.15">
      <c r="A1" s="28" t="s">
        <v>518</v>
      </c>
      <c r="B1" s="28"/>
      <c r="C1" s="28"/>
      <c r="D1" s="28"/>
      <c r="E1" s="28"/>
      <c r="F1" s="28"/>
      <c r="G1" s="28"/>
      <c r="H1" s="28"/>
      <c r="I1" s="28"/>
      <c r="J1" s="28"/>
    </row>
    <row r="2" spans="1:12" x14ac:dyDescent="0.1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x14ac:dyDescent="0.15">
      <c r="A3" s="31" t="s">
        <v>499</v>
      </c>
      <c r="B3" s="32"/>
      <c r="C3" s="28"/>
      <c r="D3" s="28"/>
      <c r="E3" s="28"/>
      <c r="F3" s="28"/>
      <c r="G3" s="28"/>
      <c r="H3" s="28"/>
      <c r="I3" s="28"/>
      <c r="J3" s="28"/>
    </row>
    <row r="4" spans="1:12" x14ac:dyDescent="0.15">
      <c r="A4" s="28"/>
      <c r="B4" s="32"/>
      <c r="C4" s="28"/>
      <c r="D4" s="28"/>
      <c r="E4" s="28"/>
      <c r="F4" s="28"/>
      <c r="G4" s="28"/>
      <c r="H4" s="28"/>
      <c r="I4" s="28"/>
      <c r="J4" s="28"/>
    </row>
    <row r="5" spans="1:12" x14ac:dyDescent="0.15">
      <c r="A5" s="33" t="s">
        <v>418</v>
      </c>
      <c r="B5" s="32"/>
      <c r="C5" s="33" t="s">
        <v>335</v>
      </c>
      <c r="D5" s="28"/>
      <c r="E5" s="28"/>
      <c r="F5" s="10">
        <v>6000</v>
      </c>
      <c r="G5" s="28"/>
      <c r="H5" s="28"/>
      <c r="I5" s="28"/>
      <c r="J5" s="28"/>
    </row>
    <row r="6" spans="1:12" x14ac:dyDescent="0.15">
      <c r="A6" s="28"/>
      <c r="B6" s="32"/>
      <c r="C6" s="28"/>
      <c r="D6" s="28"/>
      <c r="E6" s="28"/>
      <c r="F6" s="28"/>
      <c r="G6" s="28"/>
      <c r="H6" s="28"/>
      <c r="I6" s="28"/>
      <c r="J6" s="28"/>
    </row>
    <row r="7" spans="1:12" x14ac:dyDescent="0.15">
      <c r="A7" s="34" t="s">
        <v>249</v>
      </c>
      <c r="B7" s="35"/>
      <c r="C7" s="9" t="s">
        <v>492</v>
      </c>
      <c r="D7" s="9" t="s">
        <v>491</v>
      </c>
      <c r="E7" s="9" t="s">
        <v>385</v>
      </c>
      <c r="F7" s="9" t="s">
        <v>494</v>
      </c>
      <c r="G7" s="9" t="s">
        <v>470</v>
      </c>
      <c r="H7" s="9" t="s">
        <v>432</v>
      </c>
      <c r="I7" s="9" t="s">
        <v>263</v>
      </c>
      <c r="J7" s="9" t="s">
        <v>203</v>
      </c>
      <c r="K7" s="9" t="s">
        <v>204</v>
      </c>
      <c r="L7" s="9" t="s">
        <v>594</v>
      </c>
    </row>
    <row r="8" spans="1:12" x14ac:dyDescent="0.15">
      <c r="A8" s="28" t="s">
        <v>243</v>
      </c>
      <c r="B8" s="32"/>
      <c r="C8" s="36">
        <f>IF($F5*'Tariff Jul''13'!E7/'Tariff Jul''13'!E8&gt;='Tariff Jul''13'!E11,('Tariff Jul''13'!E11*'Tariff Jul''13'!E15/100)*'Tariff Jul''13'!E8,($F5*'Tariff Jul''13'!E7/'Tariff Jul''13'!E8*'Tariff Jul''13'!E15/100)*'Tariff Jul''13'!E8)</f>
        <v>99.165000000000006</v>
      </c>
      <c r="D8" s="36">
        <f>IF($F5*'Tariff Jul''13'!F7/'Tariff Jul''13'!F8&gt;='Tariff Jul''13'!F11,('Tariff Jul''13'!F11*'Tariff Jul''13'!F15/100)*'Tariff Jul''13'!F8,($F5*'Tariff Jul''13'!F7/'Tariff Jul''13'!F8*'Tariff Jul''13'!F15/100)*'Tariff Jul''13'!F8)</f>
        <v>106.821</v>
      </c>
      <c r="E8" s="36">
        <f>IF($F5*'Tariff Jul''13'!G7/'Tariff Jul''13'!G8&gt;='Tariff Jul''13'!G11,('Tariff Jul''13'!G11*'Tariff Jul''13'!G15/100)*'Tariff Jul''13'!G8,($F5*'Tariff Jul''13'!G7/'Tariff Jul''13'!G8*'Tariff Jul''13'!G15/100)*'Tariff Jul''13'!G8)</f>
        <v>364.65</v>
      </c>
      <c r="F8" s="36">
        <f>IF($F5*'Tariff Jul''13'!H7/'Tariff Jul''13'!H8&gt;='Tariff Jul''13'!H11,('Tariff Jul''13'!H11*'Tariff Jul''13'!H15/100)*'Tariff Jul''13'!H8,($F5*'Tariff Jul''13'!H7/'Tariff Jul''13'!H8*'Tariff Jul''13'!H15/100)*'Tariff Jul''13'!H8)</f>
        <v>101.40899999999999</v>
      </c>
      <c r="G8" s="36">
        <f>IF($F5*'Tariff Jul''13'!I7/'Tariff Jul''13'!I8&gt;='Tariff Jul''13'!I11,('Tariff Jul''13'!I11*'Tariff Jul''13'!I15/100)*'Tariff Jul''13'!I8,($F5*'Tariff Jul''13'!I7/'Tariff Jul''13'!I8*'Tariff Jul''13'!I15/100)*'Tariff Jul''13'!I8)</f>
        <v>104.84100000000001</v>
      </c>
      <c r="H8" s="36">
        <f>IF($F5*'Tariff Jul''13'!J7/'Tariff Jul''13'!J8&gt;='Tariff Jul''13'!J11,('Tariff Jul''13'!J11*'Tariff Jul''13'!J15/100)*'Tariff Jul''13'!J8,($F5*'Tariff Jul''13'!J7/'Tariff Jul''13'!J8*'Tariff Jul''13'!J15/100)*'Tariff Jul''13'!J8)</f>
        <v>99.99</v>
      </c>
      <c r="I8" s="36">
        <f>IF($F5*'Tariff Jul''13'!K7/'Tariff Jul''13'!K8&gt;='Tariff Jul''13'!K11,('Tariff Jul''13'!K11*'Tariff Jul''13'!K15/100)*'Tariff Jul''13'!K8,($F5*'Tariff Jul''13'!K7/'Tariff Jul''13'!K8*'Tariff Jul''13'!K15/100)*'Tariff Jul''13'!K8)</f>
        <v>99.890999999999991</v>
      </c>
      <c r="J8" s="36">
        <f>IF($F5*'Tariff Jul''13'!L7/'Tariff Jul''13'!L8&gt;='Tariff Jul''13'!L11,('Tariff Jul''13'!L11*'Tariff Jul''13'!L15/100)*'Tariff Jul''13'!L8,($F5*'Tariff Jul''13'!L7/'Tariff Jul''13'!L8*'Tariff Jul''13'!L15/100)*'Tariff Jul''13'!L8)</f>
        <v>108.9</v>
      </c>
      <c r="K8" s="36">
        <f>IF($F5*'Tariff Jul''13'!M7/'Tariff Jul''13'!M8&gt;='Tariff Jul''13'!M11,('Tariff Jul''13'!M11*'Tariff Jul''13'!M15/100)*'Tariff Jul''13'!M8,($F5*'Tariff Jul''13'!M7/'Tariff Jul''13'!M8*'Tariff Jul''13'!M15/100)*'Tariff Jul''13'!M8)</f>
        <v>320.54000000000002</v>
      </c>
      <c r="L8" s="32"/>
    </row>
    <row r="9" spans="1:12" x14ac:dyDescent="0.15">
      <c r="A9" s="28" t="s">
        <v>317</v>
      </c>
      <c r="B9" s="32"/>
      <c r="C9" s="36">
        <f>IF($F5*'Tariff Jul''13'!E7/'Tariff Jul''13'!E8&lt;'Tariff Jul''13'!E11,0,IF($F5*'Tariff Jul''13'!E7/'Tariff Jul''13'!E8&lt;='Tariff Jul''13'!E12,($F5*'Tariff Jul''13'!E7/'Tariff Jul''13'!E8-'Tariff Jul''13'!E11)*('Tariff Jul''13'!E16/100)*'Tariff Jul''13'!E8,('Tariff Jul''13'!E12-'Tariff Jul''13'!E11)*('Tariff Jul''13'!E16/100)*'Tariff Jul''13'!E8))</f>
        <v>252.17499999999998</v>
      </c>
      <c r="D9" s="36">
        <f>IF($F5*'Tariff Jul''13'!F7/'Tariff Jul''13'!F8&lt;'Tariff Jul''13'!F11,0,IF($F5*'Tariff Jul''13'!F7/'Tariff Jul''13'!F8&lt;='Tariff Jul''13'!F12,($F5*'Tariff Jul''13'!F7/'Tariff Jul''13'!F8-'Tariff Jul''13'!F11)*('Tariff Jul''13'!F16/100)*'Tariff Jul''13'!F8,('Tariff Jul''13'!F12-'Tariff Jul''13'!F11)*('Tariff Jul''13'!F16/100)*'Tariff Jul''13'!F8))</f>
        <v>271.34800000000001</v>
      </c>
      <c r="E9" s="36">
        <f>IF($F5*'Tariff Jul''13'!G7/'Tariff Jul''13'!G8&lt;'Tariff Jul''13'!G11,0,IF($F5*'Tariff Jul''13'!G7/'Tariff Jul''13'!G8&lt;='Tariff Jul''13'!G12,($F5*'Tariff Jul''13'!G7/'Tariff Jul''13'!G8-'Tariff Jul''13'!G11)*('Tariff Jul''13'!G16/100)*'Tariff Jul''13'!G8,('Tariff Jul''13'!G12-'Tariff Jul''13'!G11)*('Tariff Jul''13'!G16/100)*'Tariff Jul''13'!G8))</f>
        <v>216.14999999999998</v>
      </c>
      <c r="F9" s="36">
        <f>IF($F5*'Tariff Jul''13'!H7/'Tariff Jul''13'!H8&lt;'Tariff Jul''13'!H11,0,IF($F5*'Tariff Jul''13'!H7/'Tariff Jul''13'!H8&lt;='Tariff Jul''13'!H12,($F5*'Tariff Jul''13'!H7/'Tariff Jul''13'!H8-'Tariff Jul''13'!H11)*('Tariff Jul''13'!H16/100)*'Tariff Jul''13'!H8,('Tariff Jul''13'!H12-'Tariff Jul''13'!H11)*('Tariff Jul''13'!H16/100)*'Tariff Jul''13'!H8))</f>
        <v>240.85599999999999</v>
      </c>
      <c r="G9" s="36">
        <f>IF($F5*'Tariff Jul''13'!I7/'Tariff Jul''13'!I8&lt;'Tariff Jul''13'!I11,0,IF($F5*'Tariff Jul''13'!I7/'Tariff Jul''13'!I8&lt;='Tariff Jul''13'!I12,($F5*'Tariff Jul''13'!I7/'Tariff Jul''13'!I8-'Tariff Jul''13'!I11)*('Tariff Jul''13'!I16/100)*'Tariff Jul''13'!I8,('Tariff Jul''13'!I12-'Tariff Jul''13'!I11)*('Tariff Jul''13'!I16/100)*'Tariff Jul''13'!I8))</f>
        <v>266.65100000000001</v>
      </c>
      <c r="H9" s="36">
        <f>IF($F5*'Tariff Jul''13'!J7/'Tariff Jul''13'!J8&lt;'Tariff Jul''13'!J11,0,IF($F5*'Tariff Jul''13'!J7/'Tariff Jul''13'!J8&lt;='Tariff Jul''13'!J12,($F5*'Tariff Jul''13'!J7/'Tariff Jul''13'!J8-'Tariff Jul''13'!J11)*('Tariff Jul''13'!J16/100)*'Tariff Jul''13'!J8,('Tariff Jul''13'!J12-'Tariff Jul''13'!J11)*('Tariff Jul''13'!J16/100)*'Tariff Jul''13'!J8))</f>
        <v>237.69899999999998</v>
      </c>
      <c r="I9" s="36">
        <v>0</v>
      </c>
      <c r="J9" s="36">
        <f>IF($F5*'Tariff Jul''13'!L7/'Tariff Jul''13'!L8&lt;'Tariff Jul''13'!L11,0,IF($F5*'Tariff Jul''13'!L7/'Tariff Jul''13'!L8&lt;='Tariff Jul''13'!L12,($F5*'Tariff Jul''13'!L7/'Tariff Jul''13'!L8-'Tariff Jul''13'!L11)*('Tariff Jul''13'!L16/100)*'Tariff Jul''13'!L8,('Tariff Jul''13'!L12-'Tariff Jul''13'!L11)*('Tariff Jul''13'!L16/100)*'Tariff Jul''13'!L8))</f>
        <v>265.64999999999998</v>
      </c>
      <c r="K9" s="36">
        <v>0</v>
      </c>
      <c r="L9" s="32"/>
    </row>
    <row r="10" spans="1:12" x14ac:dyDescent="0.15">
      <c r="A10" s="28" t="s">
        <v>250</v>
      </c>
      <c r="B10" s="32"/>
      <c r="C10" s="36">
        <f>IF($F5*'Tariff Jul''13'!E7/'Tariff Jul''13'!E8&lt;'Tariff Jul''13'!E12,0,IF($F5*'Tariff Jul''13'!E7/'Tariff Jul''13'!E8&lt;='Tariff Jul''13'!E13,($F5*'Tariff Jul''13'!E7/'Tariff Jul''13'!E8-'Tariff Jul''13'!E12)*('Tariff Jul''13'!E17/100)*'Tariff Jul''13'!E8,('Tariff Jul''13'!E13-'Tariff Jul''13'!E12)*('Tariff Jul''13'!E17/100)*'Tariff Jul''13'!E8))</f>
        <v>203.22500000000002</v>
      </c>
      <c r="D10" s="36">
        <f>IF($F5*'Tariff Jul''13'!F7/'Tariff Jul''13'!F8&lt;'Tariff Jul''13'!F12,0,IF($F5*'Tariff Jul''13'!F7/'Tariff Jul''13'!F8&lt;='Tariff Jul''13'!F13,($F5*'Tariff Jul''13'!F7/'Tariff Jul''13'!F8-'Tariff Jul''13'!F12)*('Tariff Jul''13'!F17/100)*'Tariff Jul''13'!F8,('Tariff Jul''13'!F13-'Tariff Jul''13'!F12)*('Tariff Jul''13'!F17/100)*'Tariff Jul''13'!F8))</f>
        <v>218.79000000000002</v>
      </c>
      <c r="E10" s="36">
        <f>IF($F5*'Tariff Jul''13'!G7/'Tariff Jul''13'!G8&lt;'Tariff Jul''13'!G12,0,IF($F5*'Tariff Jul''13'!G7/'Tariff Jul''13'!G8&lt;='Tariff Jul''13'!G13,($F5*'Tariff Jul''13'!G7/'Tariff Jul''13'!G8-'Tariff Jul''13'!G12)*('Tariff Jul''13'!G17/100)*'Tariff Jul''13'!G8,('Tariff Jul''13'!G13-'Tariff Jul''13'!G12)*('Tariff Jul''13'!G17/100)*'Tariff Jul''13'!G8))</f>
        <v>0</v>
      </c>
      <c r="F10" s="36">
        <f>IF($F5*'Tariff Jul''13'!H7/'Tariff Jul''13'!H8&lt;'Tariff Jul''13'!H12,0,IF($F5*'Tariff Jul''13'!H7/'Tariff Jul''13'!H8&lt;='Tariff Jul''13'!H13,($F5*'Tariff Jul''13'!H7/'Tariff Jul''13'!H8-'Tariff Jul''13'!H12)*('Tariff Jul''13'!H17/100)*'Tariff Jul''13'!H8,('Tariff Jul''13'!H13-'Tariff Jul''13'!H12)*('Tariff Jul''13'!H17/100)*'Tariff Jul''13'!H8))</f>
        <v>199.43000000000004</v>
      </c>
      <c r="G10" s="36">
        <f>IF($F5*'Tariff Jul''13'!I7/'Tariff Jul''13'!I8&lt;'Tariff Jul''13'!I12,0,IF($F5*'Tariff Jul''13'!I7/'Tariff Jul''13'!I8&lt;='Tariff Jul''13'!I13,($F5*'Tariff Jul''13'!I7/'Tariff Jul''13'!I8-'Tariff Jul''13'!I12)*('Tariff Jul''13'!I17/100)*'Tariff Jul''13'!I8,('Tariff Jul''13'!I13-'Tariff Jul''13'!I12)*('Tariff Jul''13'!I17/100)*'Tariff Jul''13'!I8))</f>
        <v>214.99500000000003</v>
      </c>
      <c r="H10" s="36">
        <f>IF($F5*'Tariff Jul''13'!J7/'Tariff Jul''13'!J8&lt;'Tariff Jul''13'!J12,0,IF($F5*'Tariff Jul''13'!J7/'Tariff Jul''13'!J8&lt;='Tariff Jul''13'!J13,($F5*'Tariff Jul''13'!J7/'Tariff Jul''13'!J8-'Tariff Jul''13'!J12)*('Tariff Jul''13'!J17/100)*'Tariff Jul''13'!J8,('Tariff Jul''13'!J13-'Tariff Jul''13'!J12)*('Tariff Jul''13'!J17/100)*'Tariff Jul''13'!J8))</f>
        <v>194.315</v>
      </c>
      <c r="I10" s="36">
        <v>0</v>
      </c>
      <c r="J10" s="36">
        <v>0</v>
      </c>
      <c r="K10" s="36">
        <v>0</v>
      </c>
      <c r="L10" s="32"/>
    </row>
    <row r="11" spans="1:12" x14ac:dyDescent="0.15">
      <c r="A11" s="28" t="s">
        <v>251</v>
      </c>
      <c r="B11" s="32"/>
      <c r="C11" s="36">
        <f>IF($F5*'Tariff Jul''13'!E7/'Tariff Jul''13'!E8&lt;'Tariff Jul''13'!E13,0,IF($F5*'Tariff Jul''13'!E7/'Tariff Jul''13'!E8&lt;='Tariff Jul''13'!E14,($F5*'Tariff Jul''13'!E7/'Tariff Jul''13'!E8-'Tariff Jul''13'!E13)*('Tariff Jul''13'!E18/100)*'Tariff Jul''13'!E8,('Tariff Jul''13'!E14-'Tariff Jul''13'!E13)*('Tariff Jul''13'!E18/100)*'Tariff Jul''13'!E8))</f>
        <v>0</v>
      </c>
      <c r="D11" s="36">
        <f>IF($F5*'Tariff Jul''13'!F7/'Tariff Jul''13'!F8&lt;'Tariff Jul''13'!F13,0,IF($F5*'Tariff Jul''13'!F7/'Tariff Jul''13'!F8&lt;='Tariff Jul''13'!F14,($F5*'Tariff Jul''13'!F7/'Tariff Jul''13'!F8-'Tariff Jul''13'!F13)*('Tariff Jul''13'!F18/100)*'Tariff Jul''13'!F8,('Tariff Jul''13'!F14-'Tariff Jul''13'!F13)*('Tariff Jul''13'!F18/100)*'Tariff Jul''13'!F8))</f>
        <v>0</v>
      </c>
      <c r="E11" s="36">
        <f>IF($F5*'Tariff Jul''13'!G7/'Tariff Jul''13'!G8&lt;'Tariff Jul''13'!G13,0,IF($F5*'Tariff Jul''13'!G7/'Tariff Jul''13'!G8&lt;='Tariff Jul''13'!G14,($F5*'Tariff Jul''13'!G7/'Tariff Jul''13'!G8-'Tariff Jul''13'!G13)*('Tariff Jul''13'!G18/100)*'Tariff Jul''13'!G8,('Tariff Jul''13'!G14-'Tariff Jul''13'!G13)*('Tariff Jul''13'!G18/100)*'Tariff Jul''13'!G8))</f>
        <v>0</v>
      </c>
      <c r="F11" s="36">
        <f>IF($F5*'Tariff Jul''13'!H7/'Tariff Jul''13'!H8&lt;'Tariff Jul''13'!H13,0,IF($F5*'Tariff Jul''13'!H7/'Tariff Jul''13'!H8&lt;='Tariff Jul''13'!H14,($F5*'Tariff Jul''13'!H7/'Tariff Jul''13'!H8-'Tariff Jul''13'!H13)*('Tariff Jul''13'!H18/100)*'Tariff Jul''13'!H8,('Tariff Jul''13'!H14-'Tariff Jul''13'!H13)*('Tariff Jul''13'!H18/100)*'Tariff Jul''13'!H8))</f>
        <v>0</v>
      </c>
      <c r="G11" s="36">
        <f>IF($F5*'Tariff Jul''13'!I7/'Tariff Jul''13'!I8&lt;'Tariff Jul''13'!I13,0,IF($F5*'Tariff Jul''13'!I7/'Tariff Jul''13'!I8&lt;='Tariff Jul''13'!I14,($F5*'Tariff Jul''13'!I7/'Tariff Jul''13'!I8-'Tariff Jul''13'!I13)*('Tariff Jul''13'!I18/100)*'Tariff Jul''13'!I8,('Tariff Jul''13'!I14-'Tariff Jul''13'!I13)*('Tariff Jul''13'!I18/100)*'Tariff Jul''13'!I8))</f>
        <v>0</v>
      </c>
      <c r="H11" s="36">
        <f>IF($F5*'Tariff Jul''13'!J7/'Tariff Jul''13'!J8&lt;'Tariff Jul''13'!J13,0,IF($F5*'Tariff Jul''13'!J7/'Tariff Jul''13'!J8&lt;='Tariff Jul''13'!J14,($F5*'Tariff Jul''13'!J7/'Tariff Jul''13'!J8-'Tariff Jul''13'!J13)*('Tariff Jul''13'!J18/100)*'Tariff Jul''13'!J8,('Tariff Jul''13'!J14-'Tariff Jul''13'!J13)*('Tariff Jul''13'!J18/100)*'Tariff Jul''13'!J8))</f>
        <v>0</v>
      </c>
      <c r="I11" s="36">
        <v>0</v>
      </c>
      <c r="J11" s="36">
        <v>0</v>
      </c>
      <c r="K11" s="36">
        <v>0</v>
      </c>
      <c r="L11" s="32"/>
    </row>
    <row r="12" spans="1:12" x14ac:dyDescent="0.15">
      <c r="A12" s="28" t="s">
        <v>104</v>
      </c>
      <c r="B12" s="32"/>
      <c r="C12" s="36">
        <f>IF(($F5*'Tariff Jul''13'!E7/'Tariff Jul''13'!E8&gt;'Tariff Jul''13'!E14),($F5*'Tariff Jul''13'!E7/'Tariff Jul''13'!E8-'Tariff Jul''13'!E14)*'Tariff Jul''13'!E19/100*'Tariff Jul''13'!E8,0)</f>
        <v>0</v>
      </c>
      <c r="D12" s="36">
        <f>IF(($F5*'Tariff Jul''13'!F7/'Tariff Jul''13'!F8&gt;'Tariff Jul''13'!F14),($F5*'Tariff Jul''13'!F7/'Tariff Jul''13'!F8-'Tariff Jul''13'!F14)*'Tariff Jul''13'!F19/100*'Tariff Jul''13'!F8,0)</f>
        <v>0</v>
      </c>
      <c r="E12" s="36">
        <f>IF(($F5*'Tariff Jul''13'!G7/'Tariff Jul''13'!G8&gt;'Tariff Jul''13'!G14),($F5*'Tariff Jul''13'!G7/'Tariff Jul''13'!G8-'Tariff Jul''13'!G14)*'Tariff Jul''13'!G19/100*'Tariff Jul''13'!G8,0)</f>
        <v>0</v>
      </c>
      <c r="F12" s="36">
        <f>IF(($F5*'Tariff Jul''13'!H7/'Tariff Jul''13'!H8&gt;'Tariff Jul''13'!H14),($F5*'Tariff Jul''13'!H7/'Tariff Jul''13'!H8-'Tariff Jul''13'!H14)*'Tariff Jul''13'!H19/100*'Tariff Jul''13'!H8,0)</f>
        <v>0</v>
      </c>
      <c r="G12" s="36">
        <f>IF(($F5*'Tariff Jul''13'!I7/'Tariff Jul''13'!I8&gt;'Tariff Jul''13'!I14),($F5*'Tariff Jul''13'!I7/'Tariff Jul''13'!I8-'Tariff Jul''13'!I14)*'Tariff Jul''13'!I19/100*'Tariff Jul''13'!I8,0)</f>
        <v>0</v>
      </c>
      <c r="H12" s="36">
        <f>IF(($F5*'Tariff Jul''13'!J7/'Tariff Jul''13'!J8&gt;'Tariff Jul''13'!J14),($F5*'Tariff Jul''13'!J7/'Tariff Jul''13'!J8-'Tariff Jul''13'!J14)*'Tariff Jul''13'!J19/100*'Tariff Jul''13'!J8,0)</f>
        <v>0</v>
      </c>
      <c r="I12" s="36">
        <f>IF(($F5*'Tariff Jul''13'!K7/'Tariff Jul''13'!K8&gt;'Tariff Jul''13'!K14),($F5*'Tariff Jul''13'!K7/'Tariff Jul''13'!K8-'Tariff Jul''13'!K14)*'Tariff Jul''13'!K19/100*'Tariff Jul''13'!K8,0)</f>
        <v>398.24399999999991</v>
      </c>
      <c r="J12" s="36">
        <f>IF(($F5*'Tariff Jul''13'!L7/'Tariff Jul''13'!L8&gt;'Tariff Jul''13'!L14),($F5*'Tariff Jul''13'!L7/'Tariff Jul''13'!L8-'Tariff Jul''13'!L14)*'Tariff Jul''13'!L19/100*'Tariff Jul''13'!L8,0)</f>
        <v>209</v>
      </c>
      <c r="K12" s="36">
        <f>IF(($F5*'Tariff Jul''13'!M7/'Tariff Jul''13'!M8&gt;'Tariff Jul''13'!M14),($F5*'Tariff Jul''13'!M7/'Tariff Jul''13'!M8-'Tariff Jul''13'!M14)*'Tariff Jul''13'!M19/100*'Tariff Jul''13'!M8,0)</f>
        <v>183.755</v>
      </c>
      <c r="L12" s="32"/>
    </row>
    <row r="13" spans="1:12" x14ac:dyDescent="0.15">
      <c r="A13" s="28" t="s">
        <v>231</v>
      </c>
      <c r="B13" s="32"/>
      <c r="C13" s="36">
        <f>IF($F5*'Tariff Jul''13'!E9/'Tariff Jul''13'!E10&gt;='Tariff Jul''13'!E11,('Tariff Jul''13'!E11*'Tariff Jul''13'!E20/100)*'Tariff Jul''13'!E10,($F5*'Tariff Jul''13'!E9/'Tariff Jul''13'!E10*'Tariff Jul''13'!E20/100)*'Tariff Jul''13'!E10)</f>
        <v>282.34800000000001</v>
      </c>
      <c r="D13" s="36">
        <f>IF($F5*'Tariff Jul''13'!F9/'Tariff Jul''13'!F10&gt;='Tariff Jul''13'!F11,('Tariff Jul''13'!F11*'Tariff Jul''13'!F20/100)*'Tariff Jul''13'!F10,($F5*'Tariff Jul''13'!F9/'Tariff Jul''13'!F10*'Tariff Jul''13'!F20/100)*'Tariff Jul''13'!F10)</f>
        <v>304.22699999999998</v>
      </c>
      <c r="E13" s="36">
        <f>IF($F5*'Tariff Jul''13'!G9/'Tariff Jul''13'!G10&gt;='Tariff Jul''13'!G11,('Tariff Jul''13'!G11*'Tariff Jul''13'!G20/100)*'Tariff Jul''13'!G10,($F5*'Tariff Jul''13'!G9/'Tariff Jul''13'!G10*'Tariff Jul''13'!G20/100)*'Tariff Jul''13'!G10)</f>
        <v>1021.3499999999999</v>
      </c>
      <c r="F13" s="36">
        <f>IF($F5*'Tariff Jul''13'!H9/'Tariff Jul''13'!H10&gt;='Tariff Jul''13'!H11,('Tariff Jul''13'!H11*'Tariff Jul''13'!H20/100)*'Tariff Jul''13'!H10,($F5*'Tariff Jul''13'!H9/'Tariff Jul''13'!H10*'Tariff Jul''13'!H20/100)*'Tariff Jul''13'!H10)</f>
        <v>304.22699999999998</v>
      </c>
      <c r="G13" s="36">
        <f>IF($F5*'Tariff Jul''13'!I9/'Tariff Jul''13'!I10&gt;='Tariff Jul''13'!I11,('Tariff Jul''13'!I11*'Tariff Jul''13'!I20/100)*'Tariff Jul''13'!I10,($F5*'Tariff Jul''13'!I9/'Tariff Jul''13'!I10*'Tariff Jul''13'!I20/100)*'Tariff Jul''13'!I10)</f>
        <v>298.48500000000001</v>
      </c>
      <c r="H13" s="36">
        <f>IF($F5*'Tariff Jul''13'!J9/'Tariff Jul''13'!J10&gt;='Tariff Jul''13'!J11,('Tariff Jul''13'!J11*'Tariff Jul''13'!J20/100)*'Tariff Jul''13'!J10,($F5*'Tariff Jul''13'!J9/'Tariff Jul''13'!J10*'Tariff Jul''13'!J20/100)*'Tariff Jul''13'!J10)</f>
        <v>299.96999999999997</v>
      </c>
      <c r="I13" s="36">
        <f>IF($F5*'Tariff Jul''13'!K9/'Tariff Jul''13'!K10&gt;='Tariff Jul''13'!K11,('Tariff Jul''13'!K11*'Tariff Jul''13'!K20/100)*'Tariff Jul''13'!K10,($F5*'Tariff Jul''13'!K9/'Tariff Jul''13'!K10*'Tariff Jul''13'!K20/100)*'Tariff Jul''13'!K10)</f>
        <v>299.673</v>
      </c>
      <c r="J13" s="36">
        <f>IF($F5*'Tariff Jul''13'!L9/'Tariff Jul''13'!L10&gt;='Tariff Jul''13'!L11,('Tariff Jul''13'!L11*'Tariff Jul''13'!L20/100)*'Tariff Jul''13'!L10,($F5*'Tariff Jul''13'!L9/'Tariff Jul''13'!L10*'Tariff Jul''13'!L20/100)*'Tariff Jul''13'!L10)</f>
        <v>292.04999999999995</v>
      </c>
      <c r="K13" s="36">
        <f>IF($F5*'Tariff Jul''13'!M9/'Tariff Jul''13'!M10&gt;='Tariff Jul''13'!M11,('Tariff Jul''13'!M11*'Tariff Jul''13'!M20/100)*'Tariff Jul''13'!M10,($F5*'Tariff Jul''13'!M9/'Tariff Jul''13'!M10*'Tariff Jul''13'!M20/100)*'Tariff Jul''13'!M10)</f>
        <v>961.62000000000012</v>
      </c>
      <c r="L13" s="32"/>
    </row>
    <row r="14" spans="1:12" x14ac:dyDescent="0.15">
      <c r="A14" s="28" t="s">
        <v>530</v>
      </c>
      <c r="B14" s="32"/>
      <c r="C14" s="36">
        <f>IF($F5*'Tariff Jul''13'!E9/'Tariff Jul''13'!E10&lt;'Tariff Jul''13'!E11,0,IF($F5*'Tariff Jul''13'!E9/'Tariff Jul''13'!E10&lt;='Tariff Jul''13'!E12,($F5*'Tariff Jul''13'!E9/'Tariff Jul''13'!E10-'Tariff Jul''13'!E11)*('Tariff Jul''13'!E21/100)*'Tariff Jul''13'!E10,('Tariff Jul''13'!E12-'Tariff Jul''13'!E11)*('Tariff Jul''13'!E21/100)*'Tariff Jul''13'!E10))</f>
        <v>671.28600000000006</v>
      </c>
      <c r="D14" s="36">
        <f>IF($F5*'Tariff Jul''13'!F9/'Tariff Jul''13'!F10&lt;'Tariff Jul''13'!F11,0,IF($F5*'Tariff Jul''13'!F9/'Tariff Jul''13'!F10&lt;='Tariff Jul''13'!F12,($F5*'Tariff Jul''13'!F9/'Tariff Jul''13'!F10-'Tariff Jul''13'!F11)*('Tariff Jul''13'!F21/100)*'Tariff Jul''13'!F10,('Tariff Jul''13'!F12-'Tariff Jul''13'!F11)*('Tariff Jul''13'!F21/100)*'Tariff Jul''13'!F10))</f>
        <v>723.26100000000019</v>
      </c>
      <c r="E14" s="36">
        <f>IF($F5*'Tariff Jul''13'!G9/'Tariff Jul''13'!G10&lt;'Tariff Jul''13'!G11,0,IF($F5*'Tariff Jul''13'!G9/'Tariff Jul''13'!G10&lt;='Tariff Jul''13'!G12,($F5*'Tariff Jul''13'!G9/'Tariff Jul''13'!G10-'Tariff Jul''13'!G11)*('Tariff Jul''13'!G21/100)*'Tariff Jul''13'!G10,('Tariff Jul''13'!G12-'Tariff Jul''13'!G11)*('Tariff Jul''13'!G21/100)*'Tariff Jul''13'!G10))</f>
        <v>582.44999999999993</v>
      </c>
      <c r="F14" s="36">
        <f>IF($F5*'Tariff Jul''13'!H9/'Tariff Jul''13'!H10&lt;'Tariff Jul''13'!H11,0,IF($F5*'Tariff Jul''13'!H9/'Tariff Jul''13'!H10&lt;='Tariff Jul''13'!H12,($F5*'Tariff Jul''13'!H9/'Tariff Jul''13'!H10-'Tariff Jul''13'!H11)*('Tariff Jul''13'!H21/100)*'Tariff Jul''13'!H10,('Tariff Jul''13'!H12-'Tariff Jul''13'!H11)*('Tariff Jul''13'!H21/100)*'Tariff Jul''13'!H10))</f>
        <v>722.56799999999998</v>
      </c>
      <c r="G14" s="36">
        <f>IF($F5*'Tariff Jul''13'!I9/'Tariff Jul''13'!I10&lt;'Tariff Jul''13'!I11,0,IF($F5*'Tariff Jul''13'!I9/'Tariff Jul''13'!I10&lt;='Tariff Jul''13'!I12,($F5*'Tariff Jul''13'!I9/'Tariff Jul''13'!I10-'Tariff Jul''13'!I11)*('Tariff Jul''13'!I21/100)*'Tariff Jul''13'!I10,('Tariff Jul''13'!I12-'Tariff Jul''13'!I11)*('Tariff Jul''13'!I21/100)*'Tariff Jul''13'!I10))</f>
        <v>709.63200000000006</v>
      </c>
      <c r="H14" s="36">
        <f>IF($F5*'Tariff Jul''13'!J9/'Tariff Jul''13'!J10&lt;'Tariff Jul''13'!J11,0,IF($F5*'Tariff Jul''13'!J9/'Tariff Jul''13'!J10&lt;='Tariff Jul''13'!J12,($F5*'Tariff Jul''13'!J9/'Tariff Jul''13'!J10-'Tariff Jul''13'!J11)*('Tariff Jul''13'!J21/100)*'Tariff Jul''13'!J10,('Tariff Jul''13'!J12-'Tariff Jul''13'!J11)*('Tariff Jul''13'!J21/100)*'Tariff Jul''13'!J10))</f>
        <v>713.09699999999998</v>
      </c>
      <c r="I14" s="36">
        <v>0</v>
      </c>
      <c r="J14" s="36">
        <f>IF($F5*'Tariff Jul''13'!L9/'Tariff Jul''13'!L10&lt;'Tariff Jul''13'!L11,0,IF($F5*'Tariff Jul''13'!L9/'Tariff Jul''13'!L10&lt;='Tariff Jul''13'!L12,($F5*'Tariff Jul''13'!L9/'Tariff Jul''13'!L10-'Tariff Jul''13'!L11)*('Tariff Jul''13'!L21/100)*'Tariff Jul''13'!L10,('Tariff Jul''13'!L12-'Tariff Jul''13'!L11)*('Tariff Jul''13'!L21/100)*'Tariff Jul''13'!L10))</f>
        <v>704.55</v>
      </c>
      <c r="K14" s="36">
        <v>0</v>
      </c>
      <c r="L14" s="32"/>
    </row>
    <row r="15" spans="1:12" x14ac:dyDescent="0.15">
      <c r="A15" s="28" t="s">
        <v>531</v>
      </c>
      <c r="B15" s="32"/>
      <c r="C15" s="36">
        <f>IF($F5*'Tariff Jul''13'!E9/'Tariff Jul''13'!E10&lt;'Tariff Jul''13'!E12,0,IF($F5*'Tariff Jul''13'!E9/'Tariff Jul''13'!E10&lt;='Tariff Jul''13'!E13,($F5*'Tariff Jul''13'!E9/'Tariff Jul''13'!E10-'Tariff Jul''13'!E12)*('Tariff Jul''13'!E22/100)*'Tariff Jul''13'!E10,('Tariff Jul''13'!E13-'Tariff Jul''13'!E12)*('Tariff Jul''13'!E22/100)*'Tariff Jul''13'!E10))</f>
        <v>548.29499999999996</v>
      </c>
      <c r="D15" s="36">
        <f>IF($F5*'Tariff Jul''13'!F9/'Tariff Jul''13'!F10&lt;'Tariff Jul''13'!F12,0,IF($F5*'Tariff Jul''13'!F9/'Tariff Jul''13'!F10&lt;='Tariff Jul''13'!F13,($F5*'Tariff Jul''13'!F9/'Tariff Jul''13'!F10-'Tariff Jul''13'!F12)*('Tariff Jul''13'!F22/100)*'Tariff Jul''13'!F10,('Tariff Jul''13'!F13-'Tariff Jul''13'!F12)*('Tariff Jul''13'!F22/100)*'Tariff Jul''13'!F10))</f>
        <v>591.19499999999994</v>
      </c>
      <c r="E15" s="36">
        <f>IF($F5*'Tariff Jul''13'!G9/'Tariff Jul''13'!G10&lt;'Tariff Jul''13'!G12,0,IF($F5*'Tariff Jul''13'!G9/'Tariff Jul''13'!G10&lt;='Tariff Jul''13'!G13,($F5*'Tariff Jul''13'!G9/'Tariff Jul''13'!G10-'Tariff Jul''13'!G12)*('Tariff Jul''13'!G22/100)*'Tariff Jul''13'!G10,('Tariff Jul''13'!G13-'Tariff Jul''13'!G12)*('Tariff Jul''13'!G22/100)*'Tariff Jul''13'!G10))</f>
        <v>0</v>
      </c>
      <c r="F15" s="36">
        <f>IF($F5*'Tariff Jul''13'!H9/'Tariff Jul''13'!H10&lt;'Tariff Jul''13'!H12,0,IF($F5*'Tariff Jul''13'!H9/'Tariff Jul''13'!H10&lt;='Tariff Jul''13'!H13,($F5*'Tariff Jul''13'!H9/'Tariff Jul''13'!H10-'Tariff Jul''13'!H12)*('Tariff Jul''13'!H22/100)*'Tariff Jul''13'!H10,('Tariff Jul''13'!H13-'Tariff Jul''13'!H12)*('Tariff Jul''13'!H22/100)*'Tariff Jul''13'!H10))</f>
        <v>598.29000000000008</v>
      </c>
      <c r="G15" s="36">
        <f>IF($F5*'Tariff Jul''13'!I9/'Tariff Jul''13'!I10&lt;'Tariff Jul''13'!I12,0,IF($F5*'Tariff Jul''13'!I9/'Tariff Jul''13'!I10&lt;='Tariff Jul''13'!I13,($F5*'Tariff Jul''13'!I9/'Tariff Jul''13'!I10-'Tariff Jul''13'!I12)*('Tariff Jul''13'!I22/100)*'Tariff Jul''13'!I10,('Tariff Jul''13'!I13-'Tariff Jul''13'!I12)*('Tariff Jul''13'!I22/100)*'Tariff Jul''13'!I10))</f>
        <v>580.14</v>
      </c>
      <c r="H15" s="36">
        <f>IF($F5*'Tariff Jul''13'!J9/'Tariff Jul''13'!J10&lt;'Tariff Jul''13'!J12,0,IF($F5*'Tariff Jul''13'!J9/'Tariff Jul''13'!J10&lt;='Tariff Jul''13'!J13,($F5*'Tariff Jul''13'!J9/'Tariff Jul''13'!J10-'Tariff Jul''13'!J12)*('Tariff Jul''13'!J22/100)*'Tariff Jul''13'!J10,('Tariff Jul''13'!J13-'Tariff Jul''13'!J12)*('Tariff Jul''13'!J22/100)*'Tariff Jul''13'!J10))</f>
        <v>582.94499999999994</v>
      </c>
      <c r="I15" s="36">
        <v>0</v>
      </c>
      <c r="J15" s="36">
        <v>0</v>
      </c>
      <c r="K15" s="36">
        <v>0</v>
      </c>
      <c r="L15" s="32"/>
    </row>
    <row r="16" spans="1:12" x14ac:dyDescent="0.15">
      <c r="A16" s="28" t="s">
        <v>100</v>
      </c>
      <c r="B16" s="32"/>
      <c r="C16" s="36">
        <f>IF($F5*'Tariff Jul''13'!E9/'Tariff Jul''13'!E10&lt;'Tariff Jul''13'!E13,0,IF($F5*'Tariff Jul''13'!E9/'Tariff Jul''13'!E10&lt;='Tariff Jul''13'!E14,($F5*'Tariff Jul''13'!E9/'Tariff Jul''13'!E10-'Tariff Jul''13'!E13)*('Tariff Jul''13'!E23/100)*'Tariff Jul''13'!E10,('Tariff Jul''13'!E14-'Tariff Jul''13'!E13)*('Tariff Jul''13'!E23/100)*'Tariff Jul''13'!E10))</f>
        <v>0</v>
      </c>
      <c r="D16" s="36">
        <f>IF($F5*'Tariff Jul''13'!F9/'Tariff Jul''13'!F10&lt;'Tariff Jul''13'!F13,0,IF($F5*'Tariff Jul''13'!F9/'Tariff Jul''13'!F10&lt;='Tariff Jul''13'!F14,($F5*'Tariff Jul''13'!F9/'Tariff Jul''13'!F10-'Tariff Jul''13'!F13)*('Tariff Jul''13'!F23/100)*'Tariff Jul''13'!F10,('Tariff Jul''13'!F14-'Tariff Jul''13'!F13)*('Tariff Jul''13'!F23/100)*'Tariff Jul''13'!F10))</f>
        <v>0</v>
      </c>
      <c r="E16" s="36">
        <f>IF($F5*'Tariff Jul''13'!G9/'Tariff Jul''13'!G10&lt;'Tariff Jul''13'!G13,0,IF($F5*'Tariff Jul''13'!G9/'Tariff Jul''13'!G10&lt;='Tariff Jul''13'!G14,($F5*'Tariff Jul''13'!G9/'Tariff Jul''13'!G10-'Tariff Jul''13'!G13)*('Tariff Jul''13'!G23/100)*'Tariff Jul''13'!G10,('Tariff Jul''13'!G14-'Tariff Jul''13'!G13)*('Tariff Jul''13'!G23/100)*'Tariff Jul''13'!G10))</f>
        <v>0</v>
      </c>
      <c r="F16" s="36">
        <f>IF($F5*'Tariff Jul''13'!H9/'Tariff Jul''13'!H10&lt;'Tariff Jul''13'!H13,0,IF($F5*'Tariff Jul''13'!H9/'Tariff Jul''13'!H10&lt;='Tariff Jul''13'!H14,($F5*'Tariff Jul''13'!H9/'Tariff Jul''13'!H10-'Tariff Jul''13'!H13)*('Tariff Jul''13'!H23/100)*'Tariff Jul''13'!H10,('Tariff Jul''13'!H14-'Tariff Jul''13'!H13)*('Tariff Jul''13'!H23/100)*'Tariff Jul''13'!H10))</f>
        <v>0</v>
      </c>
      <c r="G16" s="36">
        <f>IF($F5*'Tariff Jul''13'!I9/'Tariff Jul''13'!I10&lt;'Tariff Jul''13'!I13,0,IF($F5*'Tariff Jul''13'!I9/'Tariff Jul''13'!I10&lt;='Tariff Jul''13'!I14,($F5*'Tariff Jul''13'!I9/'Tariff Jul''13'!I10-'Tariff Jul''13'!I13)*('Tariff Jul''13'!I23/100)*'Tariff Jul''13'!I10,('Tariff Jul''13'!I14-'Tariff Jul''13'!I13)*('Tariff Jul''13'!I23/100)*'Tariff Jul''13'!I10))</f>
        <v>0</v>
      </c>
      <c r="H16" s="36">
        <f>IF($F5*'Tariff Jul''13'!J9/'Tariff Jul''13'!J10&lt;'Tariff Jul''13'!J13,0,IF($F5*'Tariff Jul''13'!J9/'Tariff Jul''13'!J10&lt;='Tariff Jul''13'!J14,($F5*'Tariff Jul''13'!J9/'Tariff Jul''13'!J10-'Tariff Jul''13'!J13)*('Tariff Jul''13'!J23/100)*'Tariff Jul''13'!J10,('Tariff Jul''13'!J14-'Tariff Jul''13'!J13)*('Tariff Jul''13'!J23/100)*'Tariff Jul''13'!J10))</f>
        <v>0</v>
      </c>
      <c r="I16" s="36">
        <v>0</v>
      </c>
      <c r="J16" s="36">
        <v>0</v>
      </c>
      <c r="K16" s="36">
        <v>0</v>
      </c>
      <c r="L16" s="32"/>
    </row>
    <row r="17" spans="1:12" x14ac:dyDescent="0.15">
      <c r="A17" s="28" t="s">
        <v>419</v>
      </c>
      <c r="B17" s="32"/>
      <c r="C17" s="36">
        <f>IF(($F5*'Tariff Jul''13'!E9/'Tariff Jul''13'!E10&gt;'Tariff Jul''13'!E14),($F5*'Tariff Jul''13'!E9/'Tariff Jul''13'!E10-'Tariff Jul''13'!E14)*'Tariff Jul''13'!E24/100*'Tariff Jul''13'!E10,0)</f>
        <v>0</v>
      </c>
      <c r="D17" s="36">
        <f>IF(($F5*'Tariff Jul''13'!F9/'Tariff Jul''13'!F10&gt;'Tariff Jul''13'!F14),($F5*'Tariff Jul''13'!F9/'Tariff Jul''13'!F10-'Tariff Jul''13'!F14)*'Tariff Jul''13'!F24/100*'Tariff Jul''13'!F10,0)</f>
        <v>0</v>
      </c>
      <c r="E17" s="36">
        <f>IF(($F5*'Tariff Jul''13'!G9/'Tariff Jul''13'!G10&gt;'Tariff Jul''13'!G14),($F5*'Tariff Jul''13'!G9/'Tariff Jul''13'!G10-'Tariff Jul''13'!G14)*'Tariff Jul''13'!G24/100*'Tariff Jul''13'!G10,0)</f>
        <v>0</v>
      </c>
      <c r="F17" s="36">
        <f>IF(($F5*'Tariff Jul''13'!H9/'Tariff Jul''13'!H10&gt;'Tariff Jul''13'!H14),($F5*'Tariff Jul''13'!H9/'Tariff Jul''13'!H10-'Tariff Jul''13'!H14)*'Tariff Jul''13'!H24/100*'Tariff Jul''13'!H10,0)</f>
        <v>0</v>
      </c>
      <c r="G17" s="36">
        <f>IF(($F5*'Tariff Jul''13'!I9/'Tariff Jul''13'!I10&gt;'Tariff Jul''13'!I14),($F5*'Tariff Jul''13'!I9/'Tariff Jul''13'!I10-'Tariff Jul''13'!I14)*'Tariff Jul''13'!I24/100*'Tariff Jul''13'!I10,0)</f>
        <v>0</v>
      </c>
      <c r="H17" s="36">
        <f>IF(($F5*'Tariff Jul''13'!J9/'Tariff Jul''13'!J10&gt;'Tariff Jul''13'!J14),($F5*'Tariff Jul''13'!J9/'Tariff Jul''13'!J10-'Tariff Jul''13'!J14)*'Tariff Jul''13'!J24/100*'Tariff Jul''13'!J10,0)</f>
        <v>0</v>
      </c>
      <c r="I17" s="36">
        <f>IF(($F5*'Tariff Jul''13'!K9/'Tariff Jul''13'!K10&gt;'Tariff Jul''13'!K14),($F5*'Tariff Jul''13'!K9/'Tariff Jul''13'!K10-'Tariff Jul''13'!K14)*'Tariff Jul''13'!K24/100*'Tariff Jul''13'!K10,0)</f>
        <v>1194.7319999999997</v>
      </c>
      <c r="J17" s="36">
        <f>IF(($F5*'Tariff Jul''13'!L9/'Tariff Jul''13'!L10&gt;'Tariff Jul''13'!L14),($F5*'Tariff Jul''13'!L9/'Tariff Jul''13'!L10-'Tariff Jul''13'!L14)*'Tariff Jul''13'!L24/100*'Tariff Jul''13'!L10,0)</f>
        <v>528</v>
      </c>
      <c r="K17" s="36">
        <f>IF(($F5*'Tariff Jul''13'!M9/'Tariff Jul''13'!M10&gt;'Tariff Jul''13'!M14),($F5*'Tariff Jul''13'!M9/'Tariff Jul''13'!M10-'Tariff Jul''13'!M14)*'Tariff Jul''13'!M24/100*'Tariff Jul''13'!M10,0)</f>
        <v>551.26499999999999</v>
      </c>
      <c r="L17" s="32"/>
    </row>
    <row r="18" spans="1:12" x14ac:dyDescent="0.15">
      <c r="A18" s="28" t="s">
        <v>420</v>
      </c>
      <c r="B18" s="32"/>
      <c r="C18" s="36">
        <f>'Tariff Jul''13'!E25*365/100</f>
        <v>265.39149999999995</v>
      </c>
      <c r="D18" s="36">
        <f>'Tariff Jul''13'!F25*365/100</f>
        <v>285.30590000000001</v>
      </c>
      <c r="E18" s="36">
        <f>'Tariff Jul''13'!G25*365/100</f>
        <v>269.005</v>
      </c>
      <c r="F18" s="36">
        <f>'Tariff Jul''13'!H25*365/100</f>
        <v>292.05109999999996</v>
      </c>
      <c r="G18" s="36">
        <f>'Tariff Jul''13'!I25*365/100</f>
        <v>272.77909999999997</v>
      </c>
      <c r="H18" s="36">
        <f>'Tariff Jul''13'!J25*365/100</f>
        <v>274.10404999999997</v>
      </c>
      <c r="I18" s="36">
        <f>'Tariff Jul''13'!K25*365/100</f>
        <v>284.46275000000003</v>
      </c>
      <c r="J18" s="36">
        <f>'Tariff Jul''13'!L25*365/100</f>
        <v>277.03500000000003</v>
      </c>
      <c r="K18" s="36">
        <f>'Tariff Jul''13'!M25*365/100</f>
        <v>274.98734999999999</v>
      </c>
      <c r="L18" s="37">
        <f>AVERAGE(C18:K18)</f>
        <v>277.23575</v>
      </c>
    </row>
    <row r="19" spans="1:12" x14ac:dyDescent="0.15">
      <c r="A19" s="38" t="s">
        <v>505</v>
      </c>
      <c r="B19" s="32"/>
      <c r="C19" s="39">
        <f>SUM(C8:C18)</f>
        <v>2321.8855000000003</v>
      </c>
      <c r="D19" s="39">
        <f t="shared" ref="D19:K19" si="0">SUM(D8:D18)</f>
        <v>2500.9478999999997</v>
      </c>
      <c r="E19" s="39">
        <f t="shared" si="0"/>
        <v>2453.605</v>
      </c>
      <c r="F19" s="39">
        <f t="shared" si="0"/>
        <v>2458.8311000000003</v>
      </c>
      <c r="G19" s="39">
        <f t="shared" si="0"/>
        <v>2447.5231000000003</v>
      </c>
      <c r="H19" s="39">
        <f t="shared" si="0"/>
        <v>2402.1200499999995</v>
      </c>
      <c r="I19" s="39">
        <f t="shared" si="0"/>
        <v>2277.0027499999997</v>
      </c>
      <c r="J19" s="39">
        <f t="shared" si="0"/>
        <v>2385.1849999999995</v>
      </c>
      <c r="K19" s="39">
        <f t="shared" si="0"/>
        <v>2292.1673500000002</v>
      </c>
      <c r="L19" s="39">
        <f>AVERAGE(C19:K19)</f>
        <v>2393.2519722222219</v>
      </c>
    </row>
    <row r="20" spans="1:12" x14ac:dyDescent="0.15">
      <c r="A20" s="28"/>
      <c r="B20" s="32"/>
      <c r="C20" s="28"/>
      <c r="D20" s="28"/>
      <c r="E20" s="28"/>
      <c r="F20" s="28"/>
      <c r="G20" s="28"/>
      <c r="H20" s="28"/>
      <c r="I20" s="28"/>
      <c r="J20" s="28"/>
      <c r="L20" s="28"/>
    </row>
    <row r="21" spans="1:12" x14ac:dyDescent="0.15">
      <c r="A21" s="28"/>
      <c r="B21" s="32"/>
      <c r="C21" s="28"/>
      <c r="D21" s="28"/>
      <c r="E21" s="28"/>
      <c r="F21" s="28"/>
      <c r="G21" s="28"/>
      <c r="H21" s="28"/>
      <c r="I21" s="28"/>
      <c r="J21" s="28"/>
      <c r="L21" s="28"/>
    </row>
    <row r="22" spans="1:12" x14ac:dyDescent="0.15">
      <c r="A22" s="33" t="s">
        <v>506</v>
      </c>
      <c r="B22" s="32"/>
      <c r="C22" s="33" t="s">
        <v>362</v>
      </c>
      <c r="D22" s="28"/>
      <c r="E22" s="28"/>
      <c r="F22" s="10">
        <v>7500</v>
      </c>
      <c r="G22" s="28"/>
      <c r="H22" s="28"/>
      <c r="I22" s="28"/>
      <c r="J22" s="28"/>
      <c r="L22" s="28"/>
    </row>
    <row r="23" spans="1:12" x14ac:dyDescent="0.15">
      <c r="A23" s="33" t="s">
        <v>507</v>
      </c>
      <c r="B23" s="32"/>
      <c r="C23" s="33" t="s">
        <v>456</v>
      </c>
      <c r="D23" s="28"/>
      <c r="E23" s="28"/>
      <c r="F23" s="11">
        <v>0.8</v>
      </c>
      <c r="G23" s="28"/>
      <c r="H23" s="28"/>
      <c r="I23" s="28"/>
      <c r="J23" s="28"/>
      <c r="L23" s="28"/>
    </row>
    <row r="24" spans="1:12" x14ac:dyDescent="0.15">
      <c r="A24" s="28"/>
      <c r="B24" s="32"/>
      <c r="C24" s="33" t="s">
        <v>199</v>
      </c>
      <c r="D24" s="28"/>
      <c r="E24" s="28"/>
      <c r="F24" s="11">
        <v>0.2</v>
      </c>
      <c r="G24" s="28"/>
      <c r="H24" s="28"/>
      <c r="I24" s="28"/>
      <c r="J24" s="28"/>
      <c r="L24" s="28"/>
    </row>
    <row r="25" spans="1:12" x14ac:dyDescent="0.15">
      <c r="A25" s="28"/>
      <c r="B25" s="40"/>
      <c r="C25" s="28"/>
      <c r="D25" s="28"/>
      <c r="E25" s="28"/>
      <c r="F25" s="28"/>
      <c r="G25" s="28"/>
      <c r="H25" s="28"/>
      <c r="I25" s="28"/>
      <c r="J25" s="28"/>
      <c r="L25" s="28"/>
    </row>
    <row r="26" spans="1:12" x14ac:dyDescent="0.15">
      <c r="A26" s="34" t="s">
        <v>249</v>
      </c>
      <c r="B26" s="40"/>
      <c r="C26" s="9" t="s">
        <v>200</v>
      </c>
      <c r="D26" s="9" t="s">
        <v>181</v>
      </c>
      <c r="E26" s="9" t="s">
        <v>386</v>
      </c>
      <c r="F26" s="9" t="s">
        <v>438</v>
      </c>
      <c r="G26" s="9" t="s">
        <v>470</v>
      </c>
      <c r="H26" s="9" t="s">
        <v>440</v>
      </c>
      <c r="I26" s="9" t="s">
        <v>441</v>
      </c>
      <c r="J26" s="9" t="s">
        <v>203</v>
      </c>
      <c r="K26" s="9" t="s">
        <v>204</v>
      </c>
      <c r="L26" s="9" t="s">
        <v>594</v>
      </c>
    </row>
    <row r="27" spans="1:12" x14ac:dyDescent="0.15">
      <c r="A27" s="28" t="s">
        <v>243</v>
      </c>
      <c r="B27" s="32"/>
      <c r="C27" s="36">
        <f>IF(($F22*$F23)*'Tariff Jul''13'!E29/'Tariff Jul''13'!E30&gt;='Tariff Jul''13'!E33,('Tariff Jul''13'!E33*'Tariff Jul''13'!E38/100)*'Tariff Jul''13'!E30,(($F22*$F23)*('Tariff Jul''13'!E29/'Tariff Jul''13'!E30)*('Tariff Jul''13'!E38/100)*'Tariff Jul''13'!E30))</f>
        <v>99.165000000000006</v>
      </c>
      <c r="D27" s="36">
        <f>IF(($F22*$F23)*'Tariff Jul''13'!F29/'Tariff Jul''13'!F30&gt;='Tariff Jul''13'!F33,('Tariff Jul''13'!F33*'Tariff Jul''13'!F38/100)*'Tariff Jul''13'!F30,(($F22*$F23)*('Tariff Jul''13'!F29/'Tariff Jul''13'!F30)*('Tariff Jul''13'!F38/100)*'Tariff Jul''13'!F30))</f>
        <v>106.821</v>
      </c>
      <c r="E27" s="36">
        <f>IF(($F22*$F23)*'Tariff Jul''13'!G29/'Tariff Jul''13'!G30&gt;='Tariff Jul''13'!G33,('Tariff Jul''13'!G33*'Tariff Jul''13'!G38/100)*'Tariff Jul''13'!G30,(($F22*$F23)*('Tariff Jul''13'!G29/'Tariff Jul''13'!G30)*('Tariff Jul''13'!G38/100)*'Tariff Jul''13'!G30))</f>
        <v>364.65</v>
      </c>
      <c r="F27" s="36">
        <f>IF(($F22*$F23)*'Tariff Jul''13'!H29/'Tariff Jul''13'!H30&gt;='Tariff Jul''13'!H33,('Tariff Jul''13'!H33*'Tariff Jul''13'!H38/100)*'Tariff Jul''13'!H30,(($F22*$F23)*('Tariff Jul''13'!H29/'Tariff Jul''13'!H30)*('Tariff Jul''13'!H38/100)*'Tariff Jul''13'!H30))</f>
        <v>101.40899999999999</v>
      </c>
      <c r="G27" s="36">
        <f>IF(($F22*$F23)*'Tariff Jul''13'!I29/'Tariff Jul''13'!I30&gt;='Tariff Jul''13'!I33,('Tariff Jul''13'!I33*'Tariff Jul''13'!I38/100)*'Tariff Jul''13'!I30,(($F22*$F23)*('Tariff Jul''13'!I29/'Tariff Jul''13'!I30)*('Tariff Jul''13'!I38/100)*'Tariff Jul''13'!I30))</f>
        <v>104.84100000000001</v>
      </c>
      <c r="H27" s="36">
        <f>IF(($F22*$F23)*'Tariff Jul''13'!J29/'Tariff Jul''13'!J30&gt;='Tariff Jul''13'!J33,('Tariff Jul''13'!J33*'Tariff Jul''13'!J38/100)*'Tariff Jul''13'!J30,(($F22*$F23)*('Tariff Jul''13'!J29/'Tariff Jul''13'!J30)*('Tariff Jul''13'!J38/100)*'Tariff Jul''13'!J30))</f>
        <v>99.99</v>
      </c>
      <c r="I27" s="36">
        <f>IF(($F22*$F23)*'Tariff Jul''13'!K29/'Tariff Jul''13'!K30&gt;='Tariff Jul''13'!K33,('Tariff Jul''13'!K33*'Tariff Jul''13'!K38/100)*'Tariff Jul''13'!K30,(($F22*$F23)*('Tariff Jul''13'!K29/'Tariff Jul''13'!K30)*('Tariff Jul''13'!K38/100)*'Tariff Jul''13'!K30))</f>
        <v>99.890999999999991</v>
      </c>
      <c r="J27" s="36">
        <f>IF(($F22*$F23)*'Tariff Jul''13'!L29/'Tariff Jul''13'!L30&gt;='Tariff Jul''13'!L33,('Tariff Jul''13'!L33*'Tariff Jul''13'!L38/100)*'Tariff Jul''13'!L30,(($F22*$F23)*('Tariff Jul''13'!L29/'Tariff Jul''13'!L30)*('Tariff Jul''13'!L38/100)*'Tariff Jul''13'!L30))</f>
        <v>108.9</v>
      </c>
      <c r="K27" s="36">
        <f>IF(($F22*$F23)*'Tariff Jul''13'!M29/'Tariff Jul''13'!M30&gt;='Tariff Jul''13'!M33,('Tariff Jul''13'!M33*'Tariff Jul''13'!M38/100)*'Tariff Jul''13'!M30,(($F22*$F23)*('Tariff Jul''13'!M29/'Tariff Jul''13'!M30)*('Tariff Jul''13'!M38/100)*'Tariff Jul''13'!M30))</f>
        <v>320.54000000000002</v>
      </c>
      <c r="L27" s="32"/>
    </row>
    <row r="28" spans="1:12" x14ac:dyDescent="0.15">
      <c r="A28" s="28" t="s">
        <v>317</v>
      </c>
      <c r="B28" s="32"/>
      <c r="C28" s="36">
        <f>IF(($F22*$F23)*'Tariff Jul''13'!E29/'Tariff Jul''13'!E30&lt;'Tariff Jul''13'!E33,0,IF(($F22*$F23)*'Tariff Jul''13'!E29/'Tariff Jul''13'!E30&lt;='Tariff Jul''13'!E34,(($F22*$F23)*'Tariff Jul''13'!E29/'Tariff Jul''13'!E30-'Tariff Jul''13'!E33)*('Tariff Jul''13'!E39/100)*'Tariff Jul''13'!E30,('Tariff Jul''13'!E34-'Tariff Jul''13'!E33)*('Tariff Jul''13'!E39/100)*'Tariff Jul''13'!E30))</f>
        <v>252.17499999999998</v>
      </c>
      <c r="D28" s="36">
        <f>IF(($F22*$F23)*'Tariff Jul''13'!F29/'Tariff Jul''13'!F30&lt;'Tariff Jul''13'!F33,0,IF(($F22*$F23)*'Tariff Jul''13'!F29/'Tariff Jul''13'!F30&lt;='Tariff Jul''13'!F34,(($F22*$F23)*'Tariff Jul''13'!F29/'Tariff Jul''13'!F30-'Tariff Jul''13'!F33)*('Tariff Jul''13'!F39/100)*'Tariff Jul''13'!F30,('Tariff Jul''13'!F34-'Tariff Jul''13'!F33)*('Tariff Jul''13'!F39/100)*'Tariff Jul''13'!F30))</f>
        <v>271.34800000000001</v>
      </c>
      <c r="E28" s="36">
        <f>IF(($F22*$F23)*'Tariff Jul''13'!G29/'Tariff Jul''13'!G30&lt;'Tariff Jul''13'!G33,0,IF(($F22*$F23)*'Tariff Jul''13'!G29/'Tariff Jul''13'!G30&lt;='Tariff Jul''13'!G34,(($F22*$F23)*'Tariff Jul''13'!G29/'Tariff Jul''13'!G30-'Tariff Jul''13'!G33)*('Tariff Jul''13'!G39/100)*'Tariff Jul''13'!G30,('Tariff Jul''13'!G34-'Tariff Jul''13'!G33)*('Tariff Jul''13'!G39/100)*'Tariff Jul''13'!G30))</f>
        <v>216.14999999999998</v>
      </c>
      <c r="F28" s="36">
        <f>IF(($F22*$F23)*'Tariff Jul''13'!H29/'Tariff Jul''13'!H30&lt;'Tariff Jul''13'!H33,0,IF(($F22*$F23)*'Tariff Jul''13'!H29/'Tariff Jul''13'!H30&lt;='Tariff Jul''13'!H34,(($F22*$F23)*'Tariff Jul''13'!H29/'Tariff Jul''13'!H30-'Tariff Jul''13'!H33)*('Tariff Jul''13'!H39/100)*'Tariff Jul''13'!H30,('Tariff Jul''13'!H34-'Tariff Jul''13'!H33)*('Tariff Jul''13'!H39/100)*'Tariff Jul''13'!H30))</f>
        <v>240.85599999999999</v>
      </c>
      <c r="G28" s="36">
        <f>IF(($F22*$F23)*'Tariff Jul''13'!I29/'Tariff Jul''13'!I30&lt;'Tariff Jul''13'!I33,0,IF(($F22*$F23)*'Tariff Jul''13'!I29/'Tariff Jul''13'!I30&lt;='Tariff Jul''13'!I34,(($F22*$F23)*'Tariff Jul''13'!I29/'Tariff Jul''13'!I30-'Tariff Jul''13'!I33)*('Tariff Jul''13'!I39/100)*'Tariff Jul''13'!I30,('Tariff Jul''13'!I34-'Tariff Jul''13'!I33)*('Tariff Jul''13'!I39/100)*'Tariff Jul''13'!I30))</f>
        <v>266.65100000000001</v>
      </c>
      <c r="H28" s="36">
        <f>IF(($F22*$F23)*'Tariff Jul''13'!J29/'Tariff Jul''13'!J30&lt;'Tariff Jul''13'!J33,0,IF(($F22*$F23)*'Tariff Jul''13'!J29/'Tariff Jul''13'!J30&lt;='Tariff Jul''13'!J34,(($F22*$F23)*'Tariff Jul''13'!J29/'Tariff Jul''13'!J30-'Tariff Jul''13'!J33)*('Tariff Jul''13'!J39/100)*'Tariff Jul''13'!J30,('Tariff Jul''13'!J34-'Tariff Jul''13'!J33)*('Tariff Jul''13'!J39/100)*'Tariff Jul''13'!J30))</f>
        <v>237.69899999999998</v>
      </c>
      <c r="I28" s="36">
        <f>IF(($F22*$F23)*'Tariff Jul''13'!K29/'Tariff Jul''13'!K30&lt;'Tariff Jul''13'!K33,0,IF(($F22*$F23)*'Tariff Jul''13'!K29/'Tariff Jul''13'!K30&lt;='Tariff Jul''13'!K34,(($F22*$F23)*'Tariff Jul''13'!K29/'Tariff Jul''13'!K30-'Tariff Jul''13'!K33)*('Tariff Jul''13'!K39/100)*'Tariff Jul''13'!K30,('Tariff Jul''13'!K34-'Tariff Jul''13'!K33)*('Tariff Jul''13'!K39/100)*'Tariff Jul''13'!K30))</f>
        <v>0</v>
      </c>
      <c r="J28" s="36">
        <f>IF(($F22*$F23)*'Tariff Jul''13'!L29/'Tariff Jul''13'!L30&lt;'Tariff Jul''13'!L33,0,IF(($F22*$F23)*'Tariff Jul''13'!L29/'Tariff Jul''13'!L30&lt;='Tariff Jul''13'!L34,(($F22*$F23)*'Tariff Jul''13'!L29/'Tariff Jul''13'!L30-'Tariff Jul''13'!L33)*('Tariff Jul''13'!L39/100)*'Tariff Jul''13'!L30,('Tariff Jul''13'!L34-'Tariff Jul''13'!L33)*('Tariff Jul''13'!L39/100)*'Tariff Jul''13'!L30))</f>
        <v>265.64999999999998</v>
      </c>
      <c r="K28" s="36">
        <f>IF(($F22*$F23)*'Tariff Jul''13'!M29/'Tariff Jul''13'!M30&lt;'Tariff Jul''13'!M33,0,IF(($F22*$F23)*'Tariff Jul''13'!M29/'Tariff Jul''13'!M30&lt;='Tariff Jul''13'!M34,(($F22*$F23)*'Tariff Jul''13'!M29/'Tariff Jul''13'!M30-'Tariff Jul''13'!M33)*('Tariff Jul''13'!M39/100)*'Tariff Jul''13'!M30,('Tariff Jul''13'!M34-'Tariff Jul''13'!M33)*('Tariff Jul''13'!M39/100)*'Tariff Jul''13'!M30))</f>
        <v>0</v>
      </c>
      <c r="L28" s="32"/>
    </row>
    <row r="29" spans="1:12" x14ac:dyDescent="0.15">
      <c r="A29" s="28" t="s">
        <v>250</v>
      </c>
      <c r="B29" s="32"/>
      <c r="C29" s="36">
        <f>IF(($F22*$F23)*'Tariff Jul''13'!E29/'Tariff Jul''13'!E30&lt;'Tariff Jul''13'!E34,0,IF(($F22*$F23)*'Tariff Jul''13'!E29/'Tariff Jul''13'!E30&lt;='Tariff Jul''13'!E35,(($F22*$F23)*'Tariff Jul''13'!E29/'Tariff Jul''13'!E30-'Tariff Jul''13'!E34)*('Tariff Jul''13'!E40/100)*'Tariff Jul''13'!E30,('Tariff Jul''13'!E35-'Tariff Jul''13'!E34)*('Tariff Jul''13'!E40/100)*'Tariff Jul''13'!E30))</f>
        <v>203.22500000000002</v>
      </c>
      <c r="D29" s="36">
        <f>IF(($F22*$F23)*'Tariff Jul''13'!F29/'Tariff Jul''13'!F30&lt;'Tariff Jul''13'!F34,0,IF(($F22*$F23)*'Tariff Jul''13'!F29/'Tariff Jul''13'!F30&lt;='Tariff Jul''13'!F35,(($F22*$F23)*'Tariff Jul''13'!F29/'Tariff Jul''13'!F30-'Tariff Jul''13'!F34)*('Tariff Jul''13'!F40/100)*'Tariff Jul''13'!F30,('Tariff Jul''13'!F35-'Tariff Jul''13'!F34)*('Tariff Jul''13'!F40/100)*'Tariff Jul''13'!F30))</f>
        <v>218.79000000000002</v>
      </c>
      <c r="E29" s="36">
        <f>IF(($F22*$F23)*'Tariff Jul''13'!G29/'Tariff Jul''13'!G30&lt;'Tariff Jul''13'!G34,0,IF(($F22*$F23)*'Tariff Jul''13'!G29/'Tariff Jul''13'!G30&lt;='Tariff Jul''13'!G35,(($F22*$F23)*'Tariff Jul''13'!G29/'Tariff Jul''13'!G30-'Tariff Jul''13'!G34)*('Tariff Jul''13'!G40/100)*'Tariff Jul''13'!G30,('Tariff Jul''13'!G35-'Tariff Jul''13'!G34)*('Tariff Jul''13'!G40/100)*'Tariff Jul''13'!G30))</f>
        <v>0</v>
      </c>
      <c r="F29" s="36">
        <f>IF(($F22*$F23)*'Tariff Jul''13'!H29/'Tariff Jul''13'!H30&lt;'Tariff Jul''13'!H34,0,IF(($F22*$F23)*'Tariff Jul''13'!H29/'Tariff Jul''13'!H30&lt;='Tariff Jul''13'!H35,(($F22*$F23)*'Tariff Jul''13'!H29/'Tariff Jul''13'!H30-'Tariff Jul''13'!H34)*('Tariff Jul''13'!H40/100)*'Tariff Jul''13'!H30,('Tariff Jul''13'!H35-'Tariff Jul''13'!H34)*('Tariff Jul''13'!H40/100)*'Tariff Jul''13'!H30))</f>
        <v>199.43000000000004</v>
      </c>
      <c r="G29" s="36">
        <f>IF(($F22*$F23)*'Tariff Jul''13'!I29/'Tariff Jul''13'!I30&lt;'Tariff Jul''13'!I34,0,IF(($F22*$F23)*'Tariff Jul''13'!I29/'Tariff Jul''13'!I30&lt;='Tariff Jul''13'!I35,(($F22*$F23)*'Tariff Jul''13'!I29/'Tariff Jul''13'!I30-'Tariff Jul''13'!I34)*('Tariff Jul''13'!I40/100)*'Tariff Jul''13'!I30,('Tariff Jul''13'!I35-'Tariff Jul''13'!I34)*('Tariff Jul''13'!I40/100)*'Tariff Jul''13'!I30))</f>
        <v>214.99500000000003</v>
      </c>
      <c r="H29" s="36">
        <f>IF(($F22*$F23)*'Tariff Jul''13'!J29/'Tariff Jul''13'!J30&lt;'Tariff Jul''13'!J34,0,IF(($F22*$F23)*'Tariff Jul''13'!J29/'Tariff Jul''13'!J30&lt;='Tariff Jul''13'!J35,(($F22*$F23)*'Tariff Jul''13'!J29/'Tariff Jul''13'!J30-'Tariff Jul''13'!J34)*('Tariff Jul''13'!J40/100)*'Tariff Jul''13'!J30,('Tariff Jul''13'!J35-'Tariff Jul''13'!J34)*('Tariff Jul''13'!J40/100)*'Tariff Jul''13'!J30))</f>
        <v>194.315</v>
      </c>
      <c r="I29" s="36">
        <f>IF(($F22*$F23)*'Tariff Jul''13'!K29/'Tariff Jul''13'!K30&lt;'Tariff Jul''13'!K34,0,IF(($F22*$F23)*'Tariff Jul''13'!K29/'Tariff Jul''13'!K30&lt;='Tariff Jul''13'!K35,(($F22*$F23)*'Tariff Jul''13'!K29/'Tariff Jul''13'!K30-'Tariff Jul''13'!K34)*('Tariff Jul''13'!K40/100)*'Tariff Jul''13'!K30,('Tariff Jul''13'!K35-'Tariff Jul''13'!K34)*('Tariff Jul''13'!K40/100)*'Tariff Jul''13'!K30))</f>
        <v>0</v>
      </c>
      <c r="J29" s="36">
        <f>IF(($F22*$F23)*'Tariff Jul''13'!L29/'Tariff Jul''13'!L30&lt;'Tariff Jul''13'!L34,0,IF(($F22*$F23)*'Tariff Jul''13'!L29/'Tariff Jul''13'!L30&lt;='Tariff Jul''13'!L35,(($F22*$F23)*'Tariff Jul''13'!L29/'Tariff Jul''13'!L30-'Tariff Jul''13'!L34)*('Tariff Jul''13'!L40/100)*'Tariff Jul''13'!L30,('Tariff Jul''13'!L35-'Tariff Jul''13'!L34)*('Tariff Jul''13'!L40/100)*'Tariff Jul''13'!L30))</f>
        <v>0</v>
      </c>
      <c r="K29" s="36">
        <f>IF(($F22*$F23)*'Tariff Jul''13'!M29/'Tariff Jul''13'!M30&lt;'Tariff Jul''13'!M34,0,IF(($F22*$F23)*'Tariff Jul''13'!M29/'Tariff Jul''13'!M30&lt;='Tariff Jul''13'!M35,(($F22*$F23)*'Tariff Jul''13'!M29/'Tariff Jul''13'!M30-'Tariff Jul''13'!M34)*('Tariff Jul''13'!M40/100)*'Tariff Jul''13'!M30,('Tariff Jul''13'!M35-'Tariff Jul''13'!M34)*('Tariff Jul''13'!M40/100)*'Tariff Jul''13'!M30))</f>
        <v>0</v>
      </c>
      <c r="L29" s="32"/>
    </row>
    <row r="30" spans="1:12" x14ac:dyDescent="0.15">
      <c r="A30" s="28" t="s">
        <v>251</v>
      </c>
      <c r="B30" s="32"/>
      <c r="C30" s="36">
        <f>IF(($F22*$F23)*'Tariff Jul''13'!E29/'Tariff Jul''13'!E30&lt;'Tariff Jul''13'!E35,0,IF(($F22*$F23)*'Tariff Jul''13'!E29/'Tariff Jul''13'!E30&lt;='Tariff Jul''13'!E36,(($F22*$F23)*'Tariff Jul''13'!E29/'Tariff Jul''13'!E30-'Tariff Jul''13'!E35)*('Tariff Jul''13'!E41/100)*'Tariff Jul''13'!E30,('Tariff Jul''13'!E36-'Tariff Jul''13'!E35)*('Tariff Jul''13'!E41/100)*'Tariff Jul''13'!E30))</f>
        <v>0</v>
      </c>
      <c r="D30" s="36">
        <f>IF(($F22*$F23)*'Tariff Jul''13'!F29/'Tariff Jul''13'!F30&lt;'Tariff Jul''13'!F35,0,IF(($F22*$F23)*'Tariff Jul''13'!F29/'Tariff Jul''13'!F30&lt;='Tariff Jul''13'!F36,(($F22*$F23)*'Tariff Jul''13'!F29/'Tariff Jul''13'!F30-'Tariff Jul''13'!F35)*('Tariff Jul''13'!F41/100)*'Tariff Jul''13'!F30,('Tariff Jul''13'!F36-'Tariff Jul''13'!F35)*('Tariff Jul''13'!F41/100)*'Tariff Jul''13'!F30))</f>
        <v>0</v>
      </c>
      <c r="E30" s="36">
        <f>IF(($F22*$F23)*'Tariff Jul''13'!G29/'Tariff Jul''13'!G30&lt;'Tariff Jul''13'!G35,0,IF(($F22*$F23)*'Tariff Jul''13'!G29/'Tariff Jul''13'!G30&lt;='Tariff Jul''13'!G36,(($F22*$F23)*'Tariff Jul''13'!G29/'Tariff Jul''13'!G30-'Tariff Jul''13'!G35)*('Tariff Jul''13'!G41/100)*'Tariff Jul''13'!G30,('Tariff Jul''13'!G36-'Tariff Jul''13'!G35)*('Tariff Jul''13'!G41/100)*'Tariff Jul''13'!G30))</f>
        <v>0</v>
      </c>
      <c r="F30" s="36">
        <f>IF(($F22*$F23)*'Tariff Jul''13'!H29/'Tariff Jul''13'!H30&lt;'Tariff Jul''13'!H35,0,IF(($F22*$F23)*'Tariff Jul''13'!H29/'Tariff Jul''13'!H30&lt;='Tariff Jul''13'!H36,(($F22*$F23)*'Tariff Jul''13'!H29/'Tariff Jul''13'!H30-'Tariff Jul''13'!H35)*('Tariff Jul''13'!H41/100)*'Tariff Jul''13'!H30,('Tariff Jul''13'!H36-'Tariff Jul''13'!H35)*('Tariff Jul''13'!H41/100)*'Tariff Jul''13'!H30))</f>
        <v>0</v>
      </c>
      <c r="G30" s="36">
        <f>IF(($F22*$F23)*'Tariff Jul''13'!I29/'Tariff Jul''13'!I30&lt;'Tariff Jul''13'!I35,0,IF(($F22*$F23)*'Tariff Jul''13'!I29/'Tariff Jul''13'!I30&lt;='Tariff Jul''13'!I36,(($F22*$F23)*'Tariff Jul''13'!I29/'Tariff Jul''13'!I30-'Tariff Jul''13'!I35)*('Tariff Jul''13'!I41/100)*'Tariff Jul''13'!I30,('Tariff Jul''13'!I36-'Tariff Jul''13'!I35)*('Tariff Jul''13'!I41/100)*'Tariff Jul''13'!I30))</f>
        <v>0</v>
      </c>
      <c r="H30" s="36">
        <f>IF(($F22*$F23)*'Tariff Jul''13'!J29/'Tariff Jul''13'!J30&lt;'Tariff Jul''13'!J35,0,IF(($F22*$F23)*'Tariff Jul''13'!J29/'Tariff Jul''13'!J30&lt;='Tariff Jul''13'!J36,(($F22*$F23)*'Tariff Jul''13'!J29/'Tariff Jul''13'!J30-'Tariff Jul''13'!J35)*('Tariff Jul''13'!J41/100)*'Tariff Jul''13'!J30,('Tariff Jul''13'!J36-'Tariff Jul''13'!J35)*('Tariff Jul''13'!J41/100)*'Tariff Jul''13'!J30))</f>
        <v>0</v>
      </c>
      <c r="I30" s="36">
        <f>IF(($F22*$F23)*'Tariff Jul''13'!K29/'Tariff Jul''13'!K30&lt;'Tariff Jul''13'!K35,0,IF(($F22*$F23)*'Tariff Jul''13'!K29/'Tariff Jul''13'!K30&lt;='Tariff Jul''13'!K36,(($F22*$F23)*'Tariff Jul''13'!K29/'Tariff Jul''13'!K30-'Tariff Jul''13'!K35)*('Tariff Jul''13'!K41/100)*'Tariff Jul''13'!K30,('Tariff Jul''13'!K36-'Tariff Jul''13'!K35)*('Tariff Jul''13'!K41/100)*'Tariff Jul''13'!K30))</f>
        <v>0</v>
      </c>
      <c r="J30" s="36">
        <f>IF(($F22*$F23)*'Tariff Jul''13'!L29/'Tariff Jul''13'!L30&lt;'Tariff Jul''13'!L35,0,IF(($F22*$F23)*'Tariff Jul''13'!L29/'Tariff Jul''13'!L30&lt;='Tariff Jul''13'!L36,(($F22*$F23)*'Tariff Jul''13'!L29/'Tariff Jul''13'!L30-'Tariff Jul''13'!L35)*('Tariff Jul''13'!L41/100)*'Tariff Jul''13'!L30,('Tariff Jul''13'!L36-'Tariff Jul''13'!L35)*('Tariff Jul''13'!L41/100)*'Tariff Jul''13'!L30))</f>
        <v>0</v>
      </c>
      <c r="K30" s="36">
        <f>IF(($F22*$F23)*'Tariff Jul''13'!M29/'Tariff Jul''13'!M30&lt;'Tariff Jul''13'!M35,0,IF(($F22*$F23)*'Tariff Jul''13'!M29/'Tariff Jul''13'!M30&lt;='Tariff Jul''13'!M36,(($F22*$F23)*'Tariff Jul''13'!M29/'Tariff Jul''13'!M30-'Tariff Jul''13'!M35)*('Tariff Jul''13'!M41/100)*'Tariff Jul''13'!M30,('Tariff Jul''13'!M36-'Tariff Jul''13'!M35)*('Tariff Jul''13'!M41/100)*'Tariff Jul''13'!M30))</f>
        <v>0</v>
      </c>
      <c r="L30" s="32"/>
    </row>
    <row r="31" spans="1:12" x14ac:dyDescent="0.15">
      <c r="A31" s="28" t="s">
        <v>104</v>
      </c>
      <c r="B31" s="32"/>
      <c r="C31" s="36">
        <f>IF(($F22*$F23)*'Tariff Jul''13'!E29/'Tariff Jul''13'!E30&gt;'Tariff Jul''13'!E36,(($F22*$F23)*'Tariff Jul''13'!E29/'Tariff Jul''13'!E30-'Tariff Jul''13'!E36)*'Tariff Jul''13'!E42/100*'Tariff Jul''13'!E30,0)</f>
        <v>0</v>
      </c>
      <c r="D31" s="36">
        <f>IF(($F22*$F23)*'Tariff Jul''13'!F29/'Tariff Jul''13'!F30&gt;'Tariff Jul''13'!F36,(($F22*$F23)*'Tariff Jul''13'!F29/'Tariff Jul''13'!F30-'Tariff Jul''13'!F36)*'Tariff Jul''13'!F42/100*'Tariff Jul''13'!F30,0)</f>
        <v>0</v>
      </c>
      <c r="E31" s="36">
        <f>IF(($F22*$F23)*'Tariff Jul''13'!G29/'Tariff Jul''13'!G30&gt;'Tariff Jul''13'!G36,(($F22*$F23)*'Tariff Jul''13'!G29/'Tariff Jul''13'!G30-'Tariff Jul''13'!G36)*'Tariff Jul''13'!G42/100*'Tariff Jul''13'!G30,0)</f>
        <v>0</v>
      </c>
      <c r="F31" s="36">
        <f>IF(($F22*$F23)*'Tariff Jul''13'!H29/'Tariff Jul''13'!H30&gt;'Tariff Jul''13'!H36,(($F22*$F23)*'Tariff Jul''13'!H29/'Tariff Jul''13'!H30-'Tariff Jul''13'!H36)*'Tariff Jul''13'!H42/100*'Tariff Jul''13'!H30,0)</f>
        <v>0</v>
      </c>
      <c r="G31" s="36">
        <f>IF(($F22*$F23)*'Tariff Jul''13'!I29/'Tariff Jul''13'!I30&gt;'Tariff Jul''13'!I36,(($F22*$F23)*'Tariff Jul''13'!I29/'Tariff Jul''13'!I30-'Tariff Jul''13'!I36)*'Tariff Jul''13'!I42/100*'Tariff Jul''13'!I30,0)</f>
        <v>0</v>
      </c>
      <c r="H31" s="36">
        <f>IF(($F22*$F23)*'Tariff Jul''13'!J29/'Tariff Jul''13'!J30&gt;'Tariff Jul''13'!J36,(($F22*$F23)*'Tariff Jul''13'!J29/'Tariff Jul''13'!J30-'Tariff Jul''13'!J36)*'Tariff Jul''13'!J42/100*'Tariff Jul''13'!J30,0)</f>
        <v>0</v>
      </c>
      <c r="I31" s="36">
        <f>IF(($F22*$F23)*'Tariff Jul''13'!K29/'Tariff Jul''13'!K30&gt;'Tariff Jul''13'!K36,(($F22*$F23)*'Tariff Jul''13'!K29/'Tariff Jul''13'!K30-'Tariff Jul''13'!K36)*'Tariff Jul''13'!K42/100*'Tariff Jul''13'!K30,0)</f>
        <v>398.24399999999991</v>
      </c>
      <c r="J31" s="36">
        <f>IF(($F22*$F23)*'Tariff Jul''13'!L29/'Tariff Jul''13'!L30&gt;'Tariff Jul''13'!L36,(($F22*$F23)*'Tariff Jul''13'!L29/'Tariff Jul''13'!L30-'Tariff Jul''13'!L36)*'Tariff Jul''13'!L42/100*'Tariff Jul''13'!L30,0)</f>
        <v>209</v>
      </c>
      <c r="K31" s="36">
        <f>IF(($F22*$F23)*'Tariff Jul''13'!M29/'Tariff Jul''13'!M30&gt;'Tariff Jul''13'!M36,(($F22*$F23)*'Tariff Jul''13'!M29/'Tariff Jul''13'!M30-'Tariff Jul''13'!M36)*'Tariff Jul''13'!M42/100*'Tariff Jul''13'!M30,0)</f>
        <v>183.755</v>
      </c>
      <c r="L31" s="32"/>
    </row>
    <row r="32" spans="1:12" x14ac:dyDescent="0.15">
      <c r="A32" s="28" t="s">
        <v>231</v>
      </c>
      <c r="B32" s="32"/>
      <c r="C32" s="36">
        <f>IF(($F22*$F23)*'Tariff Jul''13'!E31/'Tariff Jul''13'!E32&gt;='Tariff Jul''13'!E33,('Tariff Jul''13'!E33*'Tariff Jul''13'!E43/100)*'Tariff Jul''13'!E32,(($F22*$F23)*('Tariff Jul''13'!E31/'Tariff Jul''13'!E32*'Tariff Jul''13'!E43/100)*'Tariff Jul''13'!E32))</f>
        <v>282.34800000000001</v>
      </c>
      <c r="D32" s="36">
        <f>IF(($F22*$F23)*'Tariff Jul''13'!F31/'Tariff Jul''13'!F32&gt;='Tariff Jul''13'!F33,('Tariff Jul''13'!F33*'Tariff Jul''13'!F43/100)*'Tariff Jul''13'!F32,(($F22*$F23)*('Tariff Jul''13'!F31/'Tariff Jul''13'!F32*'Tariff Jul''13'!F43/100)*'Tariff Jul''13'!F32))</f>
        <v>304.22699999999998</v>
      </c>
      <c r="E32" s="36">
        <f>IF(($F22*$F23)*'Tariff Jul''13'!G31/'Tariff Jul''13'!G32&gt;='Tariff Jul''13'!G33,('Tariff Jul''13'!G33*'Tariff Jul''13'!G43/100)*'Tariff Jul''13'!G32,(($F22*$F23)*('Tariff Jul''13'!G31/'Tariff Jul''13'!G32*'Tariff Jul''13'!G43/100)*'Tariff Jul''13'!G32))</f>
        <v>1021.3499999999999</v>
      </c>
      <c r="F32" s="36">
        <f>IF(($F22*$F23)*'Tariff Jul''13'!H31/'Tariff Jul''13'!H32&gt;='Tariff Jul''13'!H33,('Tariff Jul''13'!H33*'Tariff Jul''13'!H43/100)*'Tariff Jul''13'!H32,(($F22*$F23)*('Tariff Jul''13'!H31/'Tariff Jul''13'!H32*'Tariff Jul''13'!H43/100)*'Tariff Jul''13'!H32))</f>
        <v>304.22699999999998</v>
      </c>
      <c r="G32" s="36">
        <f>IF(($F22*$F23)*'Tariff Jul''13'!I31/'Tariff Jul''13'!I32&gt;='Tariff Jul''13'!I33,('Tariff Jul''13'!I33*'Tariff Jul''13'!I43/100)*'Tariff Jul''13'!I32,(($F22*$F23)*('Tariff Jul''13'!I31/'Tariff Jul''13'!I32*'Tariff Jul''13'!I43/100)*'Tariff Jul''13'!I32))</f>
        <v>298.48500000000001</v>
      </c>
      <c r="H32" s="36">
        <f>IF(($F22*$F23)*'Tariff Jul''13'!J31/'Tariff Jul''13'!J32&gt;='Tariff Jul''13'!J33,('Tariff Jul''13'!J33*'Tariff Jul''13'!J43/100)*'Tariff Jul''13'!J32,(($F22*$F23)*('Tariff Jul''13'!J31/'Tariff Jul''13'!J32*'Tariff Jul''13'!J43/100)*'Tariff Jul''13'!J32))</f>
        <v>299.96999999999997</v>
      </c>
      <c r="I32" s="36">
        <f>IF(($F22*$F23)*'Tariff Jul''13'!K31/'Tariff Jul''13'!K32&gt;='Tariff Jul''13'!K33,('Tariff Jul''13'!K33*'Tariff Jul''13'!K43/100)*'Tariff Jul''13'!K32,(($F22*$F23)*('Tariff Jul''13'!K31/'Tariff Jul''13'!K32*'Tariff Jul''13'!K43/100)*'Tariff Jul''13'!K32))</f>
        <v>299.673</v>
      </c>
      <c r="J32" s="36">
        <f>IF(($F22*$F23)*'Tariff Jul''13'!L31/'Tariff Jul''13'!L32&gt;='Tariff Jul''13'!L33,('Tariff Jul''13'!L33*'Tariff Jul''13'!L43/100)*'Tariff Jul''13'!L32,(($F22*$F23)*('Tariff Jul''13'!L31/'Tariff Jul''13'!L32*'Tariff Jul''13'!L43/100)*'Tariff Jul''13'!L32))</f>
        <v>292.04999999999995</v>
      </c>
      <c r="K32" s="36">
        <f>IF(($F22*$F23)*'Tariff Jul''13'!M31/'Tariff Jul''13'!M32&gt;='Tariff Jul''13'!M33,('Tariff Jul''13'!M33*'Tariff Jul''13'!M43/100)*'Tariff Jul''13'!M32,(($F22*$F23)*('Tariff Jul''13'!M31/'Tariff Jul''13'!M32*'Tariff Jul''13'!M43/100)*'Tariff Jul''13'!M32))</f>
        <v>961.62000000000012</v>
      </c>
      <c r="L32" s="32"/>
    </row>
    <row r="33" spans="1:12" x14ac:dyDescent="0.15">
      <c r="A33" s="28" t="s">
        <v>530</v>
      </c>
      <c r="B33" s="32"/>
      <c r="C33" s="36">
        <f>IF(($F22*$F23)*'Tariff Jul''13'!E31/'Tariff Jul''13'!E32&lt;'Tariff Jul''13'!E33,0,IF(($F22*$F23)*'Tariff Jul''13'!E31/'Tariff Jul''13'!E32&lt;='Tariff Jul''13'!E34,(($F22*$F23)*'Tariff Jul''13'!E31/'Tariff Jul''13'!E32-'Tariff Jul''13'!E33)*('Tariff Jul''13'!E44/100)*'Tariff Jul''13'!E32,('Tariff Jul''13'!E34-'Tariff Jul''13'!E33)*('Tariff Jul''13'!E44/100)*'Tariff Jul''13'!E32))</f>
        <v>671.28600000000006</v>
      </c>
      <c r="D33" s="36">
        <f>IF(($F22*$F23)*'Tariff Jul''13'!F31/'Tariff Jul''13'!F32&lt;'Tariff Jul''13'!F33,0,IF(($F22*$F23)*'Tariff Jul''13'!F31/'Tariff Jul''13'!F32&lt;='Tariff Jul''13'!F34,(($F22*$F23)*'Tariff Jul''13'!F31/'Tariff Jul''13'!F32-'Tariff Jul''13'!F33)*('Tariff Jul''13'!F44/100)*'Tariff Jul''13'!F32,('Tariff Jul''13'!F34-'Tariff Jul''13'!F33)*('Tariff Jul''13'!F44/100)*'Tariff Jul''13'!F32))</f>
        <v>723.26100000000019</v>
      </c>
      <c r="E33" s="36">
        <f>IF(($F22*$F23)*'Tariff Jul''13'!G31/'Tariff Jul''13'!G32&lt;'Tariff Jul''13'!G33,0,IF(($F22*$F23)*'Tariff Jul''13'!G31/'Tariff Jul''13'!G32&lt;='Tariff Jul''13'!G34,(($F22*$F23)*'Tariff Jul''13'!G31/'Tariff Jul''13'!G32-'Tariff Jul''13'!G33)*('Tariff Jul''13'!G44/100)*'Tariff Jul''13'!G32,('Tariff Jul''13'!G34-'Tariff Jul''13'!G33)*('Tariff Jul''13'!G44/100)*'Tariff Jul''13'!G32))</f>
        <v>582.44999999999993</v>
      </c>
      <c r="F33" s="36">
        <f>IF(($F22*$F23)*'Tariff Jul''13'!H31/'Tariff Jul''13'!H32&lt;'Tariff Jul''13'!H33,0,IF(($F22*$F23)*'Tariff Jul''13'!H31/'Tariff Jul''13'!H32&lt;='Tariff Jul''13'!H34,(($F22*$F23)*'Tariff Jul''13'!H31/'Tariff Jul''13'!H32-'Tariff Jul''13'!H33)*('Tariff Jul''13'!H44/100)*'Tariff Jul''13'!H32,('Tariff Jul''13'!H34-'Tariff Jul''13'!H33)*('Tariff Jul''13'!H44/100)*'Tariff Jul''13'!H32))</f>
        <v>722.56799999999998</v>
      </c>
      <c r="G33" s="36">
        <f>IF(($F22*$F23)*'Tariff Jul''13'!I31/'Tariff Jul''13'!I32&lt;'Tariff Jul''13'!I33,0,IF(($F22*$F23)*'Tariff Jul''13'!I31/'Tariff Jul''13'!I32&lt;='Tariff Jul''13'!I34,(($F22*$F23)*'Tariff Jul''13'!I31/'Tariff Jul''13'!I32-'Tariff Jul''13'!I33)*('Tariff Jul''13'!I44/100)*'Tariff Jul''13'!I32,('Tariff Jul''13'!I34-'Tariff Jul''13'!I33)*('Tariff Jul''13'!I44/100)*'Tariff Jul''13'!I32))</f>
        <v>709.63200000000006</v>
      </c>
      <c r="H33" s="36">
        <f>IF(($F22*$F23)*'Tariff Jul''13'!J31/'Tariff Jul''13'!J32&lt;'Tariff Jul''13'!J33,0,IF(($F22*$F23)*'Tariff Jul''13'!J31/'Tariff Jul''13'!J32&lt;='Tariff Jul''13'!J34,(($F22*$F23)*'Tariff Jul''13'!J31/'Tariff Jul''13'!J32-'Tariff Jul''13'!J33)*('Tariff Jul''13'!J44/100)*'Tariff Jul''13'!J32,('Tariff Jul''13'!J34-'Tariff Jul''13'!J33)*('Tariff Jul''13'!J44/100)*'Tariff Jul''13'!J32))</f>
        <v>713.09699999999998</v>
      </c>
      <c r="I33" s="36">
        <f>IF(($F22*$F23)*'Tariff Jul''13'!K31/'Tariff Jul''13'!K32&lt;'Tariff Jul''13'!K33,0,IF(($F22*$F23)*'Tariff Jul''13'!K31/'Tariff Jul''13'!K32&lt;='Tariff Jul''13'!K34,(($F22*$F23)*'Tariff Jul''13'!K31/'Tariff Jul''13'!K32-'Tariff Jul''13'!K33)*('Tariff Jul''13'!K44/100)*'Tariff Jul''13'!K32,('Tariff Jul''13'!K34-'Tariff Jul''13'!K33)*('Tariff Jul''13'!K44/100)*'Tariff Jul''13'!K32))</f>
        <v>0</v>
      </c>
      <c r="J33" s="36">
        <f>IF(($F22*$F23)*'Tariff Jul''13'!L31/'Tariff Jul''13'!L32&lt;'Tariff Jul''13'!L33,0,IF(($F22*$F23)*'Tariff Jul''13'!L31/'Tariff Jul''13'!L32&lt;='Tariff Jul''13'!L34,(($F22*$F23)*'Tariff Jul''13'!L31/'Tariff Jul''13'!L32-'Tariff Jul''13'!L33)*('Tariff Jul''13'!L44/100)*'Tariff Jul''13'!L32,('Tariff Jul''13'!L34-'Tariff Jul''13'!L33)*('Tariff Jul''13'!L44/100)*'Tariff Jul''13'!L32))</f>
        <v>704.55</v>
      </c>
      <c r="K33" s="36">
        <f>IF(($F22*$F23)*'Tariff Jul''13'!M31/'Tariff Jul''13'!M32&lt;'Tariff Jul''13'!M33,0,IF(($F22*$F23)*'Tariff Jul''13'!M31/'Tariff Jul''13'!M32&lt;='Tariff Jul''13'!M34,(($F22*$F23)*'Tariff Jul''13'!M31/'Tariff Jul''13'!M32-'Tariff Jul''13'!M33)*('Tariff Jul''13'!M44/100)*'Tariff Jul''13'!M32,('Tariff Jul''13'!M34-'Tariff Jul''13'!M33)*('Tariff Jul''13'!M44/100)*'Tariff Jul''13'!M32))</f>
        <v>0</v>
      </c>
      <c r="L33" s="32"/>
    </row>
    <row r="34" spans="1:12" x14ac:dyDescent="0.15">
      <c r="A34" s="28" t="s">
        <v>531</v>
      </c>
      <c r="B34" s="32"/>
      <c r="C34" s="36">
        <f>IF(($F22*$F23)*'Tariff Jul''13'!E31/'Tariff Jul''13'!E32&lt;'Tariff Jul''13'!E34,0,IF(($F22*$F23)*'Tariff Jul''13'!E31/'Tariff Jul''13'!E32&lt;='Tariff Jul''13'!E35,(($F22*$F23)*'Tariff Jul''13'!E31/'Tariff Jul''13'!E32-'Tariff Jul''13'!E34)*('Tariff Jul''13'!E45/100)*'Tariff Jul''13'!E32,('Tariff Jul''13'!E35-'Tariff Jul''13'!E34)*('Tariff Jul''13'!E45/100)*'Tariff Jul''13'!E32))</f>
        <v>548.29499999999996</v>
      </c>
      <c r="D34" s="36">
        <f>IF(($F22*$F23)*'Tariff Jul''13'!F31/'Tariff Jul''13'!F32&lt;'Tariff Jul''13'!F34,0,IF(($F22*$F23)*'Tariff Jul''13'!F31/'Tariff Jul''13'!F32&lt;='Tariff Jul''13'!F35,(($F22*$F23)*'Tariff Jul''13'!F31/'Tariff Jul''13'!F32-'Tariff Jul''13'!F34)*('Tariff Jul''13'!F45/100)*'Tariff Jul''13'!F32,('Tariff Jul''13'!F35-'Tariff Jul''13'!F34)*('Tariff Jul''13'!F45/100)*'Tariff Jul''13'!F32))</f>
        <v>591.19499999999994</v>
      </c>
      <c r="E34" s="36">
        <f>IF(($F22*$F23)*'Tariff Jul''13'!G31/'Tariff Jul''13'!G32&lt;'Tariff Jul''13'!G34,0,IF(($F22*$F23)*'Tariff Jul''13'!G31/'Tariff Jul''13'!G32&lt;='Tariff Jul''13'!G35,(($F22*$F23)*'Tariff Jul''13'!G31/'Tariff Jul''13'!G32-'Tariff Jul''13'!G34)*('Tariff Jul''13'!G45/100)*'Tariff Jul''13'!G32,('Tariff Jul''13'!G35-'Tariff Jul''13'!G34)*('Tariff Jul''13'!G45/100)*'Tariff Jul''13'!G32))</f>
        <v>0</v>
      </c>
      <c r="F34" s="36">
        <f>IF(($F22*$F23)*'Tariff Jul''13'!H31/'Tariff Jul''13'!H32&lt;'Tariff Jul''13'!H34,0,IF(($F22*$F23)*'Tariff Jul''13'!H31/'Tariff Jul''13'!H32&lt;='Tariff Jul''13'!H35,(($F22*$F23)*'Tariff Jul''13'!H31/'Tariff Jul''13'!H32-'Tariff Jul''13'!H34)*('Tariff Jul''13'!H45/100)*'Tariff Jul''13'!H32,('Tariff Jul''13'!H35-'Tariff Jul''13'!H34)*('Tariff Jul''13'!H45/100)*'Tariff Jul''13'!H32))</f>
        <v>598.29000000000008</v>
      </c>
      <c r="G34" s="36">
        <f>IF(($F22*$F23)*'Tariff Jul''13'!I31/'Tariff Jul''13'!I32&lt;'Tariff Jul''13'!I34,0,IF(($F22*$F23)*'Tariff Jul''13'!I31/'Tariff Jul''13'!I32&lt;='Tariff Jul''13'!I35,(($F22*$F23)*'Tariff Jul''13'!I31/'Tariff Jul''13'!I32-'Tariff Jul''13'!I34)*('Tariff Jul''13'!I45/100)*'Tariff Jul''13'!I32,('Tariff Jul''13'!I35-'Tariff Jul''13'!I34)*('Tariff Jul''13'!I45/100)*'Tariff Jul''13'!I32))</f>
        <v>580.14</v>
      </c>
      <c r="H34" s="36">
        <f>IF(($F22*$F23)*'Tariff Jul''13'!J31/'Tariff Jul''13'!J32&lt;'Tariff Jul''13'!J34,0,IF(($F22*$F23)*'Tariff Jul''13'!J31/'Tariff Jul''13'!J32&lt;='Tariff Jul''13'!J35,(($F22*$F23)*'Tariff Jul''13'!J31/'Tariff Jul''13'!J32-'Tariff Jul''13'!J34)*('Tariff Jul''13'!J45/100)*'Tariff Jul''13'!J32,('Tariff Jul''13'!J35-'Tariff Jul''13'!J34)*('Tariff Jul''13'!J45/100)*'Tariff Jul''13'!J32))</f>
        <v>582.94499999999994</v>
      </c>
      <c r="I34" s="36">
        <f>IF(($F22*$F23)*'Tariff Jul''13'!K31/'Tariff Jul''13'!K32&lt;'Tariff Jul''13'!K34,0,IF(($F22*$F23)*'Tariff Jul''13'!K31/'Tariff Jul''13'!K32&lt;='Tariff Jul''13'!K35,(($F22*$F23)*'Tariff Jul''13'!K31/'Tariff Jul''13'!K32-'Tariff Jul''13'!K34)*('Tariff Jul''13'!K45/100)*'Tariff Jul''13'!K32,('Tariff Jul''13'!K35-'Tariff Jul''13'!K34)*('Tariff Jul''13'!K45/100)*'Tariff Jul''13'!K32))</f>
        <v>0</v>
      </c>
      <c r="J34" s="36">
        <f>IF(($F22*$F23)*'Tariff Jul''13'!L31/'Tariff Jul''13'!L32&lt;'Tariff Jul''13'!L34,0,IF(($F22*$F23)*'Tariff Jul''13'!L31/'Tariff Jul''13'!L32&lt;='Tariff Jul''13'!L35,(($F22*$F23)*'Tariff Jul''13'!L31/'Tariff Jul''13'!L32-'Tariff Jul''13'!L34)*('Tariff Jul''13'!L45/100)*'Tariff Jul''13'!L32,('Tariff Jul''13'!L35-'Tariff Jul''13'!L34)*('Tariff Jul''13'!L45/100)*'Tariff Jul''13'!L32))</f>
        <v>0</v>
      </c>
      <c r="K34" s="36">
        <f>IF(($F22*$F23)*'Tariff Jul''13'!M31/'Tariff Jul''13'!M32&lt;'Tariff Jul''13'!M34,0,IF(($F22*$F23)*'Tariff Jul''13'!M31/'Tariff Jul''13'!M32&lt;='Tariff Jul''13'!M35,(($F22*$F23)*'Tariff Jul''13'!M31/'Tariff Jul''13'!M32-'Tariff Jul''13'!M34)*('Tariff Jul''13'!M45/100)*'Tariff Jul''13'!M32,('Tariff Jul''13'!M35-'Tariff Jul''13'!M34)*('Tariff Jul''13'!M45/100)*'Tariff Jul''13'!M32))</f>
        <v>0</v>
      </c>
      <c r="L34" s="32"/>
    </row>
    <row r="35" spans="1:12" x14ac:dyDescent="0.15">
      <c r="A35" s="28" t="s">
        <v>100</v>
      </c>
      <c r="B35" s="32"/>
      <c r="C35" s="36">
        <f>IF(($F22*$F23)*'Tariff Jul''13'!E31/'Tariff Jul''13'!E32&lt;'Tariff Jul''13'!E35,0,IF(($F22*$F23)*'Tariff Jul''13'!E31/'Tariff Jul''13'!E32&lt;='Tariff Jul''13'!E36,(($F22*$F23)*'Tariff Jul''13'!E31/'Tariff Jul''13'!E32-'Tariff Jul''13'!E35)*('Tariff Jul''13'!E46/100)*'Tariff Jul''13'!E32,('Tariff Jul''13'!E36-'Tariff Jul''13'!E35)*('Tariff Jul''13'!E46/100)*'Tariff Jul''13'!E32))</f>
        <v>0</v>
      </c>
      <c r="D35" s="36">
        <f>IF(($F22*$F23)*'Tariff Jul''13'!F31/'Tariff Jul''13'!F32&lt;'Tariff Jul''13'!F35,0,IF(($F22*$F23)*'Tariff Jul''13'!F31/'Tariff Jul''13'!F32&lt;='Tariff Jul''13'!F36,(($F22*$F23)*'Tariff Jul''13'!F31/'Tariff Jul''13'!F32-'Tariff Jul''13'!F35)*('Tariff Jul''13'!F46/100)*'Tariff Jul''13'!F32,('Tariff Jul''13'!F36-'Tariff Jul''13'!F35)*('Tariff Jul''13'!F46/100)*'Tariff Jul''13'!F32))</f>
        <v>0</v>
      </c>
      <c r="E35" s="36">
        <f>IF(($F22*$F23)*'Tariff Jul''13'!G31/'Tariff Jul''13'!G32&lt;'Tariff Jul''13'!G35,0,IF(($F22*$F23)*'Tariff Jul''13'!G31/'Tariff Jul''13'!G32&lt;='Tariff Jul''13'!G36,(($F22*$F23)*'Tariff Jul''13'!G31/'Tariff Jul''13'!G32-'Tariff Jul''13'!G35)*('Tariff Jul''13'!G46/100)*'Tariff Jul''13'!G32,('Tariff Jul''13'!G36-'Tariff Jul''13'!G35)*('Tariff Jul''13'!G46/100)*'Tariff Jul''13'!G32))</f>
        <v>0</v>
      </c>
      <c r="F35" s="36">
        <f>IF(($F22*$F23)*'Tariff Jul''13'!H31/'Tariff Jul''13'!H32&lt;'Tariff Jul''13'!H35,0,IF(($F22*$F23)*'Tariff Jul''13'!H31/'Tariff Jul''13'!H32&lt;='Tariff Jul''13'!H36,(($F22*$F23)*'Tariff Jul''13'!H31/'Tariff Jul''13'!H32-'Tariff Jul''13'!H35)*('Tariff Jul''13'!H46/100)*'Tariff Jul''13'!H32,('Tariff Jul''13'!H36-'Tariff Jul''13'!H35)*('Tariff Jul''13'!H46/100)*'Tariff Jul''13'!H32))</f>
        <v>0</v>
      </c>
      <c r="G35" s="36">
        <f>IF(($F22*$F23)*'Tariff Jul''13'!I31/'Tariff Jul''13'!I32&lt;'Tariff Jul''13'!I35,0,IF(($F22*$F23)*'Tariff Jul''13'!I31/'Tariff Jul''13'!I32&lt;='Tariff Jul''13'!I36,(($F22*$F23)*'Tariff Jul''13'!I31/'Tariff Jul''13'!I32-'Tariff Jul''13'!I35)*('Tariff Jul''13'!I46/100)*'Tariff Jul''13'!I32,('Tariff Jul''13'!I36-'Tariff Jul''13'!I35)*('Tariff Jul''13'!I46/100)*'Tariff Jul''13'!I32))</f>
        <v>0</v>
      </c>
      <c r="H35" s="36">
        <f>IF(($F22*$F23)*'Tariff Jul''13'!J31/'Tariff Jul''13'!J32&lt;'Tariff Jul''13'!J35,0,IF(($F22*$F23)*'Tariff Jul''13'!J31/'Tariff Jul''13'!J32&lt;='Tariff Jul''13'!J36,(($F22*$F23)*'Tariff Jul''13'!J31/'Tariff Jul''13'!J32-'Tariff Jul''13'!J35)*('Tariff Jul''13'!J46/100)*'Tariff Jul''13'!J32,('Tariff Jul''13'!J36-'Tariff Jul''13'!J35)*('Tariff Jul''13'!J46/100)*'Tariff Jul''13'!J32))</f>
        <v>0</v>
      </c>
      <c r="I35" s="36">
        <f>IF(($F22*$F23)*'Tariff Jul''13'!K31/'Tariff Jul''13'!K32&lt;'Tariff Jul''13'!K35,0,IF(($F22*$F23)*'Tariff Jul''13'!K31/'Tariff Jul''13'!K32&lt;='Tariff Jul''13'!K36,(($F22*$F23)*'Tariff Jul''13'!K31/'Tariff Jul''13'!K32-'Tariff Jul''13'!K35)*('Tariff Jul''13'!K46/100)*'Tariff Jul''13'!K32,('Tariff Jul''13'!K36-'Tariff Jul''13'!K35)*('Tariff Jul''13'!K46/100)*'Tariff Jul''13'!K32))</f>
        <v>0</v>
      </c>
      <c r="J35" s="36">
        <f>IF(($F22*$F23)*'Tariff Jul''13'!L31/'Tariff Jul''13'!L32&lt;'Tariff Jul''13'!L35,0,IF(($F22*$F23)*'Tariff Jul''13'!L31/'Tariff Jul''13'!L32&lt;='Tariff Jul''13'!L36,(($F22*$F23)*'Tariff Jul''13'!L31/'Tariff Jul''13'!L32-'Tariff Jul''13'!L35)*('Tariff Jul''13'!L46/100)*'Tariff Jul''13'!L32,('Tariff Jul''13'!L36-'Tariff Jul''13'!L35)*('Tariff Jul''13'!L46/100)*'Tariff Jul''13'!L32))</f>
        <v>0</v>
      </c>
      <c r="K35" s="36">
        <f>IF(($F22*$F23)*'Tariff Jul''13'!M31/'Tariff Jul''13'!M32&lt;'Tariff Jul''13'!M35,0,IF(($F22*$F23)*'Tariff Jul''13'!M31/'Tariff Jul''13'!M32&lt;='Tariff Jul''13'!M36,(($F22*$F23)*'Tariff Jul''13'!M31/'Tariff Jul''13'!M32-'Tariff Jul''13'!M35)*('Tariff Jul''13'!M46/100)*'Tariff Jul''13'!M32,('Tariff Jul''13'!M36-'Tariff Jul''13'!M35)*('Tariff Jul''13'!M46/100)*'Tariff Jul''13'!M32))</f>
        <v>0</v>
      </c>
      <c r="L35" s="32"/>
    </row>
    <row r="36" spans="1:12" x14ac:dyDescent="0.15">
      <c r="A36" s="28" t="s">
        <v>419</v>
      </c>
      <c r="B36" s="32"/>
      <c r="C36" s="36">
        <f>IF(($F22*$F23)*'Tariff Jul''13'!E31/'Tariff Jul''13'!E32&gt;'Tariff Jul''13'!E36,(($F22*$F23)*'Tariff Jul''13'!E31/'Tariff Jul''13'!E32-'Tariff Jul''13'!E36)*'Tariff Jul''13'!E47/100*'Tariff Jul''13'!E32,0)</f>
        <v>0</v>
      </c>
      <c r="D36" s="36">
        <f>IF(($F22*$F23)*'Tariff Jul''13'!F31/'Tariff Jul''13'!F32&gt;'Tariff Jul''13'!F36,(($F22*$F23)*'Tariff Jul''13'!F31/'Tariff Jul''13'!F32-'Tariff Jul''13'!F36)*'Tariff Jul''13'!F47/100*'Tariff Jul''13'!F32,0)</f>
        <v>0</v>
      </c>
      <c r="E36" s="36">
        <f>IF(($F22*$F23)*'Tariff Jul''13'!G31/'Tariff Jul''13'!G32&gt;'Tariff Jul''13'!G36,(($F22*$F23)*'Tariff Jul''13'!G31/'Tariff Jul''13'!G32-'Tariff Jul''13'!G36)*'Tariff Jul''13'!G47/100*'Tariff Jul''13'!G32,0)</f>
        <v>0</v>
      </c>
      <c r="F36" s="36">
        <f>IF(($F22*$F23)*'Tariff Jul''13'!H31/'Tariff Jul''13'!H32&gt;'Tariff Jul''13'!H36,(($F22*$F23)*'Tariff Jul''13'!H31/'Tariff Jul''13'!H32-'Tariff Jul''13'!H36)*'Tariff Jul''13'!H47/100*'Tariff Jul''13'!H32,0)</f>
        <v>0</v>
      </c>
      <c r="G36" s="36">
        <f>IF(($F22*$F23)*'Tariff Jul''13'!I31/'Tariff Jul''13'!I32&gt;'Tariff Jul''13'!I36,(($F22*$F23)*'Tariff Jul''13'!I31/'Tariff Jul''13'!I32-'Tariff Jul''13'!I36)*'Tariff Jul''13'!I47/100*'Tariff Jul''13'!I32,0)</f>
        <v>0</v>
      </c>
      <c r="H36" s="36">
        <f>IF(($F22*$F23)*'Tariff Jul''13'!J31/'Tariff Jul''13'!J32&gt;'Tariff Jul''13'!J36,(($F22*$F23)*'Tariff Jul''13'!J31/'Tariff Jul''13'!J32-'Tariff Jul''13'!J36)*'Tariff Jul''13'!J47/100*'Tariff Jul''13'!J32,0)</f>
        <v>0</v>
      </c>
      <c r="I36" s="36">
        <f>IF(($F22*$F23)*'Tariff Jul''13'!K31/'Tariff Jul''13'!K32&gt;'Tariff Jul''13'!K36,(($F22*$F23)*'Tariff Jul''13'!K31/'Tariff Jul''13'!K32-'Tariff Jul''13'!K36)*'Tariff Jul''13'!K47/100*'Tariff Jul''13'!K32,0)</f>
        <v>1194.7319999999997</v>
      </c>
      <c r="J36" s="36">
        <f>IF(($F22*$F23)*'Tariff Jul''13'!L31/'Tariff Jul''13'!L32&gt;'Tariff Jul''13'!L36,(($F22*$F23)*'Tariff Jul''13'!L31/'Tariff Jul''13'!L32-'Tariff Jul''13'!L36)*'Tariff Jul''13'!L47/100*'Tariff Jul''13'!L32,0)</f>
        <v>528</v>
      </c>
      <c r="K36" s="36">
        <f>IF(($F22*$F23)*'Tariff Jul''13'!M31/'Tariff Jul''13'!M32&gt;'Tariff Jul''13'!M36,(($F22*$F23)*'Tariff Jul''13'!M31/'Tariff Jul''13'!M32-'Tariff Jul''13'!M36)*'Tariff Jul''13'!M47/100*'Tariff Jul''13'!M32,0)</f>
        <v>551.26499999999999</v>
      </c>
      <c r="L36" s="32"/>
    </row>
    <row r="37" spans="1:12" x14ac:dyDescent="0.15">
      <c r="A37" s="28" t="s">
        <v>442</v>
      </c>
      <c r="B37" s="32"/>
      <c r="C37" s="36">
        <f>IF($F22*$F24&gt;='Tariff Jul''13'!E37,('Tariff Jul''13'!E37*'Tariff Jul''13'!E48/100),($F22*$F24)*('Tariff Jul''13'!E48/100))</f>
        <v>227.7</v>
      </c>
      <c r="D37" s="36">
        <f>IF($F22*$F24&gt;='Tariff Jul''13'!F37,('Tariff Jul''13'!F37*'Tariff Jul''13'!F48/100),($F22*$F24)*('Tariff Jul''13'!F48/100))</f>
        <v>245.35499999999999</v>
      </c>
      <c r="E37" s="36">
        <f>IF($F22*$F24&gt;='Tariff Jul''13'!G37,('Tariff Jul''13'!G37*'Tariff Jul''13'!G48/100),($F22*$F24)*('Tariff Jul''13'!G48/100))</f>
        <v>252.44999999999996</v>
      </c>
      <c r="F37" s="36">
        <f>IF($F22*$F24&gt;='Tariff Jul''13'!H37,('Tariff Jul''13'!H37*'Tariff Jul''13'!H48/100),($F22*$F24)*('Tariff Jul''13'!H48/100))</f>
        <v>246.67500000000001</v>
      </c>
      <c r="G37" s="36">
        <f>IF($F22*$F24&gt;='Tariff Jul''13'!I37,('Tariff Jul''13'!I37*'Tariff Jul''13'!I48/100),($F22*$F24)*('Tariff Jul''13'!I48/100))</f>
        <v>240.57</v>
      </c>
      <c r="H37" s="36">
        <f>IF($F22*$F24&gt;='Tariff Jul''13'!J37,('Tariff Jul''13'!J37*'Tariff Jul''13'!J48/100),($F22*$F24)*('Tariff Jul''13'!J48/100))</f>
        <v>241.72499999999999</v>
      </c>
      <c r="I37" s="36">
        <f>(($F22*$F24)*('Tariff Jul''13'!K48/100))</f>
        <v>244.86000000000004</v>
      </c>
      <c r="J37" s="36">
        <f>(($F22*$F24)*('Tariff Jul''13'!L48/100))</f>
        <v>287.10000000000002</v>
      </c>
      <c r="K37" s="36">
        <f>(($F22*$F24)*('Tariff Jul''13'!M48/100))</f>
        <v>250.96500000000003</v>
      </c>
      <c r="L37" s="32"/>
    </row>
    <row r="38" spans="1:12" x14ac:dyDescent="0.15">
      <c r="A38" s="28" t="s">
        <v>443</v>
      </c>
      <c r="B38" s="32"/>
      <c r="C38" s="36">
        <f>IF($F22*$F24&gt;'Tariff Jul''13'!E37,($F22*$F24-'Tariff Jul''13'!E37)*'Tariff Jul''13'!E49/100,0)</f>
        <v>0</v>
      </c>
      <c r="D38" s="36">
        <f>IF($F22*$F24&gt;'Tariff Jul''13'!F37,($F22*$F24-'Tariff Jul''13'!F37)*'Tariff Jul''13'!F49/100,0)</f>
        <v>0</v>
      </c>
      <c r="E38" s="36">
        <f>IF($F22*$F24&gt;'Tariff Jul''13'!G37,($F22*$F24-'Tariff Jul''13'!G37)*'Tariff Jul''13'!G49/100,0)</f>
        <v>0</v>
      </c>
      <c r="F38" s="36">
        <f>IF($F22*$F24&gt;'Tariff Jul''13'!H37,($F22*$F24-'Tariff Jul''13'!H37)*'Tariff Jul''13'!H49/100,0)</f>
        <v>0</v>
      </c>
      <c r="G38" s="36">
        <f>IF($F22*$F24&gt;'Tariff Jul''13'!I37,($F22*$F24-'Tariff Jul''13'!I37)*'Tariff Jul''13'!I49/100,0)</f>
        <v>0</v>
      </c>
      <c r="H38" s="36">
        <f>IF($F22*$F24&gt;'Tariff Jul''13'!J37,($F22*$F24-'Tariff Jul''13'!J37)*'Tariff Jul''13'!J49/100,0)</f>
        <v>0</v>
      </c>
      <c r="I38" s="36">
        <v>0</v>
      </c>
      <c r="J38" s="36">
        <v>0</v>
      </c>
      <c r="K38" s="36">
        <v>0</v>
      </c>
      <c r="L38" s="32"/>
    </row>
    <row r="39" spans="1:12" x14ac:dyDescent="0.15">
      <c r="A39" s="28" t="s">
        <v>420</v>
      </c>
      <c r="B39" s="32"/>
      <c r="C39" s="36">
        <f>'Tariff Jul''13'!E50*365/100</f>
        <v>265.39149999999995</v>
      </c>
      <c r="D39" s="36">
        <f>'Tariff Jul''13'!F50*365/100</f>
        <v>285.30590000000001</v>
      </c>
      <c r="E39" s="36">
        <f>'Tariff Jul''13'!G50*365/100</f>
        <v>269.005</v>
      </c>
      <c r="F39" s="36">
        <f>'Tariff Jul''13'!H50*365/100</f>
        <v>292.05109999999996</v>
      </c>
      <c r="G39" s="36">
        <f>'Tariff Jul''13'!I50*365/100</f>
        <v>272.77909999999997</v>
      </c>
      <c r="H39" s="36">
        <f>'Tariff Jul''13'!J50*365/100</f>
        <v>263.5446</v>
      </c>
      <c r="I39" s="36">
        <f>'Tariff Jul''13'!K50*365/100</f>
        <v>284.46275000000003</v>
      </c>
      <c r="J39" s="36">
        <f>'Tariff Jul''13'!L50*365/100</f>
        <v>277.03500000000003</v>
      </c>
      <c r="K39" s="36">
        <f>'Tariff Jul''13'!M50*365/100</f>
        <v>274.98734999999999</v>
      </c>
      <c r="L39" s="37">
        <f>AVERAGE(C39:K39)</f>
        <v>276.06247777777776</v>
      </c>
    </row>
    <row r="40" spans="1:12" x14ac:dyDescent="0.15">
      <c r="A40" s="38" t="s">
        <v>505</v>
      </c>
      <c r="B40" s="32"/>
      <c r="C40" s="39">
        <f>SUM(C27:C39)</f>
        <v>2549.5855000000001</v>
      </c>
      <c r="D40" s="39">
        <f t="shared" ref="D40:K40" si="1">SUM(D27:D39)</f>
        <v>2746.3028999999997</v>
      </c>
      <c r="E40" s="39">
        <f t="shared" si="1"/>
        <v>2706.0549999999998</v>
      </c>
      <c r="F40" s="39">
        <f t="shared" si="1"/>
        <v>2705.5061000000005</v>
      </c>
      <c r="G40" s="39">
        <f t="shared" si="1"/>
        <v>2688.0931</v>
      </c>
      <c r="H40" s="39">
        <f t="shared" si="1"/>
        <v>2633.2855999999997</v>
      </c>
      <c r="I40" s="39">
        <f t="shared" si="1"/>
        <v>2521.8627499999998</v>
      </c>
      <c r="J40" s="39">
        <f t="shared" si="1"/>
        <v>2672.2849999999994</v>
      </c>
      <c r="K40" s="39">
        <f t="shared" si="1"/>
        <v>2543.1323500000003</v>
      </c>
      <c r="L40" s="39">
        <f>AVERAGE(C40:K40)</f>
        <v>2640.6786999999999</v>
      </c>
    </row>
    <row r="41" spans="1:12" x14ac:dyDescent="0.15">
      <c r="A41" s="28"/>
      <c r="B41" s="28"/>
      <c r="C41" s="28"/>
      <c r="D41" s="28"/>
      <c r="E41" s="28"/>
      <c r="F41" s="28"/>
      <c r="G41" s="28"/>
      <c r="H41" s="28"/>
      <c r="I41" s="28"/>
      <c r="J41" s="28"/>
      <c r="L41" s="28"/>
    </row>
    <row r="42" spans="1:12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</row>
    <row r="43" spans="1:12" x14ac:dyDescent="0.15">
      <c r="A43" s="33" t="s">
        <v>490</v>
      </c>
      <c r="B43" s="32"/>
      <c r="C43" s="9" t="s">
        <v>492</v>
      </c>
      <c r="D43" s="9" t="s">
        <v>491</v>
      </c>
      <c r="E43" s="9" t="s">
        <v>385</v>
      </c>
      <c r="F43" s="9" t="s">
        <v>494</v>
      </c>
      <c r="G43" s="9" t="s">
        <v>470</v>
      </c>
      <c r="H43" s="9" t="s">
        <v>432</v>
      </c>
      <c r="I43" s="9" t="s">
        <v>263</v>
      </c>
      <c r="J43" s="9" t="s">
        <v>203</v>
      </c>
      <c r="K43" s="9" t="s">
        <v>204</v>
      </c>
    </row>
    <row r="44" spans="1:12" x14ac:dyDescent="0.15">
      <c r="A44" s="28" t="s">
        <v>496</v>
      </c>
      <c r="B44" s="32"/>
      <c r="C44" s="20" t="s">
        <v>108</v>
      </c>
      <c r="D44" s="21" t="s">
        <v>388</v>
      </c>
      <c r="E44" s="21" t="s">
        <v>375</v>
      </c>
      <c r="F44" s="21" t="s">
        <v>497</v>
      </c>
      <c r="G44" s="21" t="s">
        <v>387</v>
      </c>
      <c r="H44" s="21" t="s">
        <v>497</v>
      </c>
      <c r="I44" s="21" t="s">
        <v>388</v>
      </c>
      <c r="J44" s="28" t="s">
        <v>387</v>
      </c>
      <c r="K44" s="28" t="s">
        <v>387</v>
      </c>
    </row>
    <row r="45" spans="1:12" x14ac:dyDescent="0.15">
      <c r="A45" s="28" t="s">
        <v>522</v>
      </c>
      <c r="B45" s="32"/>
      <c r="C45" s="21" t="s">
        <v>400</v>
      </c>
      <c r="D45" s="21" t="s">
        <v>224</v>
      </c>
      <c r="E45" s="21" t="s">
        <v>401</v>
      </c>
      <c r="F45" s="21" t="s">
        <v>400</v>
      </c>
      <c r="G45" s="21" t="s">
        <v>387</v>
      </c>
      <c r="H45" s="21" t="s">
        <v>400</v>
      </c>
      <c r="I45" s="21" t="s">
        <v>226</v>
      </c>
      <c r="J45" s="28" t="s">
        <v>331</v>
      </c>
      <c r="K45" s="21" t="s">
        <v>224</v>
      </c>
    </row>
    <row r="46" spans="1:12" x14ac:dyDescent="0.15">
      <c r="A46" s="28" t="s">
        <v>512</v>
      </c>
      <c r="B46" s="32"/>
      <c r="C46" s="21" t="s">
        <v>227</v>
      </c>
      <c r="D46" s="22">
        <v>70</v>
      </c>
      <c r="E46" s="22" t="s">
        <v>205</v>
      </c>
      <c r="F46" s="22" t="s">
        <v>466</v>
      </c>
      <c r="G46" s="22" t="s">
        <v>387</v>
      </c>
      <c r="H46" s="22">
        <v>75</v>
      </c>
      <c r="I46" s="22">
        <v>48</v>
      </c>
      <c r="J46" s="28" t="s">
        <v>220</v>
      </c>
      <c r="K46" s="28" t="s">
        <v>387</v>
      </c>
    </row>
    <row r="47" spans="1:12" x14ac:dyDescent="0.15">
      <c r="A47" s="28" t="s">
        <v>532</v>
      </c>
      <c r="B47" s="32"/>
      <c r="C47" s="21" t="s">
        <v>109</v>
      </c>
      <c r="D47" s="20">
        <v>0.02</v>
      </c>
      <c r="E47" s="20" t="s">
        <v>374</v>
      </c>
      <c r="F47" s="20" t="s">
        <v>416</v>
      </c>
      <c r="G47" s="20" t="s">
        <v>288</v>
      </c>
      <c r="H47" s="20" t="s">
        <v>202</v>
      </c>
      <c r="I47" s="21" t="s">
        <v>497</v>
      </c>
      <c r="J47" s="28" t="s">
        <v>232</v>
      </c>
      <c r="K47" s="28" t="s">
        <v>387</v>
      </c>
    </row>
    <row r="48" spans="1:12" x14ac:dyDescent="0.15">
      <c r="A48" s="28" t="s">
        <v>376</v>
      </c>
      <c r="B48" s="32"/>
      <c r="C48" s="22">
        <v>14</v>
      </c>
      <c r="D48" s="22">
        <v>12</v>
      </c>
      <c r="E48" s="20" t="s">
        <v>387</v>
      </c>
      <c r="F48" s="20" t="s">
        <v>292</v>
      </c>
      <c r="G48" s="28" t="s">
        <v>387</v>
      </c>
      <c r="H48" s="22" t="s">
        <v>290</v>
      </c>
      <c r="I48" s="22">
        <v>14</v>
      </c>
      <c r="J48" s="28" t="s">
        <v>536</v>
      </c>
      <c r="K48" s="28" t="s">
        <v>378</v>
      </c>
    </row>
    <row r="49" spans="1:12" x14ac:dyDescent="0.15">
      <c r="A49" s="28" t="s">
        <v>553</v>
      </c>
      <c r="B49" s="32"/>
      <c r="C49" s="21" t="s">
        <v>554</v>
      </c>
      <c r="D49" s="21" t="s">
        <v>262</v>
      </c>
      <c r="E49" s="21" t="s">
        <v>497</v>
      </c>
      <c r="F49" s="21" t="s">
        <v>497</v>
      </c>
      <c r="G49" s="21" t="s">
        <v>387</v>
      </c>
      <c r="H49" s="21" t="s">
        <v>497</v>
      </c>
      <c r="I49" s="21" t="s">
        <v>387</v>
      </c>
      <c r="J49" s="28" t="s">
        <v>387</v>
      </c>
      <c r="K49" s="28" t="s">
        <v>387</v>
      </c>
    </row>
    <row r="50" spans="1:12" x14ac:dyDescent="0.1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</row>
  </sheetData>
  <sheetProtection algorithmName="SHA-512" hashValue="l95w13M/nlKJKlV3VSWXhkzBWXGYv3D6mEMYuzGn+aa2YbvpzEKAI0tSsvBUxYCQZiLC1C5hm5ated/NebmFBw==" saltValue="6cVckH3H0Pt/kpII+jOh0Q==" spinCount="100000" sheet="1" objects="1" scenarios="1"/>
  <phoneticPr fontId="6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L50"/>
  <sheetViews>
    <sheetView workbookViewId="0">
      <selection activeCell="F22" activeCellId="1" sqref="F5 F22:F24"/>
    </sheetView>
  </sheetViews>
  <sheetFormatPr baseColWidth="10" defaultRowHeight="13" x14ac:dyDescent="0.15"/>
  <cols>
    <col min="1" max="1" width="20.5" style="29" customWidth="1"/>
    <col min="2" max="2" width="2.5" style="29" customWidth="1"/>
    <col min="3" max="10" width="10" style="29" customWidth="1"/>
    <col min="11" max="16384" width="10.83203125" style="29"/>
  </cols>
  <sheetData>
    <row r="1" spans="1:12" x14ac:dyDescent="0.15">
      <c r="A1" s="28" t="s">
        <v>518</v>
      </c>
      <c r="B1" s="28"/>
      <c r="C1" s="28"/>
      <c r="D1" s="28"/>
      <c r="E1" s="28"/>
      <c r="F1" s="28"/>
      <c r="G1" s="28"/>
      <c r="H1" s="28"/>
      <c r="I1" s="28"/>
      <c r="J1" s="28"/>
    </row>
    <row r="2" spans="1:12" x14ac:dyDescent="0.1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x14ac:dyDescent="0.15">
      <c r="A3" s="31" t="s">
        <v>599</v>
      </c>
      <c r="B3" s="32"/>
      <c r="C3" s="28"/>
      <c r="D3" s="28"/>
      <c r="E3" s="28"/>
      <c r="F3" s="28"/>
      <c r="G3" s="28"/>
      <c r="H3" s="28"/>
      <c r="I3" s="28"/>
      <c r="J3" s="28"/>
    </row>
    <row r="4" spans="1:12" x14ac:dyDescent="0.15">
      <c r="A4" s="28"/>
      <c r="B4" s="32"/>
      <c r="C4" s="28"/>
      <c r="D4" s="28"/>
      <c r="E4" s="28"/>
      <c r="F4" s="28"/>
      <c r="G4" s="28"/>
      <c r="H4" s="28"/>
      <c r="I4" s="28"/>
      <c r="J4" s="28"/>
    </row>
    <row r="5" spans="1:12" x14ac:dyDescent="0.15">
      <c r="A5" s="33" t="s">
        <v>418</v>
      </c>
      <c r="B5" s="32"/>
      <c r="C5" s="33" t="s">
        <v>335</v>
      </c>
      <c r="D5" s="28"/>
      <c r="E5" s="28"/>
      <c r="F5" s="10">
        <v>6000</v>
      </c>
      <c r="G5" s="28"/>
      <c r="H5" s="28"/>
      <c r="I5" s="28"/>
      <c r="J5" s="28"/>
    </row>
    <row r="6" spans="1:12" x14ac:dyDescent="0.15">
      <c r="A6" s="28"/>
      <c r="B6" s="32"/>
      <c r="C6" s="28"/>
      <c r="D6" s="28"/>
      <c r="E6" s="28"/>
      <c r="F6" s="28"/>
      <c r="G6" s="28"/>
      <c r="H6" s="28"/>
      <c r="I6" s="28"/>
      <c r="J6" s="28"/>
    </row>
    <row r="7" spans="1:12" x14ac:dyDescent="0.15">
      <c r="A7" s="34" t="s">
        <v>336</v>
      </c>
      <c r="B7" s="35"/>
      <c r="C7" s="9" t="s">
        <v>492</v>
      </c>
      <c r="D7" s="9" t="s">
        <v>491</v>
      </c>
      <c r="E7" s="9" t="s">
        <v>385</v>
      </c>
      <c r="F7" s="9" t="s">
        <v>494</v>
      </c>
      <c r="G7" s="9" t="s">
        <v>470</v>
      </c>
      <c r="H7" s="9" t="s">
        <v>467</v>
      </c>
      <c r="I7" s="9" t="s">
        <v>263</v>
      </c>
      <c r="J7" s="9" t="s">
        <v>540</v>
      </c>
      <c r="K7" s="9" t="s">
        <v>312</v>
      </c>
      <c r="L7" s="9" t="s">
        <v>594</v>
      </c>
    </row>
    <row r="8" spans="1:12" x14ac:dyDescent="0.15">
      <c r="A8" s="28" t="s">
        <v>243</v>
      </c>
      <c r="B8" s="32"/>
      <c r="C8" s="36">
        <f>IF($F5*'Tariff Jan''13'!E7/'Tariff Jan''13'!E8&gt;='Tariff Jan''13'!E11,('Tariff Jan''13'!E11*'Tariff Jan''13'!E15/100)*'Tariff Jan''13'!E8,($F5*'Tariff Jan''13'!E7/'Tariff Jan''13'!E8*'Tariff Jan''13'!E15/100)*'Tariff Jan''13'!E8)</f>
        <v>96.722999999999999</v>
      </c>
      <c r="D8" s="36">
        <f>IF($F5*'Tariff Jan''13'!F7/'Tariff Jan''13'!F8&gt;='Tariff Jan''13'!F11,('Tariff Jan''13'!F11*'Tariff Jan''13'!F15/100)*'Tariff Jan''13'!F8,($F5*'Tariff Jan''13'!F7/'Tariff Jan''13'!F8*'Tariff Jan''13'!F15/100)*'Tariff Jan''13'!F8)</f>
        <v>105.53399999999999</v>
      </c>
      <c r="E8" s="36">
        <f>IF($F5*'Tariff Jan''13'!G7/'Tariff Jan''13'!G8&gt;='Tariff Jan''13'!G11,('Tariff Jan''13'!G11*'Tariff Jan''13'!G15/100)*'Tariff Jan''13'!G8,($F5*'Tariff Jan''13'!G7/'Tariff Jan''13'!G8*'Tariff Jan''13'!G15/100)*'Tariff Jan''13'!G8)</f>
        <v>95.04</v>
      </c>
      <c r="F8" s="36">
        <f>IF($F5*'Tariff Jan''13'!H7/'Tariff Jan''13'!H8&gt;='Tariff Jan''13'!H11,('Tariff Jan''13'!H11*'Tariff Jan''13'!H15/100)*'Tariff Jan''13'!H8,($F5*'Tariff Jan''13'!H7/'Tariff Jan''13'!H8*'Tariff Jan''13'!H15/100)*'Tariff Jan''13'!H8)</f>
        <v>97.779000000000011</v>
      </c>
      <c r="G8" s="36">
        <f>IF($F5*'Tariff Jan''13'!I7/'Tariff Jan''13'!I8&gt;='Tariff Jan''13'!I11,('Tariff Jan''13'!I11*'Tariff Jan''13'!I15/100)*'Tariff Jan''13'!I8,($F5*'Tariff Jan''13'!I7/'Tariff Jan''13'!I8*'Tariff Jan''13'!I15/100)*'Tariff Jan''13'!I8)</f>
        <v>101.31000000000002</v>
      </c>
      <c r="H8" s="36">
        <f>IF($F5*'Tariff Jan''13'!J7/'Tariff Jan''13'!J8&gt;='Tariff Jan''13'!J11,('Tariff Jan''13'!J11*'Tariff Jan''13'!J15/100)*'Tariff Jan''13'!J8,($F5*'Tariff Jan''13'!J7/'Tariff Jan''13'!J8*'Tariff Jan''13'!J15/100)*'Tariff Jan''13'!J8)</f>
        <v>96.128999999999991</v>
      </c>
      <c r="I8" s="36">
        <f>IF($F5*'Tariff Jan''13'!K7/'Tariff Jan''13'!K8&gt;='Tariff Jan''13'!K11,('Tariff Jan''13'!K11*'Tariff Jan''13'!K15/100)*'Tariff Jan''13'!K8,($F5*'Tariff Jan''13'!K7/'Tariff Jan''13'!K8*'Tariff Jan''13'!K15/100)*'Tariff Jan''13'!K8)</f>
        <v>99.890999999999991</v>
      </c>
      <c r="J8" s="36">
        <f>IF($F5*'Tariff Jan''13'!L7/'Tariff Jan''13'!L8&gt;='Tariff Jan''13'!L11,('Tariff Jan''13'!L11*'Tariff Jan''13'!L15/100)*'Tariff Jan''13'!L8,($F5*'Tariff Jan''13'!L7/'Tariff Jan''13'!L8*'Tariff Jan''13'!L15/100)*'Tariff Jan''13'!L8)</f>
        <v>103.95</v>
      </c>
      <c r="K8" s="36">
        <f>IF($F5*'Tariff Jan''13'!M7/'Tariff Jan''13'!M8&gt;='Tariff Jan''13'!M11,('Tariff Jan''13'!M11*'Tariff Jan''13'!M15/100)*'Tariff Jan''13'!M8,($F5*'Tariff Jan''13'!M7/'Tariff Jan''13'!M8*'Tariff Jan''13'!M15/100)*'Tariff Jan''13'!M8)</f>
        <v>285.01</v>
      </c>
      <c r="L8" s="32"/>
    </row>
    <row r="9" spans="1:12" x14ac:dyDescent="0.15">
      <c r="A9" s="28" t="s">
        <v>317</v>
      </c>
      <c r="B9" s="32"/>
      <c r="C9" s="36">
        <f>IF($F5*'Tariff Jan''13'!E7/'Tariff Jan''13'!E8&lt;'Tariff Jan''13'!E11,0,IF($F5*'Tariff Jan''13'!E7/'Tariff Jan''13'!E8&lt;='Tariff Jan''13'!E12,($F5*'Tariff Jan''13'!E7/'Tariff Jan''13'!E8-'Tariff Jan''13'!E11)*('Tariff Jan''13'!E16/100)*'Tariff Jan''13'!E8,('Tariff Jan''13'!E12-'Tariff Jan''13'!E11)*('Tariff Jan''13'!E16/100)*'Tariff Jan''13'!E8))</f>
        <v>246.01500000000001</v>
      </c>
      <c r="D9" s="36">
        <f>IF($F5*'Tariff Jan''13'!F7/'Tariff Jan''13'!F8&lt;'Tariff Jan''13'!F11,0,IF($F5*'Tariff Jan''13'!F7/'Tariff Jan''13'!F8&lt;='Tariff Jan''13'!F12,($F5*'Tariff Jan''13'!F7/'Tariff Jan''13'!F8-'Tariff Jan''13'!F11)*('Tariff Jan''13'!F16/100)*'Tariff Jan''13'!F8,('Tariff Jan''13'!F12-'Tariff Jan''13'!F11)*('Tariff Jan''13'!F16/100)*'Tariff Jan''13'!F8))</f>
        <v>268.34500000000003</v>
      </c>
      <c r="E9" s="36">
        <f>IF($F5*'Tariff Jan''13'!G7/'Tariff Jan''13'!G8&lt;'Tariff Jan''13'!G11,0,IF($F5*'Tariff Jan''13'!G7/'Tariff Jan''13'!G8&lt;='Tariff Jan''13'!G12,($F5*'Tariff Jan''13'!G7/'Tariff Jan''13'!G8-'Tariff Jan''13'!G11)*('Tariff Jan''13'!G16/100)*'Tariff Jan''13'!G8,('Tariff Jan''13'!G12-'Tariff Jan''13'!G11)*('Tariff Jan''13'!G16/100)*'Tariff Jan''13'!G8))</f>
        <v>246.40000000000003</v>
      </c>
      <c r="F9" s="36">
        <f>IF($F5*'Tariff Jan''13'!H7/'Tariff Jan''13'!H8&lt;'Tariff Jan''13'!H11,0,IF($F5*'Tariff Jan''13'!H7/'Tariff Jan''13'!H8&lt;='Tariff Jan''13'!H12,($F5*'Tariff Jan''13'!H7/'Tariff Jan''13'!H8-'Tariff Jan''13'!H11)*('Tariff Jan''13'!H16/100)*'Tariff Jan''13'!H8,('Tariff Jan''13'!H12-'Tariff Jan''13'!H11)*('Tariff Jan''13'!H16/100)*'Tariff Jan''13'!H8))</f>
        <v>232.232</v>
      </c>
      <c r="G9" s="36">
        <f>IF($F5*'Tariff Jan''13'!I7/'Tariff Jan''13'!I8&lt;'Tariff Jan''13'!I11,0,IF($F5*'Tariff Jan''13'!I7/'Tariff Jan''13'!I8&lt;='Tariff Jan''13'!I12,($F5*'Tariff Jan''13'!I7/'Tariff Jan''13'!I8-'Tariff Jan''13'!I11)*('Tariff Jan''13'!I16/100)*'Tariff Jan''13'!I8,('Tariff Jan''13'!I12-'Tariff Jan''13'!I11)*('Tariff Jan''13'!I16/100)*'Tariff Jan''13'!I8))</f>
        <v>257.642</v>
      </c>
      <c r="H9" s="36">
        <f>IF($F5*'Tariff Jan''13'!J7/'Tariff Jan''13'!J8&lt;'Tariff Jan''13'!J11,0,IF($F5*'Tariff Jan''13'!J7/'Tariff Jan''13'!J8&lt;='Tariff Jan''13'!J12,($F5*'Tariff Jan''13'!J7/'Tariff Jan''13'!J8-'Tariff Jan''13'!J11)*('Tariff Jan''13'!J16/100)*'Tariff Jan''13'!J8,('Tariff Jan''13'!J12-'Tariff Jan''13'!J11)*('Tariff Jan''13'!J16/100)*'Tariff Jan''13'!J8))</f>
        <v>228.53600000000003</v>
      </c>
      <c r="I9" s="36">
        <f>IF($F5*'Tariff Jan''13'!K7/'Tariff Jan''13'!K8&lt;'Tariff Jan''13'!K11,0,IF($F5*'Tariff Jan''13'!K7/'Tariff Jan''13'!K8&lt;='Tariff Jan''13'!K12,($F5*'Tariff Jan''13'!K7/'Tariff Jan''13'!K8-'Tariff Jan''13'!K11)*('Tariff Jan''13'!K16/100)*'Tariff Jan''13'!K8,('Tariff Jan''13'!K12-'Tariff Jan''13'!K11)*('Tariff Jan''13'!K16/100)*'Tariff Jan''13'!K8))</f>
        <v>0</v>
      </c>
      <c r="J9" s="36">
        <f>IF($F5*'Tariff Jan''13'!L7/'Tariff Jan''13'!L8&lt;'Tariff Jan''13'!L11,0,IF($F5*'Tariff Jan''13'!L7/'Tariff Jan''13'!L8&lt;='Tariff Jan''13'!L12,($F5*'Tariff Jan''13'!L7/'Tariff Jan''13'!L8-'Tariff Jan''13'!L11)*('Tariff Jan''13'!L16/100)*'Tariff Jan''13'!L8,('Tariff Jan''13'!L12-'Tariff Jan''13'!L11)*('Tariff Jan''13'!L16/100)*'Tariff Jan''13'!L8))</f>
        <v>254.1</v>
      </c>
      <c r="K9" s="36">
        <v>0</v>
      </c>
      <c r="L9" s="32"/>
    </row>
    <row r="10" spans="1:12" x14ac:dyDescent="0.15">
      <c r="A10" s="28" t="s">
        <v>250</v>
      </c>
      <c r="B10" s="32"/>
      <c r="C10" s="36">
        <f>IF($F5*'Tariff Jan''13'!E7/'Tariff Jan''13'!E8&lt;'Tariff Jan''13'!E12,0,IF($F5*'Tariff Jan''13'!E7/'Tariff Jan''13'!E8&lt;='Tariff Jan''13'!E13,($F5*'Tariff Jan''13'!E7/'Tariff Jan''13'!E8-'Tariff Jan''13'!E12)*('Tariff Jan''13'!E17/100)*'Tariff Jan''13'!E8,('Tariff Jan''13'!E13-'Tariff Jan''13'!E12)*('Tariff Jan''13'!E17/100)*'Tariff Jan''13'!E8))</f>
        <v>198.38500000000002</v>
      </c>
      <c r="D10" s="36">
        <f>IF($F5*'Tariff Jan''13'!F7/'Tariff Jan''13'!F8&lt;'Tariff Jan''13'!F12,0,IF($F5*'Tariff Jan''13'!F7/'Tariff Jan''13'!F8&lt;='Tariff Jan''13'!F13,($F5*'Tariff Jan''13'!F7/'Tariff Jan''13'!F8-'Tariff Jan''13'!F12)*('Tariff Jan''13'!F17/100)*'Tariff Jan''13'!F8,('Tariff Jan''13'!F13-'Tariff Jan''13'!F12)*('Tariff Jan''13'!F17/100)*'Tariff Jan''13'!F8))</f>
        <v>216.26000000000002</v>
      </c>
      <c r="E10" s="36">
        <f>IF($F5*'Tariff Jan''13'!G7/'Tariff Jan''13'!G8&lt;'Tariff Jan''13'!G12,0,IF($F5*'Tariff Jan''13'!G7/'Tariff Jan''13'!G8&lt;='Tariff Jan''13'!G13,($F5*'Tariff Jan''13'!G7/'Tariff Jan''13'!G8-'Tariff Jan''13'!G12)*('Tariff Jan''13'!G17/100)*'Tariff Jan''13'!G8,('Tariff Jan''13'!G13-'Tariff Jan''13'!G12)*('Tariff Jan''13'!G17/100)*'Tariff Jan''13'!G8))</f>
        <v>0</v>
      </c>
      <c r="F10" s="36">
        <f>IF($F5*'Tariff Jan''13'!H7/'Tariff Jan''13'!H8&lt;'Tariff Jan''13'!H12,0,IF($F5*'Tariff Jan''13'!H7/'Tariff Jan''13'!H8&lt;='Tariff Jan''13'!H13,($F5*'Tariff Jan''13'!H7/'Tariff Jan''13'!H8-'Tariff Jan''13'!H12)*('Tariff Jan''13'!H17/100)*'Tariff Jan''13'!H8,('Tariff Jan''13'!H13-'Tariff Jan''13'!H12)*('Tariff Jan''13'!H17/100)*'Tariff Jan''13'!H8))</f>
        <v>192.33500000000001</v>
      </c>
      <c r="G10" s="36">
        <f>IF($F5*'Tariff Jan''13'!I7/'Tariff Jan''13'!I8&lt;'Tariff Jan''13'!I12,0,IF($F5*'Tariff Jan''13'!I7/'Tariff Jan''13'!I8&lt;='Tariff Jan''13'!I13,($F5*'Tariff Jan''13'!I7/'Tariff Jan''13'!I8-'Tariff Jan''13'!I12)*('Tariff Jan''13'!I17/100)*'Tariff Jan''13'!I8,('Tariff Jan''13'!I13-'Tariff Jan''13'!I12)*('Tariff Jan''13'!I17/100)*'Tariff Jan''13'!I8))</f>
        <v>207.73499999999999</v>
      </c>
      <c r="H10" s="36">
        <f>IF($F5*'Tariff Jan''13'!J7/'Tariff Jan''13'!J8&lt;'Tariff Jan''13'!J12,0,IF($F5*'Tariff Jan''13'!J7/'Tariff Jan''13'!J8&lt;='Tariff Jan''13'!J13,($F5*'Tariff Jan''13'!J7/'Tariff Jan''13'!J8-'Tariff Jan''13'!J12)*('Tariff Jan''13'!J17/100)*'Tariff Jan''13'!J8,('Tariff Jan''13'!J13-'Tariff Jan''13'!J12)*('Tariff Jan''13'!J17/100)*'Tariff Jan''13'!J8))</f>
        <v>186.83499999999998</v>
      </c>
      <c r="I10" s="36">
        <v>0</v>
      </c>
      <c r="J10" s="36">
        <v>0</v>
      </c>
      <c r="K10" s="36">
        <v>0</v>
      </c>
      <c r="L10" s="32"/>
    </row>
    <row r="11" spans="1:12" x14ac:dyDescent="0.15">
      <c r="A11" s="28" t="s">
        <v>251</v>
      </c>
      <c r="B11" s="32"/>
      <c r="C11" s="36">
        <f>IF($F5*'Tariff Jan''13'!E7/'Tariff Jan''13'!E8&lt;'Tariff Jan''13'!E13,0,IF($F5*'Tariff Jan''13'!E7/'Tariff Jan''13'!E8&lt;='Tariff Jan''13'!E14,($F5*'Tariff Jan''13'!E7/'Tariff Jan''13'!E8-'Tariff Jan''13'!E13)*('Tariff Jan''13'!E18/100)*'Tariff Jan''13'!E8,('Tariff Jan''13'!E14-'Tariff Jan''13'!E13)*('Tariff Jan''13'!E18/100)*'Tariff Jan''13'!E8))</f>
        <v>0</v>
      </c>
      <c r="D11" s="36">
        <f>IF($F5*'Tariff Jan''13'!F7/'Tariff Jan''13'!F8&lt;'Tariff Jan''13'!F13,0,IF($F5*'Tariff Jan''13'!F7/'Tariff Jan''13'!F8&lt;='Tariff Jan''13'!F14,($F5*'Tariff Jan''13'!F7/'Tariff Jan''13'!F8-'Tariff Jan''13'!F13)*('Tariff Jan''13'!F18/100)*'Tariff Jan''13'!F8,('Tariff Jan''13'!F14-'Tariff Jan''13'!F13)*('Tariff Jan''13'!F18/100)*'Tariff Jan''13'!F8))</f>
        <v>0</v>
      </c>
      <c r="E11" s="36">
        <f>IF($F5*'Tariff Jan''13'!G7/'Tariff Jan''13'!G8&lt;'Tariff Jan''13'!G13,0,IF($F5*'Tariff Jan''13'!G7/'Tariff Jan''13'!G8&lt;='Tariff Jan''13'!G14,($F5*'Tariff Jan''13'!G7/'Tariff Jan''13'!G8-'Tariff Jan''13'!G13)*('Tariff Jan''13'!G18/100)*'Tariff Jan''13'!G8,('Tariff Jan''13'!G14-'Tariff Jan''13'!G13)*('Tariff Jan''13'!G18/100)*'Tariff Jan''13'!G8))</f>
        <v>0</v>
      </c>
      <c r="F11" s="36">
        <f>IF($F5*'Tariff Jan''13'!H7/'Tariff Jan''13'!H8&lt;'Tariff Jan''13'!H13,0,IF($F5*'Tariff Jan''13'!H7/'Tariff Jan''13'!H8&lt;='Tariff Jan''13'!H14,($F5*'Tariff Jan''13'!H7/'Tariff Jan''13'!H8-'Tariff Jan''13'!H13)*('Tariff Jan''13'!H18/100)*'Tariff Jan''13'!H8,('Tariff Jan''13'!H14-'Tariff Jan''13'!H13)*('Tariff Jan''13'!H18/100)*'Tariff Jan''13'!H8))</f>
        <v>0</v>
      </c>
      <c r="G11" s="36">
        <f>IF($F5*'Tariff Jan''13'!I7/'Tariff Jan''13'!I8&lt;'Tariff Jan''13'!I13,0,IF($F5*'Tariff Jan''13'!I7/'Tariff Jan''13'!I8&lt;='Tariff Jan''13'!I14,($F5*'Tariff Jan''13'!I7/'Tariff Jan''13'!I8-'Tariff Jan''13'!I13)*('Tariff Jan''13'!I18/100)*'Tariff Jan''13'!I8,('Tariff Jan''13'!I14-'Tariff Jan''13'!I13)*('Tariff Jan''13'!I18/100)*'Tariff Jan''13'!I8))</f>
        <v>0</v>
      </c>
      <c r="H11" s="36">
        <f>IF($F5*'Tariff Jan''13'!J7/'Tariff Jan''13'!J8&lt;'Tariff Jan''13'!J13,0,IF($F5*'Tariff Jan''13'!J7/'Tariff Jan''13'!J8&lt;='Tariff Jan''13'!J14,($F5*'Tariff Jan''13'!J7/'Tariff Jan''13'!J8-'Tariff Jan''13'!J13)*('Tariff Jan''13'!J18/100)*'Tariff Jan''13'!J8,('Tariff Jan''13'!J14-'Tariff Jan''13'!J13)*('Tariff Jan''13'!J18/100)*'Tariff Jan''13'!J8))</f>
        <v>0</v>
      </c>
      <c r="I11" s="36">
        <v>0</v>
      </c>
      <c r="J11" s="36">
        <v>0</v>
      </c>
      <c r="K11" s="36">
        <v>0</v>
      </c>
      <c r="L11" s="32"/>
    </row>
    <row r="12" spans="1:12" x14ac:dyDescent="0.15">
      <c r="A12" s="28" t="s">
        <v>104</v>
      </c>
      <c r="B12" s="32"/>
      <c r="C12" s="36">
        <f>IF(($F5*'Tariff Jan''13'!E7/'Tariff Jan''13'!E8&gt;'Tariff Jan''13'!E14),($F5*'Tariff Jan''13'!E7/'Tariff Jan''13'!E8-'Tariff Jan''13'!E14)*'Tariff Jan''13'!E19/100*'Tariff Jan''13'!E8,0)</f>
        <v>0</v>
      </c>
      <c r="D12" s="36">
        <f>IF(($F5*'Tariff Jan''13'!F7/'Tariff Jan''13'!F8&gt;'Tariff Jan''13'!F14),($F5*'Tariff Jan''13'!F7/'Tariff Jan''13'!F8-'Tariff Jan''13'!F14)*'Tariff Jan''13'!F19/100*'Tariff Jan''13'!F8,0)</f>
        <v>0</v>
      </c>
      <c r="E12" s="36">
        <f>IF(($F5*'Tariff Jan''13'!G7/'Tariff Jan''13'!G8&gt;'Tariff Jan''13'!G14),($F5*'Tariff Jan''13'!G7/'Tariff Jan''13'!G8-'Tariff Jan''13'!G14)*'Tariff Jan''13'!G19/100*'Tariff Jan''13'!G8,0)</f>
        <v>204.05</v>
      </c>
      <c r="F12" s="36">
        <f>IF(($F5*'Tariff Jan''13'!H7/'Tariff Jan''13'!H8&gt;'Tariff Jan''13'!H14),($F5*'Tariff Jan''13'!H7/'Tariff Jan''13'!H8-'Tariff Jan''13'!H14)*'Tariff Jan''13'!H19/100*'Tariff Jan''13'!H8,0)</f>
        <v>0</v>
      </c>
      <c r="G12" s="36">
        <f>IF(($F5*'Tariff Jan''13'!I7/'Tariff Jan''13'!I8&gt;'Tariff Jan''13'!I14),($F5*'Tariff Jan''13'!I7/'Tariff Jan''13'!I8-'Tariff Jan''13'!I14)*'Tariff Jan''13'!I19/100*'Tariff Jan''13'!I8,0)</f>
        <v>0</v>
      </c>
      <c r="H12" s="36">
        <f>IF(($F5*'Tariff Jan''13'!J7/'Tariff Jan''13'!J8&gt;'Tariff Jan''13'!J14),($F5*'Tariff Jan''13'!J7/'Tariff Jan''13'!J8-'Tariff Jan''13'!J14)*'Tariff Jan''13'!J19/100*'Tariff Jan''13'!J8,0)</f>
        <v>0</v>
      </c>
      <c r="I12" s="36">
        <f>IF(($F5*'Tariff Jan''13'!K7/'Tariff Jan''13'!K8&gt;'Tariff Jan''13'!K14),($F5*'Tariff Jan''13'!K7/'Tariff Jan''13'!K8-'Tariff Jan''13'!K14)*'Tariff Jan''13'!K19/100*'Tariff Jan''13'!K8,0)</f>
        <v>398.24399999999991</v>
      </c>
      <c r="J12" s="36">
        <f>IF(($F5*'Tariff Jan''13'!L7/'Tariff Jan''13'!L8&gt;'Tariff Jan''13'!L14),($F5*'Tariff Jan''13'!L7/'Tariff Jan''13'!L8-'Tariff Jan''13'!L14)*'Tariff Jan''13'!L19/100*'Tariff Jan''13'!L8,0)</f>
        <v>198</v>
      </c>
      <c r="K12" s="36">
        <f>IF(($F5*'Tariff Jan''13'!M7/'Tariff Jan''13'!M8&gt;'Tariff Jan''13'!M14),($F5*'Tariff Jan''13'!M7/'Tariff Jan''13'!M8-'Tariff Jan''13'!M14)*'Tariff Jan''13'!M19/100*'Tariff Jan''13'!M8,0)</f>
        <v>163.40499999999997</v>
      </c>
      <c r="L12" s="32"/>
    </row>
    <row r="13" spans="1:12" x14ac:dyDescent="0.15">
      <c r="A13" s="28" t="s">
        <v>231</v>
      </c>
      <c r="B13" s="32"/>
      <c r="C13" s="36">
        <f>IF($F5*'Tariff Jan''13'!E9/'Tariff Jan''13'!E10&gt;='Tariff Jan''13'!E11,('Tariff Jan''13'!E11*'Tariff Jan''13'!E20/100)*'Tariff Jan''13'!E10,($F5*'Tariff Jan''13'!E9/'Tariff Jan''13'!E10*'Tariff Jan''13'!E20/100)*'Tariff Jan''13'!E10)</f>
        <v>275.31900000000002</v>
      </c>
      <c r="D13" s="36">
        <f>IF($F5*'Tariff Jan''13'!F9/'Tariff Jan''13'!F10&gt;='Tariff Jan''13'!F11,('Tariff Jan''13'!F11*'Tariff Jan''13'!F20/100)*'Tariff Jan''13'!F10,($F5*'Tariff Jan''13'!F9/'Tariff Jan''13'!F10*'Tariff Jan''13'!F20/100)*'Tariff Jan''13'!F10)</f>
        <v>300.267</v>
      </c>
      <c r="E13" s="36">
        <f>IF($F5*'Tariff Jan''13'!G9/'Tariff Jan''13'!G10&gt;='Tariff Jan''13'!G11,('Tariff Jan''13'!G11*'Tariff Jan''13'!G20/100)*'Tariff Jan''13'!G10,($F5*'Tariff Jan''13'!G9/'Tariff Jan''13'!G10*'Tariff Jan''13'!G20/100)*'Tariff Jan''13'!G10)</f>
        <v>277.20000000000005</v>
      </c>
      <c r="F13" s="36">
        <f>IF($F5*'Tariff Jan''13'!H9/'Tariff Jan''13'!H10&gt;='Tariff Jan''13'!H11,('Tariff Jan''13'!H11*'Tariff Jan''13'!H20/100)*'Tariff Jan''13'!H10,($F5*'Tariff Jan''13'!H9/'Tariff Jan''13'!H10*'Tariff Jan''13'!H20/100)*'Tariff Jan''13'!H10)</f>
        <v>293.33700000000005</v>
      </c>
      <c r="G13" s="36">
        <f>IF($F5*'Tariff Jan''13'!I9/'Tariff Jan''13'!I10&gt;='Tariff Jan''13'!I11,('Tariff Jan''13'!I11*'Tariff Jan''13'!I20/100)*'Tariff Jan''13'!I10,($F5*'Tariff Jan''13'!I9/'Tariff Jan''13'!I10*'Tariff Jan''13'!I20/100)*'Tariff Jan''13'!I10)</f>
        <v>288.38699999999994</v>
      </c>
      <c r="H13" s="36">
        <f>IF($F5*'Tariff Jan''13'!J9/'Tariff Jan''13'!J10&gt;='Tariff Jan''13'!J11,('Tariff Jan''13'!J11*'Tariff Jan''13'!J20/100)*'Tariff Jan''13'!J10,($F5*'Tariff Jan''13'!J9/'Tariff Jan''13'!J10*'Tariff Jan''13'!J20/100)*'Tariff Jan''13'!J10)</f>
        <v>288.38699999999994</v>
      </c>
      <c r="I13" s="36">
        <f>IF($F5*'Tariff Jan''13'!K9/'Tariff Jan''13'!K10&gt;='Tariff Jan''13'!K11,('Tariff Jan''13'!K11*'Tariff Jan''13'!K20/100)*'Tariff Jan''13'!K10,($F5*'Tariff Jan''13'!K9/'Tariff Jan''13'!K10*'Tariff Jan''13'!K20/100)*'Tariff Jan''13'!K10)</f>
        <v>299.673</v>
      </c>
      <c r="J13" s="36">
        <f>IF($F5*'Tariff Jan''13'!L9/'Tariff Jan''13'!L10&gt;='Tariff Jan''13'!L11,('Tariff Jan''13'!L11*'Tariff Jan''13'!L20/100)*'Tariff Jan''13'!L10,($F5*'Tariff Jan''13'!L9/'Tariff Jan''13'!L10*'Tariff Jan''13'!L20/100)*'Tariff Jan''13'!L10)</f>
        <v>277.20000000000005</v>
      </c>
      <c r="K13" s="36">
        <f>IF($F5*'Tariff Jan''13'!M9/'Tariff Jan''13'!M10&gt;='Tariff Jan''13'!M11,('Tariff Jan''13'!M11*'Tariff Jan''13'!M20/100)*'Tariff Jan''13'!M10,($F5*'Tariff Jan''13'!M9/'Tariff Jan''13'!M10*'Tariff Jan''13'!M20/100)*'Tariff Jan''13'!M10)</f>
        <v>855.03</v>
      </c>
      <c r="L13" s="32"/>
    </row>
    <row r="14" spans="1:12" x14ac:dyDescent="0.15">
      <c r="A14" s="28" t="s">
        <v>530</v>
      </c>
      <c r="B14" s="32"/>
      <c r="C14" s="36">
        <f>IF($F5*'Tariff Jan''13'!E9/'Tariff Jan''13'!E10&lt;'Tariff Jan''13'!E11,0,IF($F5*'Tariff Jan''13'!E9/'Tariff Jan''13'!E10&lt;='Tariff Jan''13'!E12,($F5*'Tariff Jan''13'!E9/'Tariff Jan''13'!E10-'Tariff Jan''13'!E11)*('Tariff Jan''13'!E21/100)*'Tariff Jan''13'!E10,('Tariff Jan''13'!E12-'Tariff Jan''13'!E11)*('Tariff Jan''13'!E21/100)*'Tariff Jan''13'!E10))</f>
        <v>654.654</v>
      </c>
      <c r="D14" s="36">
        <f>IF($F5*'Tariff Jan''13'!F9/'Tariff Jan''13'!F10&lt;'Tariff Jan''13'!F11,0,IF($F5*'Tariff Jan''13'!F9/'Tariff Jan''13'!F10&lt;='Tariff Jan''13'!F12,($F5*'Tariff Jan''13'!F9/'Tariff Jan''13'!F10-'Tariff Jan''13'!F11)*('Tariff Jan''13'!F21/100)*'Tariff Jan''13'!F10,('Tariff Jan''13'!F12-'Tariff Jan''13'!F11)*('Tariff Jan''13'!F21/100)*'Tariff Jan''13'!F10))</f>
        <v>714.02099999999996</v>
      </c>
      <c r="E14" s="36">
        <f>IF($F5*'Tariff Jan''13'!G9/'Tariff Jan''13'!G10&lt;'Tariff Jan''13'!G11,0,IF($F5*'Tariff Jan''13'!G9/'Tariff Jan''13'!G10&lt;='Tariff Jan''13'!G12,($F5*'Tariff Jan''13'!G9/'Tariff Jan''13'!G10-'Tariff Jan''13'!G11)*('Tariff Jan''13'!G21/100)*'Tariff Jan''13'!G10,('Tariff Jan''13'!G12-'Tariff Jan''13'!G11)*('Tariff Jan''13'!G21/100)*'Tariff Jan''13'!G10))</f>
        <v>686.06999999999994</v>
      </c>
      <c r="F14" s="36">
        <f>IF($F5*'Tariff Jan''13'!H9/'Tariff Jan''13'!H10&lt;'Tariff Jan''13'!H11,0,IF($F5*'Tariff Jan''13'!H9/'Tariff Jan''13'!H10&lt;='Tariff Jan''13'!H12,($F5*'Tariff Jan''13'!H9/'Tariff Jan''13'!H10-'Tariff Jan''13'!H11)*('Tariff Jan''13'!H21/100)*'Tariff Jan''13'!H10,('Tariff Jan''13'!H12-'Tariff Jan''13'!H11)*('Tariff Jan''13'!H21/100)*'Tariff Jan''13'!H10))</f>
        <v>696.69600000000003</v>
      </c>
      <c r="G14" s="36">
        <f>IF($F5*'Tariff Jan''13'!I9/'Tariff Jan''13'!I10&lt;'Tariff Jan''13'!I11,0,IF($F5*'Tariff Jan''13'!I9/'Tariff Jan''13'!I10&lt;='Tariff Jan''13'!I12,($F5*'Tariff Jan''13'!I9/'Tariff Jan''13'!I10-'Tariff Jan''13'!I11)*('Tariff Jan''13'!I21/100)*'Tariff Jan''13'!I10,('Tariff Jan''13'!I12-'Tariff Jan''13'!I11)*('Tariff Jan''13'!I21/100)*'Tariff Jan''13'!I10))</f>
        <v>685.60800000000006</v>
      </c>
      <c r="H14" s="36">
        <f>IF($F5*'Tariff Jan''13'!J9/'Tariff Jan''13'!J10&lt;'Tariff Jan''13'!J11,0,IF($F5*'Tariff Jan''13'!J9/'Tariff Jan''13'!J10&lt;='Tariff Jan''13'!J12,($F5*'Tariff Jan''13'!J9/'Tariff Jan''13'!J10-'Tariff Jan''13'!J11)*('Tariff Jan''13'!J21/100)*'Tariff Jan''13'!J10,('Tariff Jan''13'!J12-'Tariff Jan''13'!J11)*('Tariff Jan''13'!J21/100)*'Tariff Jan''13'!J10))</f>
        <v>685.60800000000006</v>
      </c>
      <c r="I14" s="36">
        <f>IF($F5*'Tariff Jan''13'!K9/'Tariff Jan''13'!K10&lt;'Tariff Jan''13'!K11,0,IF($F5*'Tariff Jan''13'!K9/'Tariff Jan''13'!K10&lt;='Tariff Jan''13'!K12,($F5*'Tariff Jan''13'!K9/'Tariff Jan''13'!K10-'Tariff Jan''13'!K11)*('Tariff Jan''13'!K21/100)*'Tariff Jan''13'!K10,('Tariff Jan''13'!K12-'Tariff Jan''13'!K11)*('Tariff Jan''13'!K21/100)*'Tariff Jan''13'!K10))</f>
        <v>0</v>
      </c>
      <c r="J14" s="36">
        <f>IF($F5*'Tariff Jan''13'!L9/'Tariff Jan''13'!L10&lt;'Tariff Jan''13'!L11,0,IF($F5*'Tariff Jan''13'!L9/'Tariff Jan''13'!L10&lt;='Tariff Jan''13'!L12,($F5*'Tariff Jan''13'!L9/'Tariff Jan''13'!L10-'Tariff Jan''13'!L11)*('Tariff Jan''13'!L21/100)*'Tariff Jan''13'!L10,('Tariff Jan''13'!L12-'Tariff Jan''13'!L11)*('Tariff Jan''13'!L21/100)*'Tariff Jan''13'!L10))</f>
        <v>669.90000000000009</v>
      </c>
      <c r="K14" s="36">
        <v>0</v>
      </c>
      <c r="L14" s="32"/>
    </row>
    <row r="15" spans="1:12" x14ac:dyDescent="0.15">
      <c r="A15" s="28" t="s">
        <v>531</v>
      </c>
      <c r="B15" s="32"/>
      <c r="C15" s="36">
        <f>IF($F5*'Tariff Jan''13'!E9/'Tariff Jan''13'!E10&lt;'Tariff Jan''13'!E12,0,IF($F5*'Tariff Jan''13'!E9/'Tariff Jan''13'!E10&lt;='Tariff Jan''13'!E13,($F5*'Tariff Jan''13'!E9/'Tariff Jan''13'!E10-'Tariff Jan''13'!E12)*('Tariff Jan''13'!E22/100)*'Tariff Jan''13'!E10,('Tariff Jan''13'!E13-'Tariff Jan''13'!E12)*('Tariff Jan''13'!E22/100)*'Tariff Jan''13'!E10))</f>
        <v>535.26</v>
      </c>
      <c r="D15" s="36">
        <f>IF($F5*'Tariff Jan''13'!F9/'Tariff Jan''13'!F10&lt;'Tariff Jan''13'!F12,0,IF($F5*'Tariff Jan''13'!F9/'Tariff Jan''13'!F10&lt;='Tariff Jan''13'!F13,($F5*'Tariff Jan''13'!F9/'Tariff Jan''13'!F10-'Tariff Jan''13'!F12)*('Tariff Jan''13'!F22/100)*'Tariff Jan''13'!F10,('Tariff Jan''13'!F13-'Tariff Jan''13'!F12)*('Tariff Jan''13'!F22/100)*'Tariff Jan''13'!F10))</f>
        <v>583.44000000000005</v>
      </c>
      <c r="E15" s="36">
        <f>IF($F5*'Tariff Jan''13'!G9/'Tariff Jan''13'!G10&lt;'Tariff Jan''13'!G12,0,IF($F5*'Tariff Jan''13'!G9/'Tariff Jan''13'!G10&lt;='Tariff Jan''13'!G13,($F5*'Tariff Jan''13'!G9/'Tariff Jan''13'!G10-'Tariff Jan''13'!G12)*('Tariff Jan''13'!G22/100)*'Tariff Jan''13'!G10,('Tariff Jan''13'!G13-'Tariff Jan''13'!G12)*('Tariff Jan''13'!G22/100)*'Tariff Jan''13'!G10))</f>
        <v>0</v>
      </c>
      <c r="F15" s="36">
        <f>IF($F5*'Tariff Jan''13'!H9/'Tariff Jan''13'!H10&lt;'Tariff Jan''13'!H12,0,IF($F5*'Tariff Jan''13'!H9/'Tariff Jan''13'!H10&lt;='Tariff Jan''13'!H13,($F5*'Tariff Jan''13'!H9/'Tariff Jan''13'!H10-'Tariff Jan''13'!H12)*('Tariff Jan''13'!H22/100)*'Tariff Jan''13'!H10,('Tariff Jan''13'!H13-'Tariff Jan''13'!H12)*('Tariff Jan''13'!H22/100)*'Tariff Jan''13'!H10))</f>
        <v>577.005</v>
      </c>
      <c r="G15" s="36">
        <f>IF($F5*'Tariff Jan''13'!I9/'Tariff Jan''13'!I10&lt;'Tariff Jan''13'!I12,0,IF($F5*'Tariff Jan''13'!I9/'Tariff Jan''13'!I10&lt;='Tariff Jan''13'!I13,($F5*'Tariff Jan''13'!I9/'Tariff Jan''13'!I10-'Tariff Jan''13'!I12)*('Tariff Jan''13'!I22/100)*'Tariff Jan''13'!I10,('Tariff Jan''13'!I13-'Tariff Jan''13'!I12)*('Tariff Jan''13'!I22/100)*'Tariff Jan''13'!I10))</f>
        <v>560.50499999999988</v>
      </c>
      <c r="H15" s="36">
        <f>IF($F5*'Tariff Jan''13'!J9/'Tariff Jan''13'!J10&lt;'Tariff Jan''13'!J12,0,IF($F5*'Tariff Jan''13'!J9/'Tariff Jan''13'!J10&lt;='Tariff Jan''13'!J13,($F5*'Tariff Jan''13'!J9/'Tariff Jan''13'!J10-'Tariff Jan''13'!J12)*('Tariff Jan''13'!J22/100)*'Tariff Jan''13'!J10,('Tariff Jan''13'!J13-'Tariff Jan''13'!J12)*('Tariff Jan''13'!J22/100)*'Tariff Jan''13'!J10))</f>
        <v>560.50499999999988</v>
      </c>
      <c r="I15" s="36">
        <v>0</v>
      </c>
      <c r="J15" s="36">
        <v>0</v>
      </c>
      <c r="K15" s="36">
        <v>0</v>
      </c>
      <c r="L15" s="32"/>
    </row>
    <row r="16" spans="1:12" x14ac:dyDescent="0.15">
      <c r="A16" s="28" t="s">
        <v>100</v>
      </c>
      <c r="B16" s="32"/>
      <c r="C16" s="36">
        <f>IF($F5*'Tariff Jan''13'!E9/'Tariff Jan''13'!E10&lt;'Tariff Jan''13'!E13,0,IF($F5*'Tariff Jan''13'!E9/'Tariff Jan''13'!E10&lt;='Tariff Jan''13'!E14,($F5*'Tariff Jan''13'!E9/'Tariff Jan''13'!E10-'Tariff Jan''13'!E13)*('Tariff Jan''13'!E23/100)*'Tariff Jan''13'!E10,('Tariff Jan''13'!E14-'Tariff Jan''13'!E13)*('Tariff Jan''13'!E23/100)*'Tariff Jan''13'!E10))</f>
        <v>0</v>
      </c>
      <c r="D16" s="36">
        <f>IF($F5*'Tariff Jan''13'!F9/'Tariff Jan''13'!F10&lt;'Tariff Jan''13'!F13,0,IF($F5*'Tariff Jan''13'!F9/'Tariff Jan''13'!F10&lt;='Tariff Jan''13'!F14,($F5*'Tariff Jan''13'!F9/'Tariff Jan''13'!F10-'Tariff Jan''13'!F13)*('Tariff Jan''13'!F23/100)*'Tariff Jan''13'!F10,('Tariff Jan''13'!F14-'Tariff Jan''13'!F13)*('Tariff Jan''13'!F23/100)*'Tariff Jan''13'!F10))</f>
        <v>0</v>
      </c>
      <c r="E16" s="36">
        <f>IF($F5*'Tariff Jan''13'!G9/'Tariff Jan''13'!G10&lt;'Tariff Jan''13'!G13,0,IF($F5*'Tariff Jan''13'!G9/'Tariff Jan''13'!G10&lt;='Tariff Jan''13'!G14,($F5*'Tariff Jan''13'!G9/'Tariff Jan''13'!G10-'Tariff Jan''13'!G13)*('Tariff Jan''13'!G23/100)*'Tariff Jan''13'!G10,('Tariff Jan''13'!G14-'Tariff Jan''13'!G13)*('Tariff Jan''13'!G23/100)*'Tariff Jan''13'!G10))</f>
        <v>0</v>
      </c>
      <c r="F16" s="36">
        <f>IF($F5*'Tariff Jan''13'!H9/'Tariff Jan''13'!H10&lt;'Tariff Jan''13'!H13,0,IF($F5*'Tariff Jan''13'!H9/'Tariff Jan''13'!H10&lt;='Tariff Jan''13'!H14,($F5*'Tariff Jan''13'!H9/'Tariff Jan''13'!H10-'Tariff Jan''13'!H13)*('Tariff Jan''13'!H23/100)*'Tariff Jan''13'!H10,('Tariff Jan''13'!H14-'Tariff Jan''13'!H13)*('Tariff Jan''13'!H23/100)*'Tariff Jan''13'!H10))</f>
        <v>0</v>
      </c>
      <c r="G16" s="36">
        <f>IF($F5*'Tariff Jan''13'!I9/'Tariff Jan''13'!I10&lt;'Tariff Jan''13'!I13,0,IF($F5*'Tariff Jan''13'!I9/'Tariff Jan''13'!I10&lt;='Tariff Jan''13'!I14,($F5*'Tariff Jan''13'!I9/'Tariff Jan''13'!I10-'Tariff Jan''13'!I13)*('Tariff Jan''13'!I23/100)*'Tariff Jan''13'!I10,('Tariff Jan''13'!I14-'Tariff Jan''13'!I13)*('Tariff Jan''13'!I23/100)*'Tariff Jan''13'!I10))</f>
        <v>0</v>
      </c>
      <c r="H16" s="36">
        <f>IF($F5*'Tariff Jan''13'!J9/'Tariff Jan''13'!J10&lt;'Tariff Jan''13'!J13,0,IF($F5*'Tariff Jan''13'!J9/'Tariff Jan''13'!J10&lt;='Tariff Jan''13'!J14,($F5*'Tariff Jan''13'!J9/'Tariff Jan''13'!J10-'Tariff Jan''13'!J13)*('Tariff Jan''13'!J23/100)*'Tariff Jan''13'!J10,('Tariff Jan''13'!J14-'Tariff Jan''13'!J13)*('Tariff Jan''13'!J23/100)*'Tariff Jan''13'!J10))</f>
        <v>0</v>
      </c>
      <c r="I16" s="36">
        <v>0</v>
      </c>
      <c r="J16" s="36">
        <v>0</v>
      </c>
      <c r="K16" s="36">
        <v>0</v>
      </c>
      <c r="L16" s="32"/>
    </row>
    <row r="17" spans="1:12" x14ac:dyDescent="0.15">
      <c r="A17" s="28" t="s">
        <v>419</v>
      </c>
      <c r="B17" s="32"/>
      <c r="C17" s="36">
        <f>IF(($F5*'Tariff Jan''13'!E9/'Tariff Jan''13'!E10&gt;'Tariff Jan''13'!E14),($F5*'Tariff Jan''13'!E9/'Tariff Jan''13'!E10-'Tariff Jan''13'!E14)*'Tariff Jan''13'!E24/100*'Tariff Jan''13'!E10,0)</f>
        <v>0</v>
      </c>
      <c r="D17" s="36">
        <f>IF(($F5*'Tariff Jan''13'!F9/'Tariff Jan''13'!F10&gt;'Tariff Jan''13'!F14),($F5*'Tariff Jan''13'!F9/'Tariff Jan''13'!F10-'Tariff Jan''13'!F14)*'Tariff Jan''13'!F24/100*'Tariff Jan''13'!F10,0)</f>
        <v>0</v>
      </c>
      <c r="E17" s="36">
        <f>IF(($F5*'Tariff Jan''13'!G9/'Tariff Jan''13'!G10&gt;'Tariff Jan''13'!G14),($F5*'Tariff Jan''13'!G9/'Tariff Jan''13'!G10-'Tariff Jan''13'!G14)*'Tariff Jan''13'!G24/100*'Tariff Jan''13'!G10,0)</f>
        <v>539.54999999999995</v>
      </c>
      <c r="F17" s="36">
        <f>IF(($F5*'Tariff Jan''13'!H9/'Tariff Jan''13'!H10&gt;'Tariff Jan''13'!H14),($F5*'Tariff Jan''13'!H9/'Tariff Jan''13'!H10-'Tariff Jan''13'!H14)*'Tariff Jan''13'!H24/100*'Tariff Jan''13'!H10,0)</f>
        <v>0</v>
      </c>
      <c r="G17" s="36">
        <f>IF(($F5*'Tariff Jan''13'!I9/'Tariff Jan''13'!I10&gt;'Tariff Jan''13'!I14),($F5*'Tariff Jan''13'!I9/'Tariff Jan''13'!I10-'Tariff Jan''13'!I14)*'Tariff Jan''13'!I24/100*'Tariff Jan''13'!I10,0)</f>
        <v>0</v>
      </c>
      <c r="H17" s="36">
        <f>IF(($F5*'Tariff Jan''13'!J9/'Tariff Jan''13'!J10&gt;'Tariff Jan''13'!J14),($F5*'Tariff Jan''13'!J9/'Tariff Jan''13'!J10-'Tariff Jan''13'!J14)*'Tariff Jan''13'!J24/100*'Tariff Jan''13'!J10,0)</f>
        <v>0</v>
      </c>
      <c r="I17" s="36">
        <f>IF(($F5*'Tariff Jan''13'!K9/'Tariff Jan''13'!K10&gt;'Tariff Jan''13'!K14),($F5*'Tariff Jan''13'!K9/'Tariff Jan''13'!K10-'Tariff Jan''13'!K14)*'Tariff Jan''13'!K24/100*'Tariff Jan''13'!K10,0)</f>
        <v>1194.7319999999997</v>
      </c>
      <c r="J17" s="36">
        <f>IF(($F5*'Tariff Jan''13'!L9/'Tariff Jan''13'!L10&gt;'Tariff Jan''13'!L14),($F5*'Tariff Jan''13'!L9/'Tariff Jan''13'!L10-'Tariff Jan''13'!L14)*'Tariff Jan''13'!L24/100*'Tariff Jan''13'!L10,0)</f>
        <v>495</v>
      </c>
      <c r="K17" s="36">
        <f>IF(($F5*'Tariff Jan''13'!M9/'Tariff Jan''13'!M10&gt;'Tariff Jan''13'!M14),($F5*'Tariff Jan''13'!M9/'Tariff Jan''13'!M10-'Tariff Jan''13'!M14)*'Tariff Jan''13'!M24/100*'Tariff Jan''13'!M10,0)</f>
        <v>490.21499999999992</v>
      </c>
      <c r="L17" s="32"/>
    </row>
    <row r="18" spans="1:12" x14ac:dyDescent="0.15">
      <c r="A18" s="28" t="s">
        <v>420</v>
      </c>
      <c r="B18" s="32"/>
      <c r="C18" s="36">
        <f>'Tariff Jan''13'!E25*365/100</f>
        <v>251.66019999999997</v>
      </c>
      <c r="D18" s="36">
        <f>'Tariff Jan''13'!F25*365/100</f>
        <v>274.3048</v>
      </c>
      <c r="E18" s="36">
        <f>'Tariff Jan''13'!G25*365/100</f>
        <v>245.71799999999999</v>
      </c>
      <c r="F18" s="36">
        <f>'Tariff Jan''13'!H25*365/100</f>
        <v>281.6121</v>
      </c>
      <c r="G18" s="36">
        <f>'Tariff Jan''13'!I25*365/100</f>
        <v>263.5446</v>
      </c>
      <c r="H18" s="36">
        <f>'Tariff Jan''13'!J25*365/100</f>
        <v>263.5446</v>
      </c>
      <c r="I18" s="36">
        <f>'Tariff Jan''13'!K25*365/100</f>
        <v>270.24964999999997</v>
      </c>
      <c r="J18" s="36">
        <f>'Tariff Jan''13'!L25*365/100</f>
        <v>260.97500000000002</v>
      </c>
      <c r="K18" s="36">
        <f>'Tariff Jan''13'!M25*365/100</f>
        <v>219.98184999999998</v>
      </c>
      <c r="L18" s="37">
        <f>AVERAGE(E18:K18)</f>
        <v>257.94654285714284</v>
      </c>
    </row>
    <row r="19" spans="1:12" x14ac:dyDescent="0.15">
      <c r="A19" s="38" t="s">
        <v>505</v>
      </c>
      <c r="B19" s="32"/>
      <c r="C19" s="39">
        <f>SUM(C8:C18)</f>
        <v>2258.0162</v>
      </c>
      <c r="D19" s="39">
        <f t="shared" ref="D19:I19" si="0">SUM(D8:D18)</f>
        <v>2462.1718000000001</v>
      </c>
      <c r="E19" s="39">
        <f t="shared" si="0"/>
        <v>2294.0279999999998</v>
      </c>
      <c r="F19" s="39">
        <f t="shared" si="0"/>
        <v>2370.9960999999998</v>
      </c>
      <c r="G19" s="39">
        <f t="shared" si="0"/>
        <v>2364.7316000000001</v>
      </c>
      <c r="H19" s="39">
        <f t="shared" si="0"/>
        <v>2309.5445999999997</v>
      </c>
      <c r="I19" s="39">
        <f t="shared" si="0"/>
        <v>2262.7896499999997</v>
      </c>
      <c r="J19" s="39">
        <f>SUM(J8:J18)</f>
        <v>2259.125</v>
      </c>
      <c r="K19" s="39">
        <f>SUM(K8:K18)</f>
        <v>2013.6418499999997</v>
      </c>
      <c r="L19" s="39">
        <f>AVERAGE(E19:K19)</f>
        <v>2267.8366857142855</v>
      </c>
    </row>
    <row r="20" spans="1:12" x14ac:dyDescent="0.15">
      <c r="A20" s="28"/>
      <c r="B20" s="32"/>
      <c r="C20" s="28"/>
      <c r="D20" s="28"/>
      <c r="E20" s="28"/>
      <c r="F20" s="28"/>
      <c r="G20" s="28"/>
      <c r="H20" s="28"/>
      <c r="I20" s="28"/>
      <c r="J20" s="28"/>
      <c r="L20" s="28"/>
    </row>
    <row r="21" spans="1:12" x14ac:dyDescent="0.15">
      <c r="A21" s="28"/>
      <c r="B21" s="32"/>
      <c r="C21" s="28"/>
      <c r="D21" s="28"/>
      <c r="E21" s="28"/>
      <c r="F21" s="28"/>
      <c r="G21" s="28"/>
      <c r="H21" s="28"/>
      <c r="I21" s="28"/>
      <c r="J21" s="28"/>
      <c r="L21" s="28"/>
    </row>
    <row r="22" spans="1:12" x14ac:dyDescent="0.15">
      <c r="A22" s="33" t="s">
        <v>506</v>
      </c>
      <c r="B22" s="32"/>
      <c r="C22" s="33" t="s">
        <v>362</v>
      </c>
      <c r="D22" s="28"/>
      <c r="E22" s="28"/>
      <c r="F22" s="10">
        <v>7500</v>
      </c>
      <c r="G22" s="28"/>
      <c r="H22" s="28"/>
      <c r="I22" s="28"/>
      <c r="J22" s="28"/>
      <c r="L22" s="28"/>
    </row>
    <row r="23" spans="1:12" x14ac:dyDescent="0.15">
      <c r="A23" s="33" t="s">
        <v>507</v>
      </c>
      <c r="B23" s="32"/>
      <c r="C23" s="33" t="s">
        <v>456</v>
      </c>
      <c r="D23" s="28"/>
      <c r="E23" s="28"/>
      <c r="F23" s="11">
        <v>0.8</v>
      </c>
      <c r="G23" s="28"/>
      <c r="H23" s="28"/>
      <c r="I23" s="28"/>
      <c r="J23" s="28"/>
      <c r="L23" s="28"/>
    </row>
    <row r="24" spans="1:12" x14ac:dyDescent="0.15">
      <c r="A24" s="28"/>
      <c r="B24" s="32"/>
      <c r="C24" s="33" t="s">
        <v>199</v>
      </c>
      <c r="D24" s="28"/>
      <c r="E24" s="28"/>
      <c r="F24" s="11">
        <v>0.2</v>
      </c>
      <c r="G24" s="28"/>
      <c r="H24" s="28"/>
      <c r="I24" s="28"/>
      <c r="J24" s="28"/>
      <c r="L24" s="28"/>
    </row>
    <row r="25" spans="1:12" x14ac:dyDescent="0.15">
      <c r="A25" s="28"/>
      <c r="B25" s="40"/>
      <c r="C25" s="28"/>
      <c r="D25" s="28"/>
      <c r="E25" s="28"/>
      <c r="F25" s="28"/>
      <c r="G25" s="28"/>
      <c r="H25" s="28"/>
      <c r="I25" s="28"/>
      <c r="J25" s="28"/>
      <c r="L25" s="28"/>
    </row>
    <row r="26" spans="1:12" x14ac:dyDescent="0.15">
      <c r="A26" s="34" t="s">
        <v>336</v>
      </c>
      <c r="B26" s="40"/>
      <c r="C26" s="9" t="s">
        <v>200</v>
      </c>
      <c r="D26" s="9" t="s">
        <v>436</v>
      </c>
      <c r="E26" s="9" t="s">
        <v>386</v>
      </c>
      <c r="F26" s="9" t="s">
        <v>438</v>
      </c>
      <c r="G26" s="9" t="s">
        <v>439</v>
      </c>
      <c r="H26" s="9" t="s">
        <v>440</v>
      </c>
      <c r="I26" s="9" t="s">
        <v>441</v>
      </c>
      <c r="J26" s="9" t="s">
        <v>203</v>
      </c>
      <c r="K26" s="9" t="s">
        <v>204</v>
      </c>
      <c r="L26" s="9" t="s">
        <v>594</v>
      </c>
    </row>
    <row r="27" spans="1:12" x14ac:dyDescent="0.15">
      <c r="A27" s="28" t="s">
        <v>243</v>
      </c>
      <c r="B27" s="32"/>
      <c r="C27" s="36">
        <f>IF(($F22*$F23)*'Tariff Jan''13'!E29/'Tariff Jan''13'!E30&gt;='Tariff Jan''13'!E33,('Tariff Jan''13'!E33*'Tariff Jan''13'!E38/100)*'Tariff Jan''13'!E30,(($F22*$F23)*('Tariff Jan''13'!E29/'Tariff Jan''13'!E30)*('Tariff Jan''13'!E38/100)*'Tariff Jan''13'!E30))</f>
        <v>96.722999999999999</v>
      </c>
      <c r="D27" s="36">
        <f>IF(($F22*$F23)*'Tariff Jan''13'!F29/'Tariff Jan''13'!F30&gt;='Tariff Jan''13'!F33,('Tariff Jan''13'!F33*'Tariff Jan''13'!F38/100)*'Tariff Jan''13'!F30,(($F22*$F23)*('Tariff Jan''13'!F29/'Tariff Jan''13'!F30)*('Tariff Jan''13'!F38/100)*'Tariff Jan''13'!F30))</f>
        <v>105.53399999999999</v>
      </c>
      <c r="E27" s="36">
        <f>IF(($F22*$F23)*'Tariff Jan''13'!G29/'Tariff Jan''13'!G30&gt;='Tariff Jan''13'!G33,('Tariff Jan''13'!G33*'Tariff Jan''13'!G38/100)*'Tariff Jan''13'!G30,(($F22*$F23)*('Tariff Jan''13'!G29/'Tariff Jan''13'!G30)*('Tariff Jan''13'!G38/100)*'Tariff Jan''13'!G30))</f>
        <v>95.04</v>
      </c>
      <c r="F27" s="36">
        <f>IF(($F22*$F23)*'Tariff Jan''13'!H29/'Tariff Jan''13'!H30&gt;='Tariff Jan''13'!H33,('Tariff Jan''13'!H33*'Tariff Jan''13'!H38/100)*'Tariff Jan''13'!H30,(($F22*$F23)*('Tariff Jan''13'!H29/'Tariff Jan''13'!H30)*('Tariff Jan''13'!H38/100)*'Tariff Jan''13'!H30))</f>
        <v>97.779000000000011</v>
      </c>
      <c r="G27" s="36">
        <f>IF(($F22*$F23)*'Tariff Jan''13'!I29/'Tariff Jan''13'!I30&gt;='Tariff Jan''13'!I33,('Tariff Jan''13'!I33*'Tariff Jan''13'!I38/100)*'Tariff Jan''13'!I30,(($F22*$F23)*('Tariff Jan''13'!I29/'Tariff Jan''13'!I30)*('Tariff Jan''13'!I38/100)*'Tariff Jan''13'!I30))</f>
        <v>101.31000000000002</v>
      </c>
      <c r="H27" s="36">
        <f>IF(($F22*$F23)*'Tariff Jan''13'!J29/'Tariff Jan''13'!J30&gt;='Tariff Jan''13'!J33,('Tariff Jan''13'!J33*'Tariff Jan''13'!J38/100)*'Tariff Jan''13'!J30,(($F22*$F23)*('Tariff Jan''13'!J29/'Tariff Jan''13'!J30)*('Tariff Jan''13'!J38/100)*'Tariff Jan''13'!J30))</f>
        <v>96.128999999999991</v>
      </c>
      <c r="I27" s="36">
        <f>IF(($F22*$F23)*'Tariff Jan''13'!K29/'Tariff Jan''13'!K30&gt;='Tariff Jan''13'!K33,('Tariff Jan''13'!K33*'Tariff Jan''13'!K38/100)*'Tariff Jan''13'!K30,(($F22*$F23)*('Tariff Jan''13'!K29/'Tariff Jan''13'!K30)*('Tariff Jan''13'!K38/100)*'Tariff Jan''13'!K30))</f>
        <v>99.890999999999991</v>
      </c>
      <c r="J27" s="36">
        <f>IF(($F22*$F23)*'Tariff Jan''13'!L29/'Tariff Jan''13'!L30&gt;='Tariff Jan''13'!L33,('Tariff Jan''13'!L33*'Tariff Jan''13'!L38/100)*'Tariff Jan''13'!L30,(($F22*$F23)*('Tariff Jan''13'!L29/'Tariff Jan''13'!L30)*('Tariff Jan''13'!L38/100)*'Tariff Jan''13'!L30))</f>
        <v>103.95</v>
      </c>
      <c r="K27" s="36">
        <f>IF(($F22*$F23)*'Tariff Jan''13'!M29/'Tariff Jan''13'!M30&gt;='Tariff Jan''13'!M33,('Tariff Jan''13'!M33*'Tariff Jan''13'!M38/100)*'Tariff Jan''13'!M30,(($F22*$F23)*('Tariff Jan''13'!M29/'Tariff Jan''13'!M30)*('Tariff Jan''13'!M38/100)*'Tariff Jan''13'!M30))</f>
        <v>285.01</v>
      </c>
      <c r="L27" s="32"/>
    </row>
    <row r="28" spans="1:12" x14ac:dyDescent="0.15">
      <c r="A28" s="28" t="s">
        <v>317</v>
      </c>
      <c r="B28" s="32"/>
      <c r="C28" s="36">
        <f>IF(($F22*$F23)*'Tariff Jan''13'!E29/'Tariff Jan''13'!E30&lt;'Tariff Jan''13'!E33,0,IF(($F22*$F23)*'Tariff Jan''13'!E29/'Tariff Jan''13'!E30&lt;='Tariff Jan''13'!E34,(($F22*$F23)*'Tariff Jan''13'!E29/'Tariff Jan''13'!E30-'Tariff Jan''13'!E33)*('Tariff Jan''13'!E39/100)*'Tariff Jan''13'!E30,('Tariff Jan''13'!E34-'Tariff Jan''13'!E33)*('Tariff Jan''13'!E39/100)*'Tariff Jan''13'!E30))</f>
        <v>246.01500000000001</v>
      </c>
      <c r="D28" s="36">
        <f>IF(($F22*$F23)*'Tariff Jan''13'!F29/'Tariff Jan''13'!F30&lt;'Tariff Jan''13'!F33,0,IF(($F22*$F23)*'Tariff Jan''13'!F29/'Tariff Jan''13'!F30&lt;='Tariff Jan''13'!F34,(($F22*$F23)*'Tariff Jan''13'!F29/'Tariff Jan''13'!F30-'Tariff Jan''13'!F33)*('Tariff Jan''13'!F39/100)*'Tariff Jan''13'!F30,('Tariff Jan''13'!F34-'Tariff Jan''13'!F33)*('Tariff Jan''13'!F39/100)*'Tariff Jan''13'!F30))</f>
        <v>268.34500000000003</v>
      </c>
      <c r="E28" s="36">
        <f>IF(($F22*$F23)*'Tariff Jan''13'!G29/'Tariff Jan''13'!G30&lt;'Tariff Jan''13'!G33,0,IF(($F22*$F23)*'Tariff Jan''13'!G29/'Tariff Jan''13'!G30&lt;='Tariff Jan''13'!G34,(($F22*$F23)*'Tariff Jan''13'!G29/'Tariff Jan''13'!G30-'Tariff Jan''13'!G33)*('Tariff Jan''13'!G39/100)*'Tariff Jan''13'!G30,('Tariff Jan''13'!G34-'Tariff Jan''13'!G33)*('Tariff Jan''13'!G39/100)*'Tariff Jan''13'!G30))</f>
        <v>246.40000000000003</v>
      </c>
      <c r="F28" s="36">
        <f>IF(($F22*$F23)*'Tariff Jan''13'!H29/'Tariff Jan''13'!H30&lt;'Tariff Jan''13'!H33,0,IF(($F22*$F23)*'Tariff Jan''13'!H29/'Tariff Jan''13'!H30&lt;='Tariff Jan''13'!H34,(($F22*$F23)*'Tariff Jan''13'!H29/'Tariff Jan''13'!H30-'Tariff Jan''13'!H33)*('Tariff Jan''13'!H39/100)*'Tariff Jan''13'!H30,('Tariff Jan''13'!H34-'Tariff Jan''13'!H33)*('Tariff Jan''13'!H39/100)*'Tariff Jan''13'!H30))</f>
        <v>232.232</v>
      </c>
      <c r="G28" s="36">
        <f>IF(($F22*$F23)*'Tariff Jan''13'!I29/'Tariff Jan''13'!I30&lt;'Tariff Jan''13'!I33,0,IF(($F22*$F23)*'Tariff Jan''13'!I29/'Tariff Jan''13'!I30&lt;='Tariff Jan''13'!I34,(($F22*$F23)*'Tariff Jan''13'!I29/'Tariff Jan''13'!I30-'Tariff Jan''13'!I33)*('Tariff Jan''13'!I39/100)*'Tariff Jan''13'!I30,('Tariff Jan''13'!I34-'Tariff Jan''13'!I33)*('Tariff Jan''13'!I39/100)*'Tariff Jan''13'!I30))</f>
        <v>257.642</v>
      </c>
      <c r="H28" s="36">
        <f>IF(($F22*$F23)*'Tariff Jan''13'!J29/'Tariff Jan''13'!J30&lt;'Tariff Jan''13'!J33,0,IF(($F22*$F23)*'Tariff Jan''13'!J29/'Tariff Jan''13'!J30&lt;='Tariff Jan''13'!J34,(($F22*$F23)*'Tariff Jan''13'!J29/'Tariff Jan''13'!J30-'Tariff Jan''13'!J33)*('Tariff Jan''13'!J39/100)*'Tariff Jan''13'!J30,('Tariff Jan''13'!J34-'Tariff Jan''13'!J33)*('Tariff Jan''13'!J39/100)*'Tariff Jan''13'!J30))</f>
        <v>228.53600000000003</v>
      </c>
      <c r="I28" s="36">
        <f>IF(($F22*$F23)*'Tariff Jan''13'!K29/'Tariff Jan''13'!K30&lt;'Tariff Jan''13'!K33,0,IF(($F22*$F23)*'Tariff Jan''13'!K29/'Tariff Jan''13'!K30&lt;='Tariff Jan''13'!K34,(($F22*$F23)*'Tariff Jan''13'!K29/'Tariff Jan''13'!K30-'Tariff Jan''13'!K33)*('Tariff Jan''13'!K39/100)*'Tariff Jan''13'!K30,('Tariff Jan''13'!K34-'Tariff Jan''13'!K33)*('Tariff Jan''13'!K39/100)*'Tariff Jan''13'!K30))</f>
        <v>0</v>
      </c>
      <c r="J28" s="36">
        <f>IF(($F22*$F23)*'Tariff Jan''13'!L29/'Tariff Jan''13'!L30&lt;'Tariff Jan''13'!L33,0,IF(($F22*$F23)*'Tariff Jan''13'!L29/'Tariff Jan''13'!L30&lt;='Tariff Jan''13'!L34,(($F22*$F23)*'Tariff Jan''13'!L29/'Tariff Jan''13'!L30-'Tariff Jan''13'!L33)*('Tariff Jan''13'!L39/100)*'Tariff Jan''13'!L30,('Tariff Jan''13'!L34-'Tariff Jan''13'!L33)*('Tariff Jan''13'!L39/100)*'Tariff Jan''13'!L30))</f>
        <v>254.1</v>
      </c>
      <c r="K28" s="36">
        <f>IF(($F22*$F23)*'Tariff Jan''13'!M29/'Tariff Jan''13'!M30&lt;'Tariff Jan''13'!M33,0,IF(($F22*$F23)*'Tariff Jan''13'!M29/'Tariff Jan''13'!M30&lt;='Tariff Jan''13'!M34,(($F22*$F23)*'Tariff Jan''13'!M29/'Tariff Jan''13'!M30-'Tariff Jan''13'!M33)*('Tariff Jan''13'!M39/100)*'Tariff Jan''13'!M30,('Tariff Jan''13'!M34-'Tariff Jan''13'!M33)*('Tariff Jan''13'!M39/100)*'Tariff Jan''13'!M30))</f>
        <v>0</v>
      </c>
      <c r="L28" s="32"/>
    </row>
    <row r="29" spans="1:12" x14ac:dyDescent="0.15">
      <c r="A29" s="28" t="s">
        <v>250</v>
      </c>
      <c r="B29" s="32"/>
      <c r="C29" s="36">
        <f>IF(($F22*$F23)*'Tariff Jan''13'!E29/'Tariff Jan''13'!E30&lt;'Tariff Jan''13'!E34,0,IF(($F22*$F23)*'Tariff Jan''13'!E29/'Tariff Jan''13'!E30&lt;='Tariff Jan''13'!E35,(($F22*$F23)*'Tariff Jan''13'!E29/'Tariff Jan''13'!E30-'Tariff Jan''13'!E34)*('Tariff Jan''13'!E40/100)*'Tariff Jan''13'!E30,('Tariff Jan''13'!E35-'Tariff Jan''13'!E34)*('Tariff Jan''13'!E40/100)*'Tariff Jan''13'!E30))</f>
        <v>198.38500000000002</v>
      </c>
      <c r="D29" s="36">
        <f>IF(($F22*$F23)*'Tariff Jan''13'!F29/'Tariff Jan''13'!F30&lt;'Tariff Jan''13'!F34,0,IF(($F22*$F23)*'Tariff Jan''13'!F29/'Tariff Jan''13'!F30&lt;='Tariff Jan''13'!F35,(($F22*$F23)*'Tariff Jan''13'!F29/'Tariff Jan''13'!F30-'Tariff Jan''13'!F34)*('Tariff Jan''13'!F40/100)*'Tariff Jan''13'!F30,('Tariff Jan''13'!F35-'Tariff Jan''13'!F34)*('Tariff Jan''13'!F40/100)*'Tariff Jan''13'!F30))</f>
        <v>216.26000000000002</v>
      </c>
      <c r="E29" s="36">
        <f>IF(($F22*$F23)*'Tariff Jan''13'!G29/'Tariff Jan''13'!G30&lt;'Tariff Jan''13'!G34,0,IF(($F22*$F23)*'Tariff Jan''13'!G29/'Tariff Jan''13'!G30&lt;='Tariff Jan''13'!G35,(($F22*$F23)*'Tariff Jan''13'!G29/'Tariff Jan''13'!G30-'Tariff Jan''13'!G34)*('Tariff Jan''13'!G40/100)*'Tariff Jan''13'!G30,('Tariff Jan''13'!G35-'Tariff Jan''13'!G34)*('Tariff Jan''13'!G40/100)*'Tariff Jan''13'!G30))</f>
        <v>0</v>
      </c>
      <c r="F29" s="36">
        <f>IF(($F22*$F23)*'Tariff Jan''13'!H29/'Tariff Jan''13'!H30&lt;'Tariff Jan''13'!H34,0,IF(($F22*$F23)*'Tariff Jan''13'!H29/'Tariff Jan''13'!H30&lt;='Tariff Jan''13'!H35,(($F22*$F23)*'Tariff Jan''13'!H29/'Tariff Jan''13'!H30-'Tariff Jan''13'!H34)*('Tariff Jan''13'!H40/100)*'Tariff Jan''13'!H30,('Tariff Jan''13'!H35-'Tariff Jan''13'!H34)*('Tariff Jan''13'!H40/100)*'Tariff Jan''13'!H30))</f>
        <v>192.33500000000001</v>
      </c>
      <c r="G29" s="36">
        <f>IF(($F22*$F23)*'Tariff Jan''13'!I29/'Tariff Jan''13'!I30&lt;'Tariff Jan''13'!I34,0,IF(($F22*$F23)*'Tariff Jan''13'!I29/'Tariff Jan''13'!I30&lt;='Tariff Jan''13'!I35,(($F22*$F23)*'Tariff Jan''13'!I29/'Tariff Jan''13'!I30-'Tariff Jan''13'!I34)*('Tariff Jan''13'!I40/100)*'Tariff Jan''13'!I30,('Tariff Jan''13'!I35-'Tariff Jan''13'!I34)*('Tariff Jan''13'!I40/100)*'Tariff Jan''13'!I30))</f>
        <v>207.73499999999999</v>
      </c>
      <c r="H29" s="36">
        <f>IF(($F22*$F23)*'Tariff Jan''13'!J29/'Tariff Jan''13'!J30&lt;'Tariff Jan''13'!J34,0,IF(($F22*$F23)*'Tariff Jan''13'!J29/'Tariff Jan''13'!J30&lt;='Tariff Jan''13'!J35,(($F22*$F23)*'Tariff Jan''13'!J29/'Tariff Jan''13'!J30-'Tariff Jan''13'!J34)*('Tariff Jan''13'!J40/100)*'Tariff Jan''13'!J30,('Tariff Jan''13'!J35-'Tariff Jan''13'!J34)*('Tariff Jan''13'!J40/100)*'Tariff Jan''13'!J30))</f>
        <v>186.83499999999998</v>
      </c>
      <c r="I29" s="36">
        <f>IF(($F22*$F23)*'Tariff Jan''13'!K29/'Tariff Jan''13'!K30&lt;'Tariff Jan''13'!K34,0,IF(($F22*$F23)*'Tariff Jan''13'!K29/'Tariff Jan''13'!K30&lt;='Tariff Jan''13'!K35,(($F22*$F23)*'Tariff Jan''13'!K29/'Tariff Jan''13'!K30-'Tariff Jan''13'!K34)*('Tariff Jan''13'!K40/100)*'Tariff Jan''13'!K30,('Tariff Jan''13'!K35-'Tariff Jan''13'!K34)*('Tariff Jan''13'!K40/100)*'Tariff Jan''13'!K30))</f>
        <v>0</v>
      </c>
      <c r="J29" s="36">
        <f>IF(($F22*$F23)*'Tariff Jan''13'!L29/'Tariff Jan''13'!L30&lt;'Tariff Jan''13'!L34,0,IF(($F22*$F23)*'Tariff Jan''13'!L29/'Tariff Jan''13'!L30&lt;='Tariff Jan''13'!L35,(($F22*$F23)*'Tariff Jan''13'!L29/'Tariff Jan''13'!L30-'Tariff Jan''13'!L34)*('Tariff Jan''13'!L40/100)*'Tariff Jan''13'!L30,('Tariff Jan''13'!L35-'Tariff Jan''13'!L34)*('Tariff Jan''13'!L40/100)*'Tariff Jan''13'!L30))</f>
        <v>0</v>
      </c>
      <c r="K29" s="36">
        <f>IF(($F22*$F23)*'Tariff Jan''13'!M29/'Tariff Jan''13'!M30&lt;'Tariff Jan''13'!M34,0,IF(($F22*$F23)*'Tariff Jan''13'!M29/'Tariff Jan''13'!M30&lt;='Tariff Jan''13'!M35,(($F22*$F23)*'Tariff Jan''13'!M29/'Tariff Jan''13'!M30-'Tariff Jan''13'!M34)*('Tariff Jan''13'!M40/100)*'Tariff Jan''13'!M30,('Tariff Jan''13'!M35-'Tariff Jan''13'!M34)*('Tariff Jan''13'!M40/100)*'Tariff Jan''13'!M30))</f>
        <v>0</v>
      </c>
      <c r="L29" s="32"/>
    </row>
    <row r="30" spans="1:12" x14ac:dyDescent="0.15">
      <c r="A30" s="28" t="s">
        <v>251</v>
      </c>
      <c r="B30" s="32"/>
      <c r="C30" s="36">
        <f>IF(($F22*$F23)*'Tariff Jan''13'!E29/'Tariff Jan''13'!E30&lt;'Tariff Jan''13'!E35,0,IF(($F22*$F23)*'Tariff Jan''13'!E29/'Tariff Jan''13'!E30&lt;='Tariff Jan''13'!E36,(($F22*$F23)*'Tariff Jan''13'!E29/'Tariff Jan''13'!E30-'Tariff Jan''13'!E35)*('Tariff Jan''13'!E41/100)*'Tariff Jan''13'!E30,('Tariff Jan''13'!E36-'Tariff Jan''13'!E35)*('Tariff Jan''13'!E41/100)*'Tariff Jan''13'!E30))</f>
        <v>0</v>
      </c>
      <c r="D30" s="36">
        <f>IF(($F22*$F23)*'Tariff Jan''13'!F29/'Tariff Jan''13'!F30&lt;'Tariff Jan''13'!F35,0,IF(($F22*$F23)*'Tariff Jan''13'!F29/'Tariff Jan''13'!F30&lt;='Tariff Jan''13'!F36,(($F22*$F23)*'Tariff Jan''13'!F29/'Tariff Jan''13'!F30-'Tariff Jan''13'!F35)*('Tariff Jan''13'!F41/100)*'Tariff Jan''13'!F30,('Tariff Jan''13'!F36-'Tariff Jan''13'!F35)*('Tariff Jan''13'!F41/100)*'Tariff Jan''13'!F30))</f>
        <v>0</v>
      </c>
      <c r="E30" s="36">
        <f>IF(($F22*$F23)*'Tariff Jan''13'!G29/'Tariff Jan''13'!G30&lt;'Tariff Jan''13'!G35,0,IF(($F22*$F23)*'Tariff Jan''13'!G29/'Tariff Jan''13'!G30&lt;='Tariff Jan''13'!G36,(($F22*$F23)*'Tariff Jan''13'!G29/'Tariff Jan''13'!G30-'Tariff Jan''13'!G35)*('Tariff Jan''13'!G41/100)*'Tariff Jan''13'!G30,('Tariff Jan''13'!G36-'Tariff Jan''13'!G35)*('Tariff Jan''13'!G41/100)*'Tariff Jan''13'!G30))</f>
        <v>0</v>
      </c>
      <c r="F30" s="36">
        <f>IF(($F22*$F23)*'Tariff Jan''13'!H29/'Tariff Jan''13'!H30&lt;'Tariff Jan''13'!H35,0,IF(($F22*$F23)*'Tariff Jan''13'!H29/'Tariff Jan''13'!H30&lt;='Tariff Jan''13'!H36,(($F22*$F23)*'Tariff Jan''13'!H29/'Tariff Jan''13'!H30-'Tariff Jan''13'!H35)*('Tariff Jan''13'!H41/100)*'Tariff Jan''13'!H30,('Tariff Jan''13'!H36-'Tariff Jan''13'!H35)*('Tariff Jan''13'!H41/100)*'Tariff Jan''13'!H30))</f>
        <v>0</v>
      </c>
      <c r="G30" s="36">
        <f>IF(($F22*$F23)*'Tariff Jan''13'!I29/'Tariff Jan''13'!I30&lt;'Tariff Jan''13'!I35,0,IF(($F22*$F23)*'Tariff Jan''13'!I29/'Tariff Jan''13'!I30&lt;='Tariff Jan''13'!I36,(($F22*$F23)*'Tariff Jan''13'!I29/'Tariff Jan''13'!I30-'Tariff Jan''13'!I35)*('Tariff Jan''13'!I41/100)*'Tariff Jan''13'!I30,('Tariff Jan''13'!I36-'Tariff Jan''13'!I35)*('Tariff Jan''13'!I41/100)*'Tariff Jan''13'!I30))</f>
        <v>0</v>
      </c>
      <c r="H30" s="36">
        <f>IF(($F22*$F23)*'Tariff Jan''13'!J29/'Tariff Jan''13'!J30&lt;'Tariff Jan''13'!J35,0,IF(($F22*$F23)*'Tariff Jan''13'!J29/'Tariff Jan''13'!J30&lt;='Tariff Jan''13'!J36,(($F22*$F23)*'Tariff Jan''13'!J29/'Tariff Jan''13'!J30-'Tariff Jan''13'!J35)*('Tariff Jan''13'!J41/100)*'Tariff Jan''13'!J30,('Tariff Jan''13'!J36-'Tariff Jan''13'!J35)*('Tariff Jan''13'!J41/100)*'Tariff Jan''13'!J30))</f>
        <v>0</v>
      </c>
      <c r="I30" s="36">
        <f>IF(($F22*$F23)*'Tariff Jan''13'!K29/'Tariff Jan''13'!K30&lt;'Tariff Jan''13'!K35,0,IF(($F22*$F23)*'Tariff Jan''13'!K29/'Tariff Jan''13'!K30&lt;='Tariff Jan''13'!K36,(($F22*$F23)*'Tariff Jan''13'!K29/'Tariff Jan''13'!K30-'Tariff Jan''13'!K35)*('Tariff Jan''13'!K41/100)*'Tariff Jan''13'!K30,('Tariff Jan''13'!K36-'Tariff Jan''13'!K35)*('Tariff Jan''13'!K41/100)*'Tariff Jan''13'!K30))</f>
        <v>0</v>
      </c>
      <c r="J30" s="36">
        <f>IF(($F22*$F23)*'Tariff Jan''13'!L29/'Tariff Jan''13'!L30&lt;'Tariff Jan''13'!L35,0,IF(($F22*$F23)*'Tariff Jan''13'!L29/'Tariff Jan''13'!L30&lt;='Tariff Jan''13'!L36,(($F22*$F23)*'Tariff Jan''13'!L29/'Tariff Jan''13'!L30-'Tariff Jan''13'!L35)*('Tariff Jan''13'!L41/100)*'Tariff Jan''13'!L30,('Tariff Jan''13'!L36-'Tariff Jan''13'!L35)*('Tariff Jan''13'!L41/100)*'Tariff Jan''13'!L30))</f>
        <v>0</v>
      </c>
      <c r="K30" s="36">
        <f>IF(($F22*$F23)*'Tariff Jan''13'!M29/'Tariff Jan''13'!M30&lt;'Tariff Jan''13'!M35,0,IF(($F22*$F23)*'Tariff Jan''13'!M29/'Tariff Jan''13'!M30&lt;='Tariff Jan''13'!M36,(($F22*$F23)*'Tariff Jan''13'!M29/'Tariff Jan''13'!M30-'Tariff Jan''13'!M35)*('Tariff Jan''13'!M41/100)*'Tariff Jan''13'!M30,('Tariff Jan''13'!M36-'Tariff Jan''13'!M35)*('Tariff Jan''13'!M41/100)*'Tariff Jan''13'!M30))</f>
        <v>0</v>
      </c>
      <c r="L30" s="32"/>
    </row>
    <row r="31" spans="1:12" x14ac:dyDescent="0.15">
      <c r="A31" s="28" t="s">
        <v>104</v>
      </c>
      <c r="B31" s="32"/>
      <c r="C31" s="36">
        <f>IF(($F22*$F23)*'Tariff Jan''13'!E29/'Tariff Jan''13'!E30&gt;'Tariff Jan''13'!E36,(($F22*$F23)*'Tariff Jan''13'!E29/'Tariff Jan''13'!E30-'Tariff Jan''13'!E36)*'Tariff Jan''13'!E42/100*'Tariff Jan''13'!E30,0)</f>
        <v>0</v>
      </c>
      <c r="D31" s="36">
        <f>IF(($F22*$F23)*'Tariff Jan''13'!F29/'Tariff Jan''13'!F30&gt;'Tariff Jan''13'!F36,(($F22*$F23)*'Tariff Jan''13'!F29/'Tariff Jan''13'!F30-'Tariff Jan''13'!F36)*'Tariff Jan''13'!F42/100*'Tariff Jan''13'!F30,0)</f>
        <v>0</v>
      </c>
      <c r="E31" s="36">
        <f>IF(($F22*$F23)*'Tariff Jan''13'!G29/'Tariff Jan''13'!G30&gt;'Tariff Jan''13'!G36,(($F22*$F23)*'Tariff Jan''13'!G29/'Tariff Jan''13'!G30-'Tariff Jan''13'!G36)*'Tariff Jan''13'!G42/100*'Tariff Jan''13'!G30,0)</f>
        <v>204.05</v>
      </c>
      <c r="F31" s="36">
        <f>IF(($F22*$F23)*'Tariff Jan''13'!H29/'Tariff Jan''13'!H30&gt;'Tariff Jan''13'!H36,(($F22*$F23)*'Tariff Jan''13'!H29/'Tariff Jan''13'!H30-'Tariff Jan''13'!H36)*'Tariff Jan''13'!H42/100*'Tariff Jan''13'!H30,0)</f>
        <v>0</v>
      </c>
      <c r="G31" s="36">
        <f>IF(($F22*$F23)*'Tariff Jan''13'!I29/'Tariff Jan''13'!I30&gt;'Tariff Jan''13'!I36,(($F22*$F23)*'Tariff Jan''13'!I29/'Tariff Jan''13'!I30-'Tariff Jan''13'!I36)*'Tariff Jan''13'!I42/100*'Tariff Jan''13'!I30,0)</f>
        <v>0</v>
      </c>
      <c r="H31" s="36">
        <f>IF(($F22*$F23)*'Tariff Jan''13'!J29/'Tariff Jan''13'!J30&gt;'Tariff Jan''13'!J36,(($F22*$F23)*'Tariff Jan''13'!J29/'Tariff Jan''13'!J30-'Tariff Jan''13'!J36)*'Tariff Jan''13'!J42/100*'Tariff Jan''13'!J30,0)</f>
        <v>0</v>
      </c>
      <c r="I31" s="36">
        <f>IF(($F22*$F23)*'Tariff Jan''13'!K29/'Tariff Jan''13'!K30&gt;'Tariff Jan''13'!K36,(($F22*$F23)*'Tariff Jan''13'!K29/'Tariff Jan''13'!K30-'Tariff Jan''13'!K36)*'Tariff Jan''13'!K42/100*'Tariff Jan''13'!K30,0)</f>
        <v>398.24399999999991</v>
      </c>
      <c r="J31" s="36">
        <f>IF(($F22*$F23)*'Tariff Jan''13'!L29/'Tariff Jan''13'!L30&gt;'Tariff Jan''13'!L36,(($F22*$F23)*'Tariff Jan''13'!L29/'Tariff Jan''13'!L30-'Tariff Jan''13'!L36)*'Tariff Jan''13'!L42/100*'Tariff Jan''13'!L30,0)</f>
        <v>198</v>
      </c>
      <c r="K31" s="36">
        <f>IF(($F22*$F23)*'Tariff Jan''13'!M29/'Tariff Jan''13'!M30&gt;'Tariff Jan''13'!M36,(($F22*$F23)*'Tariff Jan''13'!M29/'Tariff Jan''13'!M30-'Tariff Jan''13'!M36)*'Tariff Jan''13'!M42/100*'Tariff Jan''13'!M30,0)</f>
        <v>163.40499999999997</v>
      </c>
      <c r="L31" s="32"/>
    </row>
    <row r="32" spans="1:12" x14ac:dyDescent="0.15">
      <c r="A32" s="28" t="s">
        <v>231</v>
      </c>
      <c r="B32" s="32"/>
      <c r="C32" s="36">
        <f>IF(($F22*$F23)*'Tariff Jan''13'!E31/'Tariff Jan''13'!E32&gt;='Tariff Jan''13'!E33,('Tariff Jan''13'!E33*'Tariff Jan''13'!E43/100)*'Tariff Jan''13'!E32,(($F22*$F23)*('Tariff Jan''13'!E31/'Tariff Jan''13'!E32*'Tariff Jan''13'!E43/100)*'Tariff Jan''13'!E32))</f>
        <v>275.31900000000002</v>
      </c>
      <c r="D32" s="36">
        <f>IF(($F22*$F23)*'Tariff Jan''13'!F31/'Tariff Jan''13'!F32&gt;='Tariff Jan''13'!F33,('Tariff Jan''13'!F33*'Tariff Jan''13'!F43/100)*'Tariff Jan''13'!F32,(($F22*$F23)*('Tariff Jan''13'!F31/'Tariff Jan''13'!F32*'Tariff Jan''13'!F43/100)*'Tariff Jan''13'!F32))</f>
        <v>300.267</v>
      </c>
      <c r="E32" s="36">
        <f>IF(($F22*$F23)*'Tariff Jan''13'!G31/'Tariff Jan''13'!G32&gt;='Tariff Jan''13'!G33,('Tariff Jan''13'!G33*'Tariff Jan''13'!G43/100)*'Tariff Jan''13'!G32,(($F22*$F23)*('Tariff Jan''13'!G31/'Tariff Jan''13'!G32*'Tariff Jan''13'!G43/100)*'Tariff Jan''13'!G32))</f>
        <v>277.20000000000005</v>
      </c>
      <c r="F32" s="36">
        <f>IF(($F22*$F23)*'Tariff Jan''13'!H31/'Tariff Jan''13'!H32&gt;='Tariff Jan''13'!H33,('Tariff Jan''13'!H33*'Tariff Jan''13'!H43/100)*'Tariff Jan''13'!H32,(($F22*$F23)*('Tariff Jan''13'!H31/'Tariff Jan''13'!H32*'Tariff Jan''13'!H43/100)*'Tariff Jan''13'!H32))</f>
        <v>293.33700000000005</v>
      </c>
      <c r="G32" s="36">
        <f>IF(($F22*$F23)*'Tariff Jan''13'!I31/'Tariff Jan''13'!I32&gt;='Tariff Jan''13'!I33,('Tariff Jan''13'!I33*'Tariff Jan''13'!I43/100)*'Tariff Jan''13'!I32,(($F22*$F23)*('Tariff Jan''13'!I31/'Tariff Jan''13'!I32*'Tariff Jan''13'!I43/100)*'Tariff Jan''13'!I32))</f>
        <v>288.38699999999994</v>
      </c>
      <c r="H32" s="36">
        <f>IF(($F22*$F23)*'Tariff Jan''13'!J31/'Tariff Jan''13'!J32&gt;='Tariff Jan''13'!J33,('Tariff Jan''13'!J33*'Tariff Jan''13'!J43/100)*'Tariff Jan''13'!J32,(($F22*$F23)*('Tariff Jan''13'!J31/'Tariff Jan''13'!J32*'Tariff Jan''13'!J43/100)*'Tariff Jan''13'!J32))</f>
        <v>288.38699999999994</v>
      </c>
      <c r="I32" s="36">
        <f>IF(($F22*$F23)*'Tariff Jan''13'!K31/'Tariff Jan''13'!K32&gt;='Tariff Jan''13'!K33,('Tariff Jan''13'!K33*'Tariff Jan''13'!K43/100)*'Tariff Jan''13'!K32,(($F22*$F23)*('Tariff Jan''13'!K31/'Tariff Jan''13'!K32*'Tariff Jan''13'!K43/100)*'Tariff Jan''13'!K32))</f>
        <v>299.673</v>
      </c>
      <c r="J32" s="36">
        <f>IF(($F22*$F23)*'Tariff Jan''13'!L31/'Tariff Jan''13'!L32&gt;='Tariff Jan''13'!L33,('Tariff Jan''13'!L33*'Tariff Jan''13'!L43/100)*'Tariff Jan''13'!L32,(($F22*$F23)*('Tariff Jan''13'!L31/'Tariff Jan''13'!L32*'Tariff Jan''13'!L43/100)*'Tariff Jan''13'!L32))</f>
        <v>277.20000000000005</v>
      </c>
      <c r="K32" s="36">
        <f>IF(($F22*$F23)*'Tariff Jan''13'!M31/'Tariff Jan''13'!M32&gt;='Tariff Jan''13'!M33,('Tariff Jan''13'!M33*'Tariff Jan''13'!M43/100)*'Tariff Jan''13'!M32,(($F22*$F23)*('Tariff Jan''13'!M31/'Tariff Jan''13'!M32*'Tariff Jan''13'!M43/100)*'Tariff Jan''13'!M32))</f>
        <v>855.03</v>
      </c>
      <c r="L32" s="32"/>
    </row>
    <row r="33" spans="1:12" x14ac:dyDescent="0.15">
      <c r="A33" s="28" t="s">
        <v>530</v>
      </c>
      <c r="B33" s="32"/>
      <c r="C33" s="36">
        <f>IF(($F22*$F23)*'Tariff Jan''13'!E31/'Tariff Jan''13'!E32&lt;'Tariff Jan''13'!E33,0,IF(($F22*$F23)*'Tariff Jan''13'!E31/'Tariff Jan''13'!E32&lt;='Tariff Jan''13'!E34,(($F22*$F23)*'Tariff Jan''13'!E31/'Tariff Jan''13'!E32-'Tariff Jan''13'!E33)*('Tariff Jan''13'!E44/100)*'Tariff Jan''13'!E32,('Tariff Jan''13'!E34-'Tariff Jan''13'!E33)*('Tariff Jan''13'!E44/100)*'Tariff Jan''13'!E32))</f>
        <v>654.654</v>
      </c>
      <c r="D33" s="36">
        <f>IF(($F22*$F23)*'Tariff Jan''13'!F31/'Tariff Jan''13'!F32&lt;'Tariff Jan''13'!F33,0,IF(($F22*$F23)*'Tariff Jan''13'!F31/'Tariff Jan''13'!F32&lt;='Tariff Jan''13'!F34,(($F22*$F23)*'Tariff Jan''13'!F31/'Tariff Jan''13'!F32-'Tariff Jan''13'!F33)*('Tariff Jan''13'!F44/100)*'Tariff Jan''13'!F32,('Tariff Jan''13'!F34-'Tariff Jan''13'!F33)*('Tariff Jan''13'!F44/100)*'Tariff Jan''13'!F32))</f>
        <v>714.02099999999996</v>
      </c>
      <c r="E33" s="36">
        <f>IF(($F22*$F23)*'Tariff Jan''13'!G31/'Tariff Jan''13'!G32&lt;'Tariff Jan''13'!G33,0,IF(($F22*$F23)*'Tariff Jan''13'!G31/'Tariff Jan''13'!G32&lt;='Tariff Jan''13'!G34,(($F22*$F23)*'Tariff Jan''13'!G31/'Tariff Jan''13'!G32-'Tariff Jan''13'!G33)*('Tariff Jan''13'!G44/100)*'Tariff Jan''13'!G32,('Tariff Jan''13'!G34-'Tariff Jan''13'!G33)*('Tariff Jan''13'!G44/100)*'Tariff Jan''13'!G32))</f>
        <v>686.06999999999994</v>
      </c>
      <c r="F33" s="36">
        <f>IF(($F22*$F23)*'Tariff Jan''13'!H31/'Tariff Jan''13'!H32&lt;'Tariff Jan''13'!H33,0,IF(($F22*$F23)*'Tariff Jan''13'!H31/'Tariff Jan''13'!H32&lt;='Tariff Jan''13'!H34,(($F22*$F23)*'Tariff Jan''13'!H31/'Tariff Jan''13'!H32-'Tariff Jan''13'!H33)*('Tariff Jan''13'!H44/100)*'Tariff Jan''13'!H32,('Tariff Jan''13'!H34-'Tariff Jan''13'!H33)*('Tariff Jan''13'!H44/100)*'Tariff Jan''13'!H32))</f>
        <v>696.69600000000003</v>
      </c>
      <c r="G33" s="36">
        <f>IF(($F22*$F23)*'Tariff Jan''13'!I31/'Tariff Jan''13'!I32&lt;'Tariff Jan''13'!I33,0,IF(($F22*$F23)*'Tariff Jan''13'!I31/'Tariff Jan''13'!I32&lt;='Tariff Jan''13'!I34,(($F22*$F23)*'Tariff Jan''13'!I31/'Tariff Jan''13'!I32-'Tariff Jan''13'!I33)*('Tariff Jan''13'!I44/100)*'Tariff Jan''13'!I32,('Tariff Jan''13'!I34-'Tariff Jan''13'!I33)*('Tariff Jan''13'!I44/100)*'Tariff Jan''13'!I32))</f>
        <v>685.60800000000006</v>
      </c>
      <c r="H33" s="36">
        <f>IF(($F22*$F23)*'Tariff Jan''13'!J31/'Tariff Jan''13'!J32&lt;'Tariff Jan''13'!J33,0,IF(($F22*$F23)*'Tariff Jan''13'!J31/'Tariff Jan''13'!J32&lt;='Tariff Jan''13'!J34,(($F22*$F23)*'Tariff Jan''13'!J31/'Tariff Jan''13'!J32-'Tariff Jan''13'!J33)*('Tariff Jan''13'!J44/100)*'Tariff Jan''13'!J32,('Tariff Jan''13'!J34-'Tariff Jan''13'!J33)*('Tariff Jan''13'!J44/100)*'Tariff Jan''13'!J32))</f>
        <v>685.60800000000006</v>
      </c>
      <c r="I33" s="36">
        <f>IF(($F22*$F23)*'Tariff Jan''13'!K31/'Tariff Jan''13'!K32&lt;'Tariff Jan''13'!K33,0,IF(($F22*$F23)*'Tariff Jan''13'!K31/'Tariff Jan''13'!K32&lt;='Tariff Jan''13'!K34,(($F22*$F23)*'Tariff Jan''13'!K31/'Tariff Jan''13'!K32-'Tariff Jan''13'!K33)*('Tariff Jan''13'!K44/100)*'Tariff Jan''13'!K32,('Tariff Jan''13'!K34-'Tariff Jan''13'!K33)*('Tariff Jan''13'!K44/100)*'Tariff Jan''13'!K32))</f>
        <v>0</v>
      </c>
      <c r="J33" s="36">
        <f>IF(($F22*$F23)*'Tariff Jan''13'!L31/'Tariff Jan''13'!L32&lt;'Tariff Jan''13'!L33,0,IF(($F22*$F23)*'Tariff Jan''13'!L31/'Tariff Jan''13'!L32&lt;='Tariff Jan''13'!L34,(($F22*$F23)*'Tariff Jan''13'!L31/'Tariff Jan''13'!L32-'Tariff Jan''13'!L33)*('Tariff Jan''13'!L44/100)*'Tariff Jan''13'!L32,('Tariff Jan''13'!L34-'Tariff Jan''13'!L33)*('Tariff Jan''13'!L44/100)*'Tariff Jan''13'!L32))</f>
        <v>669.90000000000009</v>
      </c>
      <c r="K33" s="36">
        <f>IF(($F22*$F23)*'Tariff Jan''13'!M31/'Tariff Jan''13'!M32&lt;'Tariff Jan''13'!M33,0,IF(($F22*$F23)*'Tariff Jan''13'!M31/'Tariff Jan''13'!M32&lt;='Tariff Jan''13'!M34,(($F22*$F23)*'Tariff Jan''13'!M31/'Tariff Jan''13'!M32-'Tariff Jan''13'!M33)*('Tariff Jan''13'!M44/100)*'Tariff Jan''13'!M32,('Tariff Jan''13'!M34-'Tariff Jan''13'!M33)*('Tariff Jan''13'!M44/100)*'Tariff Jan''13'!M32))</f>
        <v>0</v>
      </c>
      <c r="L33" s="32"/>
    </row>
    <row r="34" spans="1:12" x14ac:dyDescent="0.15">
      <c r="A34" s="28" t="s">
        <v>531</v>
      </c>
      <c r="B34" s="32"/>
      <c r="C34" s="36">
        <f>IF(($F22*$F23)*'Tariff Jan''13'!E31/'Tariff Jan''13'!E32&lt;'Tariff Jan''13'!E34,0,IF(($F22*$F23)*'Tariff Jan''13'!E31/'Tariff Jan''13'!E32&lt;='Tariff Jan''13'!E35,(($F22*$F23)*'Tariff Jan''13'!E31/'Tariff Jan''13'!E32-'Tariff Jan''13'!E34)*('Tariff Jan''13'!E45/100)*'Tariff Jan''13'!E32,('Tariff Jan''13'!E35-'Tariff Jan''13'!E34)*('Tariff Jan''13'!E45/100)*'Tariff Jan''13'!E32))</f>
        <v>535.26</v>
      </c>
      <c r="D34" s="36">
        <f>IF(($F22*$F23)*'Tariff Jan''13'!F31/'Tariff Jan''13'!F32&lt;'Tariff Jan''13'!F34,0,IF(($F22*$F23)*'Tariff Jan''13'!F31/'Tariff Jan''13'!F32&lt;='Tariff Jan''13'!F35,(($F22*$F23)*'Tariff Jan''13'!F31/'Tariff Jan''13'!F32-'Tariff Jan''13'!F34)*('Tariff Jan''13'!F45/100)*'Tariff Jan''13'!F32,('Tariff Jan''13'!F35-'Tariff Jan''13'!F34)*('Tariff Jan''13'!F45/100)*'Tariff Jan''13'!F32))</f>
        <v>583.44000000000005</v>
      </c>
      <c r="E34" s="36">
        <f>IF(($F22*$F23)*'Tariff Jan''13'!G31/'Tariff Jan''13'!G32&lt;'Tariff Jan''13'!G34,0,IF(($F22*$F23)*'Tariff Jan''13'!G31/'Tariff Jan''13'!G32&lt;='Tariff Jan''13'!G35,(($F22*$F23)*'Tariff Jan''13'!G31/'Tariff Jan''13'!G32-'Tariff Jan''13'!G34)*('Tariff Jan''13'!G45/100)*'Tariff Jan''13'!G32,('Tariff Jan''13'!G35-'Tariff Jan''13'!G34)*('Tariff Jan''13'!G45/100)*'Tariff Jan''13'!G32))</f>
        <v>0</v>
      </c>
      <c r="F34" s="36">
        <f>IF(($F22*$F23)*'Tariff Jan''13'!H31/'Tariff Jan''13'!H32&lt;'Tariff Jan''13'!H34,0,IF(($F22*$F23)*'Tariff Jan''13'!H31/'Tariff Jan''13'!H32&lt;='Tariff Jan''13'!H35,(($F22*$F23)*'Tariff Jan''13'!H31/'Tariff Jan''13'!H32-'Tariff Jan''13'!H34)*('Tariff Jan''13'!H45/100)*'Tariff Jan''13'!H32,('Tariff Jan''13'!H35-'Tariff Jan''13'!H34)*('Tariff Jan''13'!H45/100)*'Tariff Jan''13'!H32))</f>
        <v>577.005</v>
      </c>
      <c r="G34" s="36">
        <f>IF(($F22*$F23)*'Tariff Jan''13'!I31/'Tariff Jan''13'!I32&lt;'Tariff Jan''13'!I34,0,IF(($F22*$F23)*'Tariff Jan''13'!I31/'Tariff Jan''13'!I32&lt;='Tariff Jan''13'!I35,(($F22*$F23)*'Tariff Jan''13'!I31/'Tariff Jan''13'!I32-'Tariff Jan''13'!I34)*('Tariff Jan''13'!I45/100)*'Tariff Jan''13'!I32,('Tariff Jan''13'!I35-'Tariff Jan''13'!I34)*('Tariff Jan''13'!I45/100)*'Tariff Jan''13'!I32))</f>
        <v>560.50499999999988</v>
      </c>
      <c r="H34" s="36">
        <f>IF(($F22*$F23)*'Tariff Jan''13'!J31/'Tariff Jan''13'!J32&lt;'Tariff Jan''13'!J34,0,IF(($F22*$F23)*'Tariff Jan''13'!J31/'Tariff Jan''13'!J32&lt;='Tariff Jan''13'!J35,(($F22*$F23)*'Tariff Jan''13'!J31/'Tariff Jan''13'!J32-'Tariff Jan''13'!J34)*('Tariff Jan''13'!J45/100)*'Tariff Jan''13'!J32,('Tariff Jan''13'!J35-'Tariff Jan''13'!J34)*('Tariff Jan''13'!J45/100)*'Tariff Jan''13'!J32))</f>
        <v>560.50499999999988</v>
      </c>
      <c r="I34" s="36">
        <f>IF(($F22*$F23)*'Tariff Jan''13'!K31/'Tariff Jan''13'!K32&lt;'Tariff Jan''13'!K34,0,IF(($F22*$F23)*'Tariff Jan''13'!K31/'Tariff Jan''13'!K32&lt;='Tariff Jan''13'!K35,(($F22*$F23)*'Tariff Jan''13'!K31/'Tariff Jan''13'!K32-'Tariff Jan''13'!K34)*('Tariff Jan''13'!K45/100)*'Tariff Jan''13'!K32,('Tariff Jan''13'!K35-'Tariff Jan''13'!K34)*('Tariff Jan''13'!K45/100)*'Tariff Jan''13'!K32))</f>
        <v>0</v>
      </c>
      <c r="J34" s="36">
        <f>IF(($F22*$F23)*'Tariff Jan''13'!L31/'Tariff Jan''13'!L32&lt;'Tariff Jan''13'!L34,0,IF(($F22*$F23)*'Tariff Jan''13'!L31/'Tariff Jan''13'!L32&lt;='Tariff Jan''13'!L35,(($F22*$F23)*'Tariff Jan''13'!L31/'Tariff Jan''13'!L32-'Tariff Jan''13'!L34)*('Tariff Jan''13'!L45/100)*'Tariff Jan''13'!L32,('Tariff Jan''13'!L35-'Tariff Jan''13'!L34)*('Tariff Jan''13'!L45/100)*'Tariff Jan''13'!L32))</f>
        <v>0</v>
      </c>
      <c r="K34" s="36">
        <f>IF(($F22*$F23)*'Tariff Jan''13'!M31/'Tariff Jan''13'!M32&lt;'Tariff Jan''13'!M34,0,IF(($F22*$F23)*'Tariff Jan''13'!M31/'Tariff Jan''13'!M32&lt;='Tariff Jan''13'!M35,(($F22*$F23)*'Tariff Jan''13'!M31/'Tariff Jan''13'!M32-'Tariff Jan''13'!M34)*('Tariff Jan''13'!M45/100)*'Tariff Jan''13'!M32,('Tariff Jan''13'!M35-'Tariff Jan''13'!M34)*('Tariff Jan''13'!M45/100)*'Tariff Jan''13'!M32))</f>
        <v>0</v>
      </c>
      <c r="L34" s="32"/>
    </row>
    <row r="35" spans="1:12" x14ac:dyDescent="0.15">
      <c r="A35" s="28" t="s">
        <v>100</v>
      </c>
      <c r="B35" s="32"/>
      <c r="C35" s="36">
        <f>IF(($F22*$F23)*'Tariff Jan''13'!E31/'Tariff Jan''13'!E32&lt;'Tariff Jan''13'!E35,0,IF(($F22*$F23)*'Tariff Jan''13'!E31/'Tariff Jan''13'!E32&lt;='Tariff Jan''13'!E36,(($F22*$F23)*'Tariff Jan''13'!E31/'Tariff Jan''13'!E32-'Tariff Jan''13'!E35)*('Tariff Jan''13'!E46/100)*'Tariff Jan''13'!E32,('Tariff Jan''13'!E36-'Tariff Jan''13'!E35)*('Tariff Jan''13'!E46/100)*'Tariff Jan''13'!E32))</f>
        <v>0</v>
      </c>
      <c r="D35" s="36">
        <f>IF(($F22*$F23)*'Tariff Jan''13'!F31/'Tariff Jan''13'!F32&lt;'Tariff Jan''13'!F35,0,IF(($F22*$F23)*'Tariff Jan''13'!F31/'Tariff Jan''13'!F32&lt;='Tariff Jan''13'!F36,(($F22*$F23)*'Tariff Jan''13'!F31/'Tariff Jan''13'!F32-'Tariff Jan''13'!F35)*('Tariff Jan''13'!F46/100)*'Tariff Jan''13'!F32,('Tariff Jan''13'!F36-'Tariff Jan''13'!F35)*('Tariff Jan''13'!F46/100)*'Tariff Jan''13'!F32))</f>
        <v>0</v>
      </c>
      <c r="E35" s="36">
        <f>IF(($F22*$F23)*'Tariff Jan''13'!G31/'Tariff Jan''13'!G32&lt;'Tariff Jan''13'!G35,0,IF(($F22*$F23)*'Tariff Jan''13'!G31/'Tariff Jan''13'!G32&lt;='Tariff Jan''13'!G36,(($F22*$F23)*'Tariff Jan''13'!G31/'Tariff Jan''13'!G32-'Tariff Jan''13'!G35)*('Tariff Jan''13'!G46/100)*'Tariff Jan''13'!G32,('Tariff Jan''13'!G36-'Tariff Jan''13'!G35)*('Tariff Jan''13'!G46/100)*'Tariff Jan''13'!G32))</f>
        <v>0</v>
      </c>
      <c r="F35" s="36">
        <f>IF(($F22*$F23)*'Tariff Jan''13'!H31/'Tariff Jan''13'!H32&lt;'Tariff Jan''13'!H35,0,IF(($F22*$F23)*'Tariff Jan''13'!H31/'Tariff Jan''13'!H32&lt;='Tariff Jan''13'!H36,(($F22*$F23)*'Tariff Jan''13'!H31/'Tariff Jan''13'!H32-'Tariff Jan''13'!H35)*('Tariff Jan''13'!H46/100)*'Tariff Jan''13'!H32,('Tariff Jan''13'!H36-'Tariff Jan''13'!H35)*('Tariff Jan''13'!H46/100)*'Tariff Jan''13'!H32))</f>
        <v>0</v>
      </c>
      <c r="G35" s="36">
        <f>IF(($F22*$F23)*'Tariff Jan''13'!I31/'Tariff Jan''13'!I32&lt;'Tariff Jan''13'!I35,0,IF(($F22*$F23)*'Tariff Jan''13'!I31/'Tariff Jan''13'!I32&lt;='Tariff Jan''13'!I36,(($F22*$F23)*'Tariff Jan''13'!I31/'Tariff Jan''13'!I32-'Tariff Jan''13'!I35)*('Tariff Jan''13'!I46/100)*'Tariff Jan''13'!I32,('Tariff Jan''13'!I36-'Tariff Jan''13'!I35)*('Tariff Jan''13'!I46/100)*'Tariff Jan''13'!I32))</f>
        <v>0</v>
      </c>
      <c r="H35" s="36">
        <f>IF(($F22*$F23)*'Tariff Jan''13'!J31/'Tariff Jan''13'!J32&lt;'Tariff Jan''13'!J35,0,IF(($F22*$F23)*'Tariff Jan''13'!J31/'Tariff Jan''13'!J32&lt;='Tariff Jan''13'!J36,(($F22*$F23)*'Tariff Jan''13'!J31/'Tariff Jan''13'!J32-'Tariff Jan''13'!J35)*('Tariff Jan''13'!J46/100)*'Tariff Jan''13'!J32,('Tariff Jan''13'!J36-'Tariff Jan''13'!J35)*('Tariff Jan''13'!J46/100)*'Tariff Jan''13'!J32))</f>
        <v>0</v>
      </c>
      <c r="I35" s="36">
        <f>IF(($F22*$F23)*'Tariff Jan''13'!K31/'Tariff Jan''13'!K32&lt;'Tariff Jan''13'!K35,0,IF(($F22*$F23)*'Tariff Jan''13'!K31/'Tariff Jan''13'!K32&lt;='Tariff Jan''13'!K36,(($F22*$F23)*'Tariff Jan''13'!K31/'Tariff Jan''13'!K32-'Tariff Jan''13'!K35)*('Tariff Jan''13'!K46/100)*'Tariff Jan''13'!K32,('Tariff Jan''13'!K36-'Tariff Jan''13'!K35)*('Tariff Jan''13'!K46/100)*'Tariff Jan''13'!K32))</f>
        <v>0</v>
      </c>
      <c r="J35" s="36">
        <f>IF(($F22*$F23)*'Tariff Jan''13'!L31/'Tariff Jan''13'!L32&lt;'Tariff Jan''13'!L35,0,IF(($F22*$F23)*'Tariff Jan''13'!L31/'Tariff Jan''13'!L32&lt;='Tariff Jan''13'!L36,(($F22*$F23)*'Tariff Jan''13'!L31/'Tariff Jan''13'!L32-'Tariff Jan''13'!L35)*('Tariff Jan''13'!L46/100)*'Tariff Jan''13'!L32,('Tariff Jan''13'!L36-'Tariff Jan''13'!L35)*('Tariff Jan''13'!L46/100)*'Tariff Jan''13'!L32))</f>
        <v>0</v>
      </c>
      <c r="K35" s="36">
        <f>IF(($F22*$F23)*'Tariff Jan''13'!M31/'Tariff Jan''13'!M32&lt;'Tariff Jan''13'!M35,0,IF(($F22*$F23)*'Tariff Jan''13'!M31/'Tariff Jan''13'!M32&lt;='Tariff Jan''13'!M36,(($F22*$F23)*'Tariff Jan''13'!M31/'Tariff Jan''13'!M32-'Tariff Jan''13'!M35)*('Tariff Jan''13'!M46/100)*'Tariff Jan''13'!M32,('Tariff Jan''13'!M36-'Tariff Jan''13'!M35)*('Tariff Jan''13'!M46/100)*'Tariff Jan''13'!M32))</f>
        <v>0</v>
      </c>
      <c r="L35" s="32"/>
    </row>
    <row r="36" spans="1:12" x14ac:dyDescent="0.15">
      <c r="A36" s="28" t="s">
        <v>419</v>
      </c>
      <c r="B36" s="32"/>
      <c r="C36" s="36">
        <f>IF(($F22*$F23)*'Tariff Jan''13'!E31/'Tariff Jan''13'!E32&gt;'Tariff Jan''13'!E36,(($F22*$F23)*'Tariff Jan''13'!E31/'Tariff Jan''13'!E32-'Tariff Jan''13'!E36)*'Tariff Jan''13'!E47/100*'Tariff Jan''13'!E32,0)</f>
        <v>0</v>
      </c>
      <c r="D36" s="36">
        <f>IF(($F22*$F23)*'Tariff Jan''13'!F31/'Tariff Jan''13'!F32&gt;'Tariff Jan''13'!F36,(($F22*$F23)*'Tariff Jan''13'!F31/'Tariff Jan''13'!F32-'Tariff Jan''13'!F36)*'Tariff Jan''13'!F47/100*'Tariff Jan''13'!F32,0)</f>
        <v>0</v>
      </c>
      <c r="E36" s="36">
        <f>IF(($F22*$F23)*'Tariff Jan''13'!G31/'Tariff Jan''13'!G32&gt;'Tariff Jan''13'!G36,(($F22*$F23)*'Tariff Jan''13'!G31/'Tariff Jan''13'!G32-'Tariff Jan''13'!G36)*'Tariff Jan''13'!G47/100*'Tariff Jan''13'!G32,0)</f>
        <v>539.54999999999995</v>
      </c>
      <c r="F36" s="36">
        <f>IF(($F22*$F23)*'Tariff Jan''13'!H31/'Tariff Jan''13'!H32&gt;'Tariff Jan''13'!H36,(($F22*$F23)*'Tariff Jan''13'!H31/'Tariff Jan''13'!H32-'Tariff Jan''13'!H36)*'Tariff Jan''13'!H47/100*'Tariff Jan''13'!H32,0)</f>
        <v>0</v>
      </c>
      <c r="G36" s="36">
        <f>IF(($F22*$F23)*'Tariff Jan''13'!I31/'Tariff Jan''13'!I32&gt;'Tariff Jan''13'!I36,(($F22*$F23)*'Tariff Jan''13'!I31/'Tariff Jan''13'!I32-'Tariff Jan''13'!I36)*'Tariff Jan''13'!I47/100*'Tariff Jan''13'!I32,0)</f>
        <v>0</v>
      </c>
      <c r="H36" s="36">
        <f>IF(($F22*$F23)*'Tariff Jan''13'!J31/'Tariff Jan''13'!J32&gt;'Tariff Jan''13'!J36,(($F22*$F23)*'Tariff Jan''13'!J31/'Tariff Jan''13'!J32-'Tariff Jan''13'!J36)*'Tariff Jan''13'!J47/100*'Tariff Jan''13'!J32,0)</f>
        <v>0</v>
      </c>
      <c r="I36" s="36">
        <f>IF(($F22*$F23)*'Tariff Jan''13'!K31/'Tariff Jan''13'!K32&gt;'Tariff Jan''13'!K36,(($F22*$F23)*'Tariff Jan''13'!K31/'Tariff Jan''13'!K32-'Tariff Jan''13'!K36)*'Tariff Jan''13'!K47/100*'Tariff Jan''13'!K32,0)</f>
        <v>1194.7319999999997</v>
      </c>
      <c r="J36" s="36">
        <f>IF(($F22*$F23)*'Tariff Jan''13'!L31/'Tariff Jan''13'!L32&gt;'Tariff Jan''13'!L36,(($F22*$F23)*'Tariff Jan''13'!L31/'Tariff Jan''13'!L32-'Tariff Jan''13'!L36)*'Tariff Jan''13'!L47/100*'Tariff Jan''13'!L32,0)</f>
        <v>495</v>
      </c>
      <c r="K36" s="36">
        <f>IF(($F22*$F23)*'Tariff Jan''13'!M31/'Tariff Jan''13'!M32&gt;'Tariff Jan''13'!M36,(($F22*$F23)*'Tariff Jan''13'!M31/'Tariff Jan''13'!M32-'Tariff Jan''13'!M36)*'Tariff Jan''13'!M47/100*'Tariff Jan''13'!M32,0)</f>
        <v>490.21499999999992</v>
      </c>
      <c r="L36" s="32"/>
    </row>
    <row r="37" spans="1:12" x14ac:dyDescent="0.15">
      <c r="A37" s="28" t="s">
        <v>442</v>
      </c>
      <c r="B37" s="32"/>
      <c r="C37" s="36">
        <f>IF($F22*$F24&gt;='Tariff Jan''13'!E37,('Tariff Jan''13'!E37*'Tariff Jan''13'!E48/100),($F22*$F24)*('Tariff Jan''13'!E48/100))</f>
        <v>221.92500000000001</v>
      </c>
      <c r="D37" s="36">
        <f>IF($F22*$F24&gt;='Tariff Jan''13'!F37,('Tariff Jan''13'!F37*'Tariff Jan''13'!F48/100),($F22*$F24)*('Tariff Jan''13'!F48/100))</f>
        <v>242.21999999999997</v>
      </c>
      <c r="E37" s="36">
        <f>IF($F22*$F24&gt;='Tariff Jan''13'!G37,('Tariff Jan''13'!G37*'Tariff Jan''13'!G48/100),($F22*$F24)*('Tariff Jan''13'!G48/100))</f>
        <v>244.2</v>
      </c>
      <c r="F37" s="36">
        <f>IF($F22*$F24&gt;='Tariff Jan''13'!H37,('Tariff Jan''13'!H37*'Tariff Jan''13'!H48/100),($F22*$F24)*('Tariff Jan''13'!H48/100))</f>
        <v>235.785</v>
      </c>
      <c r="G37" s="36">
        <f>IF($F22*$F24&gt;='Tariff Jan''13'!I37,('Tariff Jan''13'!I37*'Tariff Jan''13'!I48/100),($F22*$F24)*('Tariff Jan''13'!I48/100))</f>
        <v>232.48500000000001</v>
      </c>
      <c r="H37" s="36">
        <f>IF($F22*$F24&gt;='Tariff Jan''13'!J37,('Tariff Jan''13'!J37*'Tariff Jan''13'!J48/100),($F22*$F24)*('Tariff Jan''13'!J48/100))</f>
        <v>232.48500000000001</v>
      </c>
      <c r="I37" s="36">
        <f>(($F22*$F24)*('Tariff Jan''13'!K48/100))</f>
        <v>221.92500000000001</v>
      </c>
      <c r="J37" s="36">
        <f>(($F22*$F24)*('Tariff Jan''13'!L48/100))</f>
        <v>272.25</v>
      </c>
      <c r="K37" s="36">
        <f>(($F22*$F24)*('Tariff Jan''13'!M48/100))</f>
        <v>227.535</v>
      </c>
      <c r="L37" s="32"/>
    </row>
    <row r="38" spans="1:12" x14ac:dyDescent="0.15">
      <c r="A38" s="28" t="s">
        <v>443</v>
      </c>
      <c r="B38" s="32"/>
      <c r="C38" s="36">
        <f>IF($F22*$F24&gt;'Tariff Jan''13'!E37,($F22*$F24-'Tariff Jan''13'!E37)*'Tariff Jan''13'!E49/100,0)</f>
        <v>0</v>
      </c>
      <c r="D38" s="36">
        <f>IF($F22*$F24&gt;'Tariff Jan''13'!F37,($F22*$F24-'Tariff Jan''13'!F37)*'Tariff Jan''13'!F49/100,0)</f>
        <v>0</v>
      </c>
      <c r="E38" s="36">
        <f>IF($F22*$F24&gt;'Tariff Jan''13'!G37,($F22*$F24-'Tariff Jan''13'!G37)*'Tariff Jan''13'!G49/100,0)</f>
        <v>0</v>
      </c>
      <c r="F38" s="36">
        <f>IF($F22*$F24&gt;'Tariff Jan''13'!H37,($F22*$F24-'Tariff Jan''13'!H37)*'Tariff Jan''13'!H49/100,0)</f>
        <v>0</v>
      </c>
      <c r="G38" s="36">
        <f>IF($F22*$F24&gt;'Tariff Jan''13'!I37,($F22*$F24-'Tariff Jan''13'!I37)*'Tariff Jan''13'!I49/100,0)</f>
        <v>0</v>
      </c>
      <c r="H38" s="36">
        <f>IF($F22*$F24&gt;'Tariff Jan''13'!J37,($F22*$F24-'Tariff Jan''13'!J37)*'Tariff Jan''13'!J49/100,0)</f>
        <v>0</v>
      </c>
      <c r="I38" s="36">
        <v>0</v>
      </c>
      <c r="J38" s="36">
        <v>0</v>
      </c>
      <c r="K38" s="36">
        <v>0</v>
      </c>
      <c r="L38" s="32"/>
    </row>
    <row r="39" spans="1:12" x14ac:dyDescent="0.15">
      <c r="A39" s="28" t="s">
        <v>420</v>
      </c>
      <c r="B39" s="32"/>
      <c r="C39" s="36">
        <f>'Tariff Jan''13'!E50*365/100</f>
        <v>251.66019999999997</v>
      </c>
      <c r="D39" s="36">
        <f>'Tariff Jan''13'!F50*365/100</f>
        <v>274.3048</v>
      </c>
      <c r="E39" s="36">
        <f>'Tariff Jan''13'!G50*365/100</f>
        <v>245.71799999999999</v>
      </c>
      <c r="F39" s="36">
        <f>'Tariff Jan''13'!H50*365/100</f>
        <v>281.6121</v>
      </c>
      <c r="G39" s="36">
        <f>'Tariff Jan''13'!I50*365/100</f>
        <v>263.5446</v>
      </c>
      <c r="H39" s="36">
        <f>'Tariff Jan''13'!J50*365/100</f>
        <v>263.5446</v>
      </c>
      <c r="I39" s="36">
        <f>'Tariff Jan''13'!K50*365/100</f>
        <v>270.24964999999997</v>
      </c>
      <c r="J39" s="36">
        <f>'Tariff Jan''13'!L50*365/100</f>
        <v>260.97500000000002</v>
      </c>
      <c r="K39" s="36">
        <f>'Tariff Jan''13'!M50*365/100</f>
        <v>219.98184999999998</v>
      </c>
      <c r="L39" s="37">
        <f>AVERAGE(E39:K39)</f>
        <v>257.94654285714284</v>
      </c>
    </row>
    <row r="40" spans="1:12" x14ac:dyDescent="0.15">
      <c r="A40" s="38" t="s">
        <v>505</v>
      </c>
      <c r="B40" s="32"/>
      <c r="C40" s="39">
        <f>SUM(C27:C39)</f>
        <v>2479.9411999999998</v>
      </c>
      <c r="D40" s="39">
        <f t="shared" ref="D40:I40" si="1">SUM(D27:D39)</f>
        <v>2704.3917999999999</v>
      </c>
      <c r="E40" s="39">
        <f t="shared" si="1"/>
        <v>2538.2279999999996</v>
      </c>
      <c r="F40" s="39">
        <f t="shared" si="1"/>
        <v>2606.7810999999997</v>
      </c>
      <c r="G40" s="39">
        <f t="shared" si="1"/>
        <v>2597.2166000000002</v>
      </c>
      <c r="H40" s="39">
        <f t="shared" si="1"/>
        <v>2542.0295999999998</v>
      </c>
      <c r="I40" s="39">
        <f t="shared" si="1"/>
        <v>2484.7146499999999</v>
      </c>
      <c r="J40" s="39">
        <f>SUM(J27:J39)</f>
        <v>2531.375</v>
      </c>
      <c r="K40" s="39">
        <f>SUM(K27:K39)</f>
        <v>2241.1768499999998</v>
      </c>
      <c r="L40" s="39">
        <f>AVERAGE(E40:K40)</f>
        <v>2505.9316857142853</v>
      </c>
    </row>
    <row r="41" spans="1:12" x14ac:dyDescent="0.15">
      <c r="A41" s="28"/>
      <c r="B41" s="28"/>
      <c r="C41" s="28"/>
      <c r="D41" s="28"/>
      <c r="E41" s="28"/>
      <c r="F41" s="28"/>
      <c r="G41" s="28"/>
      <c r="H41" s="28"/>
      <c r="I41" s="28"/>
      <c r="J41" s="28"/>
      <c r="L41" s="28"/>
    </row>
    <row r="42" spans="1:12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</row>
    <row r="43" spans="1:12" x14ac:dyDescent="0.15">
      <c r="A43" s="33" t="s">
        <v>490</v>
      </c>
      <c r="B43" s="32"/>
      <c r="C43" s="9" t="s">
        <v>492</v>
      </c>
      <c r="D43" s="9" t="s">
        <v>491</v>
      </c>
      <c r="E43" s="9" t="s">
        <v>385</v>
      </c>
      <c r="F43" s="9" t="s">
        <v>494</v>
      </c>
      <c r="G43" s="9" t="s">
        <v>470</v>
      </c>
      <c r="H43" s="9" t="s">
        <v>467</v>
      </c>
      <c r="I43" s="9" t="s">
        <v>263</v>
      </c>
      <c r="J43" s="9" t="s">
        <v>540</v>
      </c>
      <c r="K43" s="9" t="s">
        <v>312</v>
      </c>
    </row>
    <row r="44" spans="1:12" x14ac:dyDescent="0.15">
      <c r="A44" s="28" t="s">
        <v>496</v>
      </c>
      <c r="B44" s="32"/>
      <c r="C44" s="20" t="s">
        <v>501</v>
      </c>
      <c r="D44" s="21" t="s">
        <v>261</v>
      </c>
      <c r="E44" s="21" t="s">
        <v>375</v>
      </c>
      <c r="F44" s="21" t="s">
        <v>497</v>
      </c>
      <c r="G44" s="21" t="s">
        <v>292</v>
      </c>
      <c r="H44" s="21" t="s">
        <v>497</v>
      </c>
      <c r="I44" s="21" t="s">
        <v>223</v>
      </c>
      <c r="J44" s="28" t="s">
        <v>225</v>
      </c>
      <c r="K44" s="28" t="s">
        <v>601</v>
      </c>
    </row>
    <row r="45" spans="1:12" x14ac:dyDescent="0.15">
      <c r="A45" s="28" t="s">
        <v>522</v>
      </c>
      <c r="B45" s="32"/>
      <c r="C45" s="21" t="s">
        <v>400</v>
      </c>
      <c r="D45" s="21" t="s">
        <v>224</v>
      </c>
      <c r="E45" s="21" t="s">
        <v>401</v>
      </c>
      <c r="F45" s="21" t="s">
        <v>400</v>
      </c>
      <c r="G45" s="21" t="s">
        <v>225</v>
      </c>
      <c r="H45" s="21" t="s">
        <v>400</v>
      </c>
      <c r="I45" s="21" t="s">
        <v>226</v>
      </c>
      <c r="J45" s="28" t="s">
        <v>331</v>
      </c>
      <c r="K45" s="21" t="s">
        <v>224</v>
      </c>
    </row>
    <row r="46" spans="1:12" x14ac:dyDescent="0.15">
      <c r="A46" s="28" t="s">
        <v>512</v>
      </c>
      <c r="B46" s="32"/>
      <c r="C46" s="21" t="s">
        <v>227</v>
      </c>
      <c r="D46" s="22">
        <v>70</v>
      </c>
      <c r="E46" s="22" t="s">
        <v>390</v>
      </c>
      <c r="F46" s="22" t="s">
        <v>289</v>
      </c>
      <c r="G46" s="22" t="s">
        <v>225</v>
      </c>
      <c r="H46" s="22">
        <v>80</v>
      </c>
      <c r="I46" s="22">
        <v>48</v>
      </c>
      <c r="J46" s="28" t="s">
        <v>220</v>
      </c>
      <c r="K46" s="28" t="s">
        <v>601</v>
      </c>
    </row>
    <row r="47" spans="1:12" x14ac:dyDescent="0.15">
      <c r="A47" s="28" t="s">
        <v>532</v>
      </c>
      <c r="B47" s="32"/>
      <c r="C47" s="21" t="s">
        <v>497</v>
      </c>
      <c r="D47" s="20">
        <v>0.02</v>
      </c>
      <c r="E47" s="20" t="s">
        <v>374</v>
      </c>
      <c r="F47" s="20" t="s">
        <v>102</v>
      </c>
      <c r="G47" s="20" t="s">
        <v>288</v>
      </c>
      <c r="H47" s="20" t="s">
        <v>154</v>
      </c>
      <c r="I47" s="21" t="s">
        <v>497</v>
      </c>
      <c r="J47" s="28" t="s">
        <v>444</v>
      </c>
      <c r="K47" s="28" t="s">
        <v>601</v>
      </c>
    </row>
    <row r="48" spans="1:12" x14ac:dyDescent="0.15">
      <c r="A48" s="28" t="s">
        <v>376</v>
      </c>
      <c r="B48" s="32"/>
      <c r="C48" s="22">
        <v>14</v>
      </c>
      <c r="D48" s="22">
        <v>12</v>
      </c>
      <c r="E48" s="20" t="s">
        <v>292</v>
      </c>
      <c r="F48" s="20" t="s">
        <v>292</v>
      </c>
      <c r="G48" s="28" t="s">
        <v>292</v>
      </c>
      <c r="H48" s="22" t="s">
        <v>290</v>
      </c>
      <c r="I48" s="22">
        <v>14</v>
      </c>
      <c r="J48" s="28" t="s">
        <v>535</v>
      </c>
      <c r="K48" s="28" t="s">
        <v>197</v>
      </c>
    </row>
    <row r="49" spans="1:12" x14ac:dyDescent="0.15">
      <c r="A49" s="28" t="s">
        <v>553</v>
      </c>
      <c r="B49" s="32"/>
      <c r="C49" s="21" t="s">
        <v>554</v>
      </c>
      <c r="D49" s="21" t="s">
        <v>262</v>
      </c>
      <c r="E49" s="21" t="s">
        <v>497</v>
      </c>
      <c r="F49" s="21" t="s">
        <v>497</v>
      </c>
      <c r="G49" s="21" t="s">
        <v>225</v>
      </c>
      <c r="H49" s="21" t="s">
        <v>497</v>
      </c>
      <c r="I49" s="21" t="s">
        <v>225</v>
      </c>
      <c r="J49" s="28" t="s">
        <v>225</v>
      </c>
      <c r="K49" s="28" t="s">
        <v>198</v>
      </c>
    </row>
    <row r="50" spans="1:12" x14ac:dyDescent="0.1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</row>
  </sheetData>
  <sheetProtection algorithmName="SHA-512" hashValue="rLOHokIhJ8DqZNwKVZK84RbhyacZpurkXwOPg8/J5ccA/Mou/Gifixdec09amFXNBMtPSamPOu4iOGbdpzVq/Q==" saltValue="jdodzsOLNkSUl383yAY1Pg==" spinCount="100000" sheet="1" objects="1" scenarios="1"/>
  <phoneticPr fontId="6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K50"/>
  <sheetViews>
    <sheetView workbookViewId="0">
      <selection activeCell="F22" activeCellId="1" sqref="F5 F22:F24"/>
    </sheetView>
  </sheetViews>
  <sheetFormatPr baseColWidth="10" defaultRowHeight="13" x14ac:dyDescent="0.15"/>
  <cols>
    <col min="1" max="1" width="20.5" style="29" customWidth="1"/>
    <col min="2" max="2" width="2.5" style="29" customWidth="1"/>
    <col min="3" max="15" width="10" style="29" customWidth="1"/>
    <col min="16" max="16384" width="10.83203125" style="29"/>
  </cols>
  <sheetData>
    <row r="1" spans="1:11" x14ac:dyDescent="0.15">
      <c r="A1" s="28" t="s">
        <v>518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spans="1:11" x14ac:dyDescent="0.15">
      <c r="A2" s="59"/>
      <c r="B2" s="59"/>
      <c r="C2" s="59"/>
      <c r="D2" s="59"/>
      <c r="E2" s="59"/>
      <c r="F2" s="59"/>
      <c r="G2" s="59"/>
      <c r="H2" s="59"/>
      <c r="I2" s="59"/>
      <c r="J2" s="59"/>
      <c r="K2" s="28"/>
    </row>
    <row r="3" spans="1:11" x14ac:dyDescent="0.15">
      <c r="A3" s="31" t="s">
        <v>334</v>
      </c>
      <c r="B3" s="32"/>
      <c r="C3" s="28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8"/>
      <c r="B4" s="32"/>
      <c r="C4" s="28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33" t="s">
        <v>418</v>
      </c>
      <c r="B5" s="32"/>
      <c r="C5" s="33" t="s">
        <v>335</v>
      </c>
      <c r="D5" s="28"/>
      <c r="E5" s="28"/>
      <c r="F5" s="10">
        <v>6000</v>
      </c>
      <c r="G5" s="28"/>
      <c r="H5" s="28"/>
      <c r="I5" s="28"/>
      <c r="J5" s="28"/>
      <c r="K5" s="28"/>
    </row>
    <row r="6" spans="1:11" x14ac:dyDescent="0.15">
      <c r="A6" s="28"/>
      <c r="B6" s="32"/>
      <c r="C6" s="28"/>
      <c r="D6" s="28"/>
      <c r="E6" s="28"/>
      <c r="F6" s="28"/>
      <c r="G6" s="28"/>
      <c r="H6" s="28"/>
      <c r="I6" s="28"/>
      <c r="J6" s="28"/>
      <c r="K6" s="28"/>
    </row>
    <row r="7" spans="1:11" x14ac:dyDescent="0.15">
      <c r="A7" s="34" t="s">
        <v>336</v>
      </c>
      <c r="B7" s="35"/>
      <c r="C7" s="9" t="s">
        <v>492</v>
      </c>
      <c r="D7" s="9" t="s">
        <v>491</v>
      </c>
      <c r="E7" s="9" t="s">
        <v>493</v>
      </c>
      <c r="F7" s="9" t="s">
        <v>494</v>
      </c>
      <c r="G7" s="9" t="s">
        <v>470</v>
      </c>
      <c r="H7" s="9" t="s">
        <v>467</v>
      </c>
      <c r="I7" s="9" t="s">
        <v>263</v>
      </c>
      <c r="J7" s="9" t="s">
        <v>337</v>
      </c>
      <c r="K7" s="28"/>
    </row>
    <row r="8" spans="1:11" x14ac:dyDescent="0.15">
      <c r="A8" s="28" t="s">
        <v>243</v>
      </c>
      <c r="B8" s="32"/>
      <c r="C8" s="36">
        <f>IF($F5*'Tariff Jul''12'!E7/'Tariff Jul''12'!E8&gt;='Tariff Jul''12'!E11,('Tariff Jul''12'!E11*'Tariff Jul''12'!E15/100)*'Tariff Jul''12'!E8,($F5*'Tariff Jul''12'!E7/'Tariff Jul''12'!E8*'Tariff Jul''12'!E15/100)*'Tariff Jul''12'!E8)</f>
        <v>101.31000000000002</v>
      </c>
      <c r="D8" s="36">
        <f>IF($F5*'Tariff Jul''12'!F7/'Tariff Jul''12'!F8&gt;='Tariff Jul''12'!F11,('Tariff Jul''12'!F11*'Tariff Jul''12'!F15/100)*'Tariff Jul''12'!F8,($F5*'Tariff Jul''12'!F7/'Tariff Jul''12'!F8*'Tariff Jul''12'!F15/100)*'Tariff Jul''12'!F8)</f>
        <v>105.53399999999999</v>
      </c>
      <c r="E8" s="36">
        <f>IF($F5*'Tariff Jul''12'!G7/'Tariff Jul''12'!G8&gt;='Tariff Jul''12'!G11,('Tariff Jul''12'!G11*'Tariff Jul''12'!G15/100)*'Tariff Jul''12'!G8,($F5*'Tariff Jul''12'!G7/'Tariff Jul''12'!G8*'Tariff Jul''12'!G15/100)*'Tariff Jul''12'!G8)</f>
        <v>95.04</v>
      </c>
      <c r="F8" s="36">
        <f>IF($F5*'Tariff Jul''12'!H7/'Tariff Jul''12'!H8&gt;='Tariff Jul''12'!H11,('Tariff Jul''12'!H11*'Tariff Jul''12'!H15/100)*'Tariff Jul''12'!H8,($F5*'Tariff Jul''12'!H7/'Tariff Jul''12'!H8*'Tariff Jul''12'!H15/100)*'Tariff Jul''12'!H8)</f>
        <v>97.317000000000007</v>
      </c>
      <c r="G8" s="36">
        <f>IF($F5*'Tariff Jul''12'!I7/'Tariff Jul''12'!I8&gt;='Tariff Jul''12'!I11,('Tariff Jul''12'!I11*'Tariff Jul''12'!I15/100)*'Tariff Jul''12'!I8,($F5*'Tariff Jul''12'!I7/'Tariff Jul''12'!I8*'Tariff Jul''12'!I15/100)*'Tariff Jul''12'!I8)</f>
        <v>101.31000000000002</v>
      </c>
      <c r="H8" s="36">
        <f>IF($F5*'Tariff Jul''12'!J7/'Tariff Jul''12'!J8&gt;='Tariff Jul''12'!J11,('Tariff Jul''12'!J11*'Tariff Jul''12'!J15/100)*'Tariff Jul''12'!J8,($F5*'Tariff Jul''12'!J7/'Tariff Jul''12'!J8*'Tariff Jul''12'!J15/100)*'Tariff Jul''12'!J8)</f>
        <v>96.128999999999991</v>
      </c>
      <c r="I8" s="36">
        <f>IF($F5*'Tariff Jul''12'!K7/'Tariff Jul''12'!K8&gt;='Tariff Jul''12'!K11,('Tariff Jul''12'!K11*'Tariff Jul''12'!K15/100)*'Tariff Jul''12'!K8,($F5*'Tariff Jul''12'!K7/'Tariff Jul''12'!K8*'Tariff Jul''12'!K15/100)*'Tariff Jul''12'!K8)</f>
        <v>98.461439999999996</v>
      </c>
      <c r="J8" s="32"/>
      <c r="K8" s="28"/>
    </row>
    <row r="9" spans="1:11" x14ac:dyDescent="0.15">
      <c r="A9" s="28" t="s">
        <v>317</v>
      </c>
      <c r="B9" s="32"/>
      <c r="C9" s="36">
        <f>IF($F5*'Tariff Jul''12'!E7/'Tariff Jul''12'!E8&lt;'Tariff Jul''12'!E11,0,IF($F5*'Tariff Jul''12'!E7/'Tariff Jul''12'!E8&lt;='Tariff Jul''12'!E12,($F5*'Tariff Jul''12'!E7/'Tariff Jul''12'!E8-'Tariff Jul''12'!E11)*('Tariff Jul''12'!E16/100)*'Tariff Jul''12'!E8,('Tariff Jul''12'!E12-'Tariff Jul''12'!E11)*('Tariff Jul''12'!E16/100)*'Tariff Jul''12'!E8))</f>
        <v>257.642</v>
      </c>
      <c r="D9" s="36">
        <f>IF($F5*'Tariff Jul''12'!F7/'Tariff Jul''12'!F8&lt;'Tariff Jul''12'!F11,0,IF($F5*'Tariff Jul''12'!F7/'Tariff Jul''12'!F8&lt;='Tariff Jul''12'!F12,($F5*'Tariff Jul''12'!F7/'Tariff Jul''12'!F8-'Tariff Jul''12'!F11)*('Tariff Jul''12'!F16/100)*'Tariff Jul''12'!F8,('Tariff Jul''12'!F12-'Tariff Jul''12'!F11)*('Tariff Jul''12'!F16/100)*'Tariff Jul''12'!F8))</f>
        <v>268.34500000000003</v>
      </c>
      <c r="E9" s="36">
        <f>IF($F5*'Tariff Jul''12'!G7/'Tariff Jul''12'!G8&lt;'Tariff Jul''12'!G11,0,IF($F5*'Tariff Jul''12'!G7/'Tariff Jul''12'!G8&lt;='Tariff Jul''12'!G12,($F5*'Tariff Jul''12'!G7/'Tariff Jul''12'!G8-'Tariff Jul''12'!G11)*('Tariff Jul''12'!G16/100)*'Tariff Jul''12'!G8,('Tariff Jul''12'!G12-'Tariff Jul''12'!G11)*('Tariff Jul''12'!G16/100)*'Tariff Jul''12'!G8))</f>
        <v>246.40000000000003</v>
      </c>
      <c r="F9" s="36">
        <f>IF($F5*'Tariff Jul''12'!H7/'Tariff Jul''12'!H8&lt;'Tariff Jul''12'!H11,0,IF($F5*'Tariff Jul''12'!H7/'Tariff Jul''12'!H8&lt;='Tariff Jul''12'!H12,($F5*'Tariff Jul''12'!H7/'Tariff Jul''12'!H8-'Tariff Jul''12'!H11)*('Tariff Jul''12'!H16/100)*'Tariff Jul''12'!H8,('Tariff Jul''12'!H12-'Tariff Jul''12'!H11)*('Tariff Jul''12'!H16/100)*'Tariff Jul''12'!H8))</f>
        <v>231.15399999999997</v>
      </c>
      <c r="G9" s="36">
        <f>IF($F5*'Tariff Jul''12'!I7/'Tariff Jul''12'!I8&lt;'Tariff Jul''12'!I11,0,IF($F5*'Tariff Jul''12'!I7/'Tariff Jul''12'!I8&lt;='Tariff Jul''12'!I12,($F5*'Tariff Jul''12'!I7/'Tariff Jul''12'!I8-'Tariff Jul''12'!I11)*('Tariff Jul''12'!I16/100)*'Tariff Jul''12'!I8,('Tariff Jul''12'!I12-'Tariff Jul''12'!I11)*('Tariff Jul''12'!I16/100)*'Tariff Jul''12'!I8))</f>
        <v>257.642</v>
      </c>
      <c r="H9" s="36">
        <f>IF($F5*'Tariff Jul''12'!J7/'Tariff Jul''12'!J8&lt;'Tariff Jul''12'!J11,0,IF($F5*'Tariff Jul''12'!J7/'Tariff Jul''12'!J8&lt;='Tariff Jul''12'!J12,($F5*'Tariff Jul''12'!J7/'Tariff Jul''12'!J8-'Tariff Jul''12'!J11)*('Tariff Jul''12'!J16/100)*'Tariff Jul''12'!J8,('Tariff Jul''12'!J12-'Tariff Jul''12'!J11)*('Tariff Jul''12'!J16/100)*'Tariff Jul''12'!J8))</f>
        <v>228.53600000000003</v>
      </c>
      <c r="I9" s="28">
        <v>0</v>
      </c>
      <c r="J9" s="32"/>
      <c r="K9" s="28"/>
    </row>
    <row r="10" spans="1:11" x14ac:dyDescent="0.15">
      <c r="A10" s="28" t="s">
        <v>250</v>
      </c>
      <c r="B10" s="32"/>
      <c r="C10" s="36">
        <f>IF($F5*'Tariff Jul''12'!E7/'Tariff Jul''12'!E8&lt;'Tariff Jul''12'!E12,0,IF($F5*'Tariff Jul''12'!E7/'Tariff Jul''12'!E8&lt;='Tariff Jul''12'!E13,($F5*'Tariff Jul''12'!E7/'Tariff Jul''12'!E8-'Tariff Jul''12'!E12)*('Tariff Jul''12'!E17/100)*'Tariff Jul''12'!E8,('Tariff Jul''12'!E13-'Tariff Jul''12'!E12)*('Tariff Jul''12'!E17/100)*'Tariff Jul''12'!E8))</f>
        <v>207.73499999999999</v>
      </c>
      <c r="D10" s="36">
        <f>IF($F5*'Tariff Jul''12'!F7/'Tariff Jul''12'!F8&lt;'Tariff Jul''12'!F12,0,IF($F5*'Tariff Jul''12'!F7/'Tariff Jul''12'!F8&lt;='Tariff Jul''12'!F13,($F5*'Tariff Jul''12'!F7/'Tariff Jul''12'!F8-'Tariff Jul''12'!F12)*('Tariff Jul''12'!F17/100)*'Tariff Jul''12'!F8,('Tariff Jul''12'!F13-'Tariff Jul''12'!F12)*('Tariff Jul''12'!F17/100)*'Tariff Jul''12'!F8))</f>
        <v>216.26000000000002</v>
      </c>
      <c r="E10" s="36">
        <f>IF($F5*'Tariff Jul''12'!G7/'Tariff Jul''12'!G8&lt;'Tariff Jul''12'!G12,0,IF($F5*'Tariff Jul''12'!G7/'Tariff Jul''12'!G8&lt;='Tariff Jul''12'!G13,($F5*'Tariff Jul''12'!G7/'Tariff Jul''12'!G8-'Tariff Jul''12'!G12)*('Tariff Jul''12'!G17/100)*'Tariff Jul''12'!G8,('Tariff Jul''12'!G13-'Tariff Jul''12'!G12)*('Tariff Jul''12'!G17/100)*'Tariff Jul''12'!G8))</f>
        <v>0</v>
      </c>
      <c r="F10" s="36">
        <f>IF($F5*'Tariff Jul''12'!H7/'Tariff Jul''12'!H8&lt;'Tariff Jul''12'!H12,0,IF($F5*'Tariff Jul''12'!H7/'Tariff Jul''12'!H8&lt;='Tariff Jul''12'!H13,($F5*'Tariff Jul''12'!H7/'Tariff Jul''12'!H8-'Tariff Jul''12'!H12)*('Tariff Jul''12'!H17/100)*'Tariff Jul''12'!H8,('Tariff Jul''12'!H13-'Tariff Jul''12'!H12)*('Tariff Jul''12'!H17/100)*'Tariff Jul''12'!H8))</f>
        <v>191.4</v>
      </c>
      <c r="G10" s="36">
        <f>IF($F5*'Tariff Jul''12'!I7/'Tariff Jul''12'!I8&lt;'Tariff Jul''12'!I12,0,IF($F5*'Tariff Jul''12'!I7/'Tariff Jul''12'!I8&lt;='Tariff Jul''12'!I13,($F5*'Tariff Jul''12'!I7/'Tariff Jul''12'!I8-'Tariff Jul''12'!I12)*('Tariff Jul''12'!I17/100)*'Tariff Jul''12'!I8,('Tariff Jul''12'!I13-'Tariff Jul''12'!I12)*('Tariff Jul''12'!I17/100)*'Tariff Jul''12'!I8))</f>
        <v>207.73499999999999</v>
      </c>
      <c r="H10" s="36">
        <f>IF($F5*'Tariff Jul''12'!J7/'Tariff Jul''12'!J8&lt;'Tariff Jul''12'!J12,0,IF($F5*'Tariff Jul''12'!J7/'Tariff Jul''12'!J8&lt;='Tariff Jul''12'!J13,($F5*'Tariff Jul''12'!J7/'Tariff Jul''12'!J8-'Tariff Jul''12'!J12)*('Tariff Jul''12'!J17/100)*'Tariff Jul''12'!J8,('Tariff Jul''12'!J13-'Tariff Jul''12'!J12)*('Tariff Jul''12'!J17/100)*'Tariff Jul''12'!J8))</f>
        <v>186.83499999999998</v>
      </c>
      <c r="I10" s="28">
        <v>0</v>
      </c>
      <c r="J10" s="32"/>
      <c r="K10" s="28"/>
    </row>
    <row r="11" spans="1:11" x14ac:dyDescent="0.15">
      <c r="A11" s="28" t="s">
        <v>251</v>
      </c>
      <c r="B11" s="32"/>
      <c r="C11" s="36">
        <f>IF($F5*'Tariff Jul''12'!E7/'Tariff Jul''12'!E8&lt;'Tariff Jul''12'!E13,0,IF($F5*'Tariff Jul''12'!E7/'Tariff Jul''12'!E8&lt;='Tariff Jul''12'!E14,($F5*'Tariff Jul''12'!E7/'Tariff Jul''12'!E8-'Tariff Jul''12'!E13)*('Tariff Jul''12'!E18/100)*'Tariff Jul''12'!E8,('Tariff Jul''12'!E14-'Tariff Jul''12'!E13)*('Tariff Jul''12'!E18/100)*'Tariff Jul''12'!E8))</f>
        <v>0</v>
      </c>
      <c r="D11" s="36">
        <f>IF($F5*'Tariff Jul''12'!F7/'Tariff Jul''12'!F8&lt;'Tariff Jul''12'!F13,0,IF($F5*'Tariff Jul''12'!F7/'Tariff Jul''12'!F8&lt;='Tariff Jul''12'!F14,($F5*'Tariff Jul''12'!F7/'Tariff Jul''12'!F8-'Tariff Jul''12'!F13)*('Tariff Jul''12'!F18/100)*'Tariff Jul''12'!F8,('Tariff Jul''12'!F14-'Tariff Jul''12'!F13)*('Tariff Jul''12'!F18/100)*'Tariff Jul''12'!F8))</f>
        <v>0</v>
      </c>
      <c r="E11" s="36">
        <f>IF($F5*'Tariff Jul''12'!G7/'Tariff Jul''12'!G8&lt;'Tariff Jul''12'!G13,0,IF($F5*'Tariff Jul''12'!G7/'Tariff Jul''12'!G8&lt;='Tariff Jul''12'!G14,($F5*'Tariff Jul''12'!G7/'Tariff Jul''12'!G8-'Tariff Jul''12'!G13)*('Tariff Jul''12'!G18/100)*'Tariff Jul''12'!G8,('Tariff Jul''12'!G14-'Tariff Jul''12'!G13)*('Tariff Jul''12'!G18/100)*'Tariff Jul''12'!G8))</f>
        <v>0</v>
      </c>
      <c r="F11" s="36">
        <f>IF($F5*'Tariff Jul''12'!H7/'Tariff Jul''12'!H8&lt;'Tariff Jul''12'!H13,0,IF($F5*'Tariff Jul''12'!H7/'Tariff Jul''12'!H8&lt;='Tariff Jul''12'!H14,($F5*'Tariff Jul''12'!H7/'Tariff Jul''12'!H8-'Tariff Jul''12'!H13)*('Tariff Jul''12'!H18/100)*'Tariff Jul''12'!H8,('Tariff Jul''12'!H14-'Tariff Jul''12'!H13)*('Tariff Jul''12'!H18/100)*'Tariff Jul''12'!H8))</f>
        <v>0</v>
      </c>
      <c r="G11" s="36">
        <f>IF($F5*'Tariff Jul''12'!I7/'Tariff Jul''12'!I8&lt;'Tariff Jul''12'!I13,0,IF($F5*'Tariff Jul''12'!I7/'Tariff Jul''12'!I8&lt;='Tariff Jul''12'!I14,($F5*'Tariff Jul''12'!I7/'Tariff Jul''12'!I8-'Tariff Jul''12'!I13)*('Tariff Jul''12'!I18/100)*'Tariff Jul''12'!I8,('Tariff Jul''12'!I14-'Tariff Jul''12'!I13)*('Tariff Jul''12'!I18/100)*'Tariff Jul''12'!I8))</f>
        <v>0</v>
      </c>
      <c r="H11" s="36">
        <f>IF($F5*'Tariff Jul''12'!J7/'Tariff Jul''12'!J8&lt;'Tariff Jul''12'!J13,0,IF($F5*'Tariff Jul''12'!J7/'Tariff Jul''12'!J8&lt;='Tariff Jul''12'!J14,($F5*'Tariff Jul''12'!J7/'Tariff Jul''12'!J8-'Tariff Jul''12'!J13)*('Tariff Jul''12'!J18/100)*'Tariff Jul''12'!J8,('Tariff Jul''12'!J14-'Tariff Jul''12'!J13)*('Tariff Jul''12'!J18/100)*'Tariff Jul''12'!J8))</f>
        <v>0</v>
      </c>
      <c r="I11" s="28">
        <v>0</v>
      </c>
      <c r="J11" s="32"/>
      <c r="K11" s="28"/>
    </row>
    <row r="12" spans="1:11" x14ac:dyDescent="0.15">
      <c r="A12" s="28" t="s">
        <v>104</v>
      </c>
      <c r="B12" s="32"/>
      <c r="C12" s="36">
        <f>IF(($F5*'Tariff Jul''12'!E7/'Tariff Jul''12'!E8&gt;'Tariff Jul''12'!E14),($F5*'Tariff Jul''12'!E7/'Tariff Jul''12'!E8-'Tariff Jul''12'!E14)*'Tariff Jul''12'!E19/100*'Tariff Jul''12'!E8,0)</f>
        <v>0</v>
      </c>
      <c r="D12" s="36">
        <f>IF(($F5*'Tariff Jul''12'!F7/'Tariff Jul''12'!F8&gt;'Tariff Jul''12'!F14),($F5*'Tariff Jul''12'!F7/'Tariff Jul''12'!F8-'Tariff Jul''12'!F14)*'Tariff Jul''12'!F19/100*'Tariff Jul''12'!F8,0)</f>
        <v>0</v>
      </c>
      <c r="E12" s="36">
        <f>IF(($F5*'Tariff Jul''12'!G7/'Tariff Jul''12'!G8&gt;'Tariff Jul''12'!G14),($F5*'Tariff Jul''12'!G7/'Tariff Jul''12'!G8-'Tariff Jul''12'!G14)*'Tariff Jul''12'!G19/100*'Tariff Jul''12'!G8,0)</f>
        <v>204.05</v>
      </c>
      <c r="F12" s="36">
        <f>IF(($F5*'Tariff Jul''12'!H7/'Tariff Jul''12'!H8&gt;'Tariff Jul''12'!H14),($F5*'Tariff Jul''12'!H7/'Tariff Jul''12'!H8-'Tariff Jul''12'!H14)*'Tariff Jul''12'!H19/100*'Tariff Jul''12'!H8,0)</f>
        <v>0</v>
      </c>
      <c r="G12" s="36">
        <f>IF(($F5*'Tariff Jul''12'!I7/'Tariff Jul''12'!I8&gt;'Tariff Jul''12'!I14),($F5*'Tariff Jul''12'!I7/'Tariff Jul''12'!I8-'Tariff Jul''12'!I14)*'Tariff Jul''12'!I19/100*'Tariff Jul''12'!I8,0)</f>
        <v>0</v>
      </c>
      <c r="H12" s="36">
        <f>IF(($F5*'Tariff Jul''12'!J7/'Tariff Jul''12'!J8&gt;'Tariff Jul''12'!J14),($F5*'Tariff Jul''12'!J7/'Tariff Jul''12'!J8-'Tariff Jul''12'!J14)*'Tariff Jul''12'!J19/100*'Tariff Jul''12'!J8,0)</f>
        <v>0</v>
      </c>
      <c r="I12" s="36">
        <f>IF(($F5*'Tariff Jul''12'!K7/'Tariff Jul''12'!K8&gt;'Tariff Jul''12'!K14),($F5*'Tariff Jul''12'!K7/'Tariff Jul''12'!K8-'Tariff Jul''12'!K14)*'Tariff Jul''12'!K19/100*'Tariff Jul''12'!K8,0)</f>
        <v>392.51520000000005</v>
      </c>
      <c r="J12" s="32"/>
      <c r="K12" s="28"/>
    </row>
    <row r="13" spans="1:11" x14ac:dyDescent="0.15">
      <c r="A13" s="28" t="s">
        <v>231</v>
      </c>
      <c r="B13" s="32"/>
      <c r="C13" s="36">
        <f>IF($F5*'Tariff Jul''12'!E9/'Tariff Jul''12'!E10&gt;='Tariff Jul''12'!E11,('Tariff Jul''12'!E11*'Tariff Jul''12'!E20/100)*'Tariff Jul''12'!E10,($F5*'Tariff Jul''12'!E9/'Tariff Jul''12'!E10*'Tariff Jul''12'!E20/100)*'Tariff Jul''12'!E10)</f>
        <v>288.38699999999994</v>
      </c>
      <c r="D13" s="36">
        <f>IF($F5*'Tariff Jul''12'!F9/'Tariff Jul''12'!F10&gt;='Tariff Jul''12'!F11,('Tariff Jul''12'!F11*'Tariff Jul''12'!F20/100)*'Tariff Jul''12'!F10,($F5*'Tariff Jul''12'!F9/'Tariff Jul''12'!F10*'Tariff Jul''12'!F20/100)*'Tariff Jul''12'!F10)</f>
        <v>300.267</v>
      </c>
      <c r="E13" s="36">
        <f>IF($F5*'Tariff Jul''12'!G9/'Tariff Jul''12'!G10&gt;='Tariff Jul''12'!G11,('Tariff Jul''12'!G11*'Tariff Jul''12'!G20/100)*'Tariff Jul''12'!G10,($F5*'Tariff Jul''12'!G9/'Tariff Jul''12'!G10*'Tariff Jul''12'!G20/100)*'Tariff Jul''12'!G10)</f>
        <v>277.20000000000005</v>
      </c>
      <c r="F13" s="36">
        <f>IF($F5*'Tariff Jul''12'!H9/'Tariff Jul''12'!H10&gt;='Tariff Jul''12'!H11,('Tariff Jul''12'!H11*'Tariff Jul''12'!H20/100)*'Tariff Jul''12'!H10,($F5*'Tariff Jul''12'!H9/'Tariff Jul''12'!H10*'Tariff Jul''12'!H20/100)*'Tariff Jul''12'!H10)</f>
        <v>291.95100000000002</v>
      </c>
      <c r="G13" s="36">
        <f>IF($F5*'Tariff Jul''12'!I9/'Tariff Jul''12'!I10&gt;='Tariff Jul''12'!I11,('Tariff Jul''12'!I11*'Tariff Jul''12'!I20/100)*'Tariff Jul''12'!I10,($F5*'Tariff Jul''12'!I9/'Tariff Jul''12'!I10*'Tariff Jul''12'!I20/100)*'Tariff Jul''12'!I10)</f>
        <v>288.38699999999994</v>
      </c>
      <c r="H13" s="36">
        <f>IF($F5*'Tariff Jul''12'!J9/'Tariff Jul''12'!J10&gt;='Tariff Jul''12'!J11,('Tariff Jul''12'!J11*'Tariff Jul''12'!J20/100)*'Tariff Jul''12'!J10,($F5*'Tariff Jul''12'!J9/'Tariff Jul''12'!J10*'Tariff Jul''12'!J20/100)*'Tariff Jul''12'!J10)</f>
        <v>288.38699999999994</v>
      </c>
      <c r="I13" s="36">
        <f>IF($F5*'Tariff Jul''12'!K9/'Tariff Jul''12'!K10&gt;='Tariff Jul''12'!K11,('Tariff Jul''12'!K11*'Tariff Jul''12'!K20/100)*'Tariff Jul''12'!K10,($F5*'Tariff Jul''12'!K9/'Tariff Jul''12'!K10*'Tariff Jul''12'!K20/100)*'Tariff Jul''12'!K10)</f>
        <v>295.38432</v>
      </c>
      <c r="J13" s="32"/>
      <c r="K13" s="28"/>
    </row>
    <row r="14" spans="1:11" x14ac:dyDescent="0.15">
      <c r="A14" s="28" t="s">
        <v>530</v>
      </c>
      <c r="B14" s="32"/>
      <c r="C14" s="36">
        <f>IF($F5*'Tariff Jul''12'!E9/'Tariff Jul''12'!E10&lt;'Tariff Jul''12'!E11,0,IF($F5*'Tariff Jul''12'!E9/'Tariff Jul''12'!E10&lt;='Tariff Jul''12'!E12,($F5*'Tariff Jul''12'!E9/'Tariff Jul''12'!E10-'Tariff Jul''12'!E11)*('Tariff Jul''12'!E21/100)*'Tariff Jul''12'!E10,('Tariff Jul''12'!E12-'Tariff Jul''12'!E11)*('Tariff Jul''12'!E21/100)*'Tariff Jul''12'!E10))</f>
        <v>685.60800000000006</v>
      </c>
      <c r="D14" s="36">
        <f>IF($F5*'Tariff Jul''12'!F9/'Tariff Jul''12'!F10&lt;'Tariff Jul''12'!F11,0,IF($F5*'Tariff Jul''12'!F9/'Tariff Jul''12'!F10&lt;='Tariff Jul''12'!F12,($F5*'Tariff Jul''12'!F9/'Tariff Jul''12'!F10-'Tariff Jul''12'!F11)*('Tariff Jul''12'!F21/100)*'Tariff Jul''12'!F10,('Tariff Jul''12'!F12-'Tariff Jul''12'!F11)*('Tariff Jul''12'!F21/100)*'Tariff Jul''12'!F10))</f>
        <v>714.02099999999996</v>
      </c>
      <c r="E14" s="36">
        <f>IF($F5*'Tariff Jul''12'!G9/'Tariff Jul''12'!G10&lt;'Tariff Jul''12'!G11,0,IF($F5*'Tariff Jul''12'!G9/'Tariff Jul''12'!G10&lt;='Tariff Jul''12'!G12,($F5*'Tariff Jul''12'!G9/'Tariff Jul''12'!G10-'Tariff Jul''12'!G11)*('Tariff Jul''12'!G21/100)*'Tariff Jul''12'!G10,('Tariff Jul''12'!G12-'Tariff Jul''12'!G11)*('Tariff Jul''12'!G21/100)*'Tariff Jul''12'!G10))</f>
        <v>686.06999999999994</v>
      </c>
      <c r="F14" s="36">
        <f>IF($F5*'Tariff Jul''12'!H9/'Tariff Jul''12'!H10&lt;'Tariff Jul''12'!H11,0,IF($F5*'Tariff Jul''12'!H9/'Tariff Jul''12'!H10&lt;='Tariff Jul''12'!H12,($F5*'Tariff Jul''12'!H9/'Tariff Jul''12'!H10-'Tariff Jul''12'!H11)*('Tariff Jul''12'!H21/100)*'Tariff Jul''12'!H10,('Tariff Jul''12'!H12-'Tariff Jul''12'!H11)*('Tariff Jul''12'!H21/100)*'Tariff Jul''12'!H10))</f>
        <v>693.46199999999988</v>
      </c>
      <c r="G14" s="36">
        <f>IF($F5*'Tariff Jul''12'!I9/'Tariff Jul''12'!I10&lt;'Tariff Jul''12'!I11,0,IF($F5*'Tariff Jul''12'!I9/'Tariff Jul''12'!I10&lt;='Tariff Jul''12'!I12,($F5*'Tariff Jul''12'!I9/'Tariff Jul''12'!I10-'Tariff Jul''12'!I11)*('Tariff Jul''12'!I21/100)*'Tariff Jul''12'!I10,('Tariff Jul''12'!I12-'Tariff Jul''12'!I11)*('Tariff Jul''12'!I21/100)*'Tariff Jul''12'!I10))</f>
        <v>685.60800000000006</v>
      </c>
      <c r="H14" s="36">
        <f>IF($F5*'Tariff Jul''12'!J9/'Tariff Jul''12'!J10&lt;'Tariff Jul''12'!J11,0,IF($F5*'Tariff Jul''12'!J9/'Tariff Jul''12'!J10&lt;='Tariff Jul''12'!J12,($F5*'Tariff Jul''12'!J9/'Tariff Jul''12'!J10-'Tariff Jul''12'!J11)*('Tariff Jul''12'!J21/100)*'Tariff Jul''12'!J10,('Tariff Jul''12'!J12-'Tariff Jul''12'!J11)*('Tariff Jul''12'!J21/100)*'Tariff Jul''12'!J10))</f>
        <v>685.60800000000006</v>
      </c>
      <c r="I14" s="28">
        <v>0</v>
      </c>
      <c r="J14" s="32"/>
      <c r="K14" s="28"/>
    </row>
    <row r="15" spans="1:11" x14ac:dyDescent="0.15">
      <c r="A15" s="28" t="s">
        <v>531</v>
      </c>
      <c r="B15" s="32"/>
      <c r="C15" s="36">
        <f>IF($F5*'Tariff Jul''12'!E9/'Tariff Jul''12'!E10&lt;'Tariff Jul''12'!E12,0,IF($F5*'Tariff Jul''12'!E9/'Tariff Jul''12'!E10&lt;='Tariff Jul''12'!E13,($F5*'Tariff Jul''12'!E9/'Tariff Jul''12'!E10-'Tariff Jul''12'!E12)*('Tariff Jul''12'!E22/100)*'Tariff Jul''12'!E10,('Tariff Jul''12'!E13-'Tariff Jul''12'!E12)*('Tariff Jul''12'!E22/100)*'Tariff Jul''12'!E10))</f>
        <v>560.46</v>
      </c>
      <c r="D15" s="36">
        <f>IF($F5*'Tariff Jul''12'!F9/'Tariff Jul''12'!F10&lt;'Tariff Jul''12'!F12,0,IF($F5*'Tariff Jul''12'!F9/'Tariff Jul''12'!F10&lt;='Tariff Jul''12'!F13,($F5*'Tariff Jul''12'!F9/'Tariff Jul''12'!F10-'Tariff Jul''12'!F12)*('Tariff Jul''12'!F22/100)*'Tariff Jul''12'!F10,('Tariff Jul''12'!F13-'Tariff Jul''12'!F12)*('Tariff Jul''12'!F22/100)*'Tariff Jul''12'!F10))</f>
        <v>583.44000000000005</v>
      </c>
      <c r="E15" s="36">
        <f>IF($F5*'Tariff Jul''12'!G9/'Tariff Jul''12'!G10&lt;'Tariff Jul''12'!G12,0,IF($F5*'Tariff Jul''12'!G9/'Tariff Jul''12'!G10&lt;='Tariff Jul''12'!G13,($F5*'Tariff Jul''12'!G9/'Tariff Jul''12'!G10-'Tariff Jul''12'!G12)*('Tariff Jul''12'!G22/100)*'Tariff Jul''12'!G10,('Tariff Jul''12'!G13-'Tariff Jul''12'!G12)*('Tariff Jul''12'!G22/100)*'Tariff Jul''12'!G10))</f>
        <v>0</v>
      </c>
      <c r="F15" s="36">
        <f>IF($F5*'Tariff Jul''12'!H9/'Tariff Jul''12'!H10&lt;'Tariff Jul''12'!H12,0,IF($F5*'Tariff Jul''12'!H9/'Tariff Jul''12'!H10&lt;='Tariff Jul''12'!H13,($F5*'Tariff Jul''12'!H9/'Tariff Jul''12'!H10-'Tariff Jul''12'!H12)*('Tariff Jul''12'!H22/100)*'Tariff Jul''12'!H10,('Tariff Jul''12'!H13-'Tariff Jul''12'!H12)*('Tariff Jul''12'!H22/100)*'Tariff Jul''12'!H10))</f>
        <v>574.20000000000005</v>
      </c>
      <c r="G15" s="36">
        <f>IF($F5*'Tariff Jul''12'!I9/'Tariff Jul''12'!I10&lt;'Tariff Jul''12'!I12,0,IF($F5*'Tariff Jul''12'!I9/'Tariff Jul''12'!I10&lt;='Tariff Jul''12'!I13,($F5*'Tariff Jul''12'!I9/'Tariff Jul''12'!I10-'Tariff Jul''12'!I12)*('Tariff Jul''12'!I22/100)*'Tariff Jul''12'!I10,('Tariff Jul''12'!I13-'Tariff Jul''12'!I12)*('Tariff Jul''12'!I22/100)*'Tariff Jul''12'!I10))</f>
        <v>560.50499999999988</v>
      </c>
      <c r="H15" s="36">
        <f>IF($F5*'Tariff Jul''12'!J9/'Tariff Jul''12'!J10&lt;'Tariff Jul''12'!J12,0,IF($F5*'Tariff Jul''12'!J9/'Tariff Jul''12'!J10&lt;='Tariff Jul''12'!J13,($F5*'Tariff Jul''12'!J9/'Tariff Jul''12'!J10-'Tariff Jul''12'!J12)*('Tariff Jul''12'!J22/100)*'Tariff Jul''12'!J10,('Tariff Jul''12'!J13-'Tariff Jul''12'!J12)*('Tariff Jul''12'!J22/100)*'Tariff Jul''12'!J10))</f>
        <v>560.50499999999988</v>
      </c>
      <c r="I15" s="28">
        <v>0</v>
      </c>
      <c r="J15" s="32"/>
      <c r="K15" s="28"/>
    </row>
    <row r="16" spans="1:11" x14ac:dyDescent="0.15">
      <c r="A16" s="28" t="s">
        <v>100</v>
      </c>
      <c r="B16" s="32"/>
      <c r="C16" s="36">
        <f>IF($F5*'Tariff Jul''12'!E9/'Tariff Jul''12'!E10&lt;'Tariff Jul''12'!E13,0,IF($F5*'Tariff Jul''12'!E9/'Tariff Jul''12'!E10&lt;='Tariff Jul''12'!E14,($F5*'Tariff Jul''12'!E9/'Tariff Jul''12'!E10-'Tariff Jul''12'!E13)*('Tariff Jul''12'!E23/100)*'Tariff Jul''12'!E10,('Tariff Jul''12'!E14-'Tariff Jul''12'!E13)*('Tariff Jul''12'!E23/100)*'Tariff Jul''12'!E10))</f>
        <v>0</v>
      </c>
      <c r="D16" s="36">
        <f>IF($F5*'Tariff Jul''12'!F9/'Tariff Jul''12'!F10&lt;'Tariff Jul''12'!F13,0,IF($F5*'Tariff Jul''12'!F9/'Tariff Jul''12'!F10&lt;='Tariff Jul''12'!F14,($F5*'Tariff Jul''12'!F9/'Tariff Jul''12'!F10-'Tariff Jul''12'!F13)*('Tariff Jul''12'!F23/100)*'Tariff Jul''12'!F10,('Tariff Jul''12'!F14-'Tariff Jul''12'!F13)*('Tariff Jul''12'!F23/100)*'Tariff Jul''12'!F10))</f>
        <v>0</v>
      </c>
      <c r="E16" s="36">
        <f>IF($F5*'Tariff Jul''12'!G9/'Tariff Jul''12'!G10&lt;'Tariff Jul''12'!G13,0,IF($F5*'Tariff Jul''12'!G9/'Tariff Jul''12'!G10&lt;='Tariff Jul''12'!G14,($F5*'Tariff Jul''12'!G9/'Tariff Jul''12'!G10-'Tariff Jul''12'!G13)*('Tariff Jul''12'!G23/100)*'Tariff Jul''12'!G10,('Tariff Jul''12'!G14-'Tariff Jul''12'!G13)*('Tariff Jul''12'!G23/100)*'Tariff Jul''12'!G10))</f>
        <v>0</v>
      </c>
      <c r="F16" s="36">
        <f>IF($F5*'Tariff Jul''12'!H9/'Tariff Jul''12'!H10&lt;'Tariff Jul''12'!H13,0,IF($F5*'Tariff Jul''12'!H9/'Tariff Jul''12'!H10&lt;='Tariff Jul''12'!H14,($F5*'Tariff Jul''12'!H9/'Tariff Jul''12'!H10-'Tariff Jul''12'!H13)*('Tariff Jul''12'!H23/100)*'Tariff Jul''12'!H10,('Tariff Jul''12'!H14-'Tariff Jul''12'!H13)*('Tariff Jul''12'!H23/100)*'Tariff Jul''12'!H10))</f>
        <v>0</v>
      </c>
      <c r="G16" s="36">
        <f>IF($F5*'Tariff Jul''12'!I9/'Tariff Jul''12'!I10&lt;'Tariff Jul''12'!I13,0,IF($F5*'Tariff Jul''12'!I9/'Tariff Jul''12'!I10&lt;='Tariff Jul''12'!I14,($F5*'Tariff Jul''12'!I9/'Tariff Jul''12'!I10-'Tariff Jul''12'!I13)*('Tariff Jul''12'!I23/100)*'Tariff Jul''12'!I10,('Tariff Jul''12'!I14-'Tariff Jul''12'!I13)*('Tariff Jul''12'!I23/100)*'Tariff Jul''12'!I10))</f>
        <v>0</v>
      </c>
      <c r="H16" s="36">
        <f>IF($F5*'Tariff Jul''12'!J9/'Tariff Jul''12'!J10&lt;'Tariff Jul''12'!J13,0,IF($F5*'Tariff Jul''12'!J9/'Tariff Jul''12'!J10&lt;='Tariff Jul''12'!J14,($F5*'Tariff Jul''12'!J9/'Tariff Jul''12'!J10-'Tariff Jul''12'!J13)*('Tariff Jul''12'!J23/100)*'Tariff Jul''12'!J10,('Tariff Jul''12'!J14-'Tariff Jul''12'!J13)*('Tariff Jul''12'!J23/100)*'Tariff Jul''12'!J10))</f>
        <v>0</v>
      </c>
      <c r="I16" s="28">
        <v>0</v>
      </c>
      <c r="J16" s="32"/>
      <c r="K16" s="28"/>
    </row>
    <row r="17" spans="1:11" x14ac:dyDescent="0.15">
      <c r="A17" s="28" t="s">
        <v>419</v>
      </c>
      <c r="B17" s="32"/>
      <c r="C17" s="36">
        <f>IF(($F5*'Tariff Jul''12'!E9/'Tariff Jul''12'!E10&gt;'Tariff Jul''12'!E14),($F5*'Tariff Jul''12'!E9/'Tariff Jul''12'!E10-'Tariff Jul''12'!E14)*'Tariff Jul''12'!E24/100*'Tariff Jul''12'!E10,0)</f>
        <v>0</v>
      </c>
      <c r="D17" s="36">
        <f>IF(($F5*'Tariff Jul''12'!F9/'Tariff Jul''12'!F10&gt;'Tariff Jul''12'!F14),($F5*'Tariff Jul''12'!F9/'Tariff Jul''12'!F10-'Tariff Jul''12'!F14)*'Tariff Jul''12'!F24/100*'Tariff Jul''12'!F10,0)</f>
        <v>0</v>
      </c>
      <c r="E17" s="36">
        <f>IF(($F5*'Tariff Jul''12'!G9/'Tariff Jul''12'!G10&gt;'Tariff Jul''12'!G14),($F5*'Tariff Jul''12'!G9/'Tariff Jul''12'!G10-'Tariff Jul''12'!G14)*'Tariff Jul''12'!G24/100*'Tariff Jul''12'!G10,0)</f>
        <v>539.54999999999995</v>
      </c>
      <c r="F17" s="36">
        <f>IF(($F5*'Tariff Jul''12'!H9/'Tariff Jul''12'!H10&gt;'Tariff Jul''12'!H14),($F5*'Tariff Jul''12'!H9/'Tariff Jul''12'!H10-'Tariff Jul''12'!H14)*'Tariff Jul''12'!H24/100*'Tariff Jul''12'!H10,0)</f>
        <v>0</v>
      </c>
      <c r="G17" s="36">
        <f>IF(($F5*'Tariff Jul''12'!I9/'Tariff Jul''12'!I10&gt;'Tariff Jul''12'!I14),($F5*'Tariff Jul''12'!I9/'Tariff Jul''12'!I10-'Tariff Jul''12'!I14)*'Tariff Jul''12'!I24/100*'Tariff Jul''12'!I10,0)</f>
        <v>0</v>
      </c>
      <c r="H17" s="36">
        <f>IF(($F5*'Tariff Jul''12'!J9/'Tariff Jul''12'!J10&gt;'Tariff Jul''12'!J14),($F5*'Tariff Jul''12'!J9/'Tariff Jul''12'!J10-'Tariff Jul''12'!J14)*'Tariff Jul''12'!J24/100*'Tariff Jul''12'!J10,0)</f>
        <v>0</v>
      </c>
      <c r="I17" s="36">
        <f>IF(($F5*'Tariff Jul''12'!K9/'Tariff Jul''12'!K10&gt;'Tariff Jul''12'!K14),($F5*'Tariff Jul''12'!K9/'Tariff Jul''12'!K10-'Tariff Jul''12'!K14)*'Tariff Jul''12'!K24/100*'Tariff Jul''12'!K10,0)</f>
        <v>1177.5456000000001</v>
      </c>
      <c r="J17" s="32"/>
      <c r="K17" s="28"/>
    </row>
    <row r="18" spans="1:11" x14ac:dyDescent="0.15">
      <c r="A18" s="28" t="s">
        <v>420</v>
      </c>
      <c r="B18" s="32"/>
      <c r="C18" s="36">
        <f>'Tariff Jul''12'!E25*365/100</f>
        <v>263.5446</v>
      </c>
      <c r="D18" s="36">
        <f>'Tariff Jul''12'!F25*365/100</f>
        <v>274.3048</v>
      </c>
      <c r="E18" s="36">
        <f>'Tariff Jul''12'!G25*365/100</f>
        <v>245.71799999999999</v>
      </c>
      <c r="F18" s="36">
        <f>'Tariff Jul''12'!H25*365/100</f>
        <v>276.93644999999998</v>
      </c>
      <c r="G18" s="36">
        <f>'Tariff Jul''12'!I25*365/100</f>
        <v>263.5446</v>
      </c>
      <c r="H18" s="36">
        <f>'Tariff Jul''12'!J25*365/100</f>
        <v>263.5446</v>
      </c>
      <c r="I18" s="36">
        <f>'Tariff Jul''12'!K25*365/100</f>
        <v>270.24964999999997</v>
      </c>
      <c r="J18" s="37">
        <f>AVERAGE(C18:I18)</f>
        <v>265.40609999999998</v>
      </c>
      <c r="K18" s="28"/>
    </row>
    <row r="19" spans="1:11" x14ac:dyDescent="0.15">
      <c r="A19" s="38" t="s">
        <v>505</v>
      </c>
      <c r="B19" s="32"/>
      <c r="C19" s="39">
        <f t="shared" ref="C19:I19" si="0">SUM(C8:C18)</f>
        <v>2364.6866</v>
      </c>
      <c r="D19" s="39">
        <f t="shared" si="0"/>
        <v>2462.1718000000001</v>
      </c>
      <c r="E19" s="39">
        <f t="shared" si="0"/>
        <v>2294.0279999999998</v>
      </c>
      <c r="F19" s="39">
        <f t="shared" si="0"/>
        <v>2356.4204500000001</v>
      </c>
      <c r="G19" s="39">
        <f t="shared" si="0"/>
        <v>2364.7316000000001</v>
      </c>
      <c r="H19" s="39">
        <f t="shared" si="0"/>
        <v>2309.5445999999997</v>
      </c>
      <c r="I19" s="39">
        <f t="shared" si="0"/>
        <v>2234.1562100000001</v>
      </c>
      <c r="J19" s="39">
        <f>AVERAGE(C19:I19)</f>
        <v>2340.8198942857139</v>
      </c>
      <c r="K19" s="28"/>
    </row>
    <row r="20" spans="1:11" x14ac:dyDescent="0.15">
      <c r="A20" s="28"/>
      <c r="B20" s="32"/>
      <c r="C20" s="28"/>
      <c r="D20" s="28"/>
      <c r="E20" s="28"/>
      <c r="F20" s="28"/>
      <c r="G20" s="28"/>
      <c r="H20" s="28"/>
      <c r="I20" s="28"/>
      <c r="J20" s="28"/>
      <c r="K20" s="28"/>
    </row>
    <row r="21" spans="1:11" x14ac:dyDescent="0.15">
      <c r="A21" s="28"/>
      <c r="B21" s="32"/>
      <c r="C21" s="28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33" t="s">
        <v>506</v>
      </c>
      <c r="B22" s="32"/>
      <c r="C22" s="33" t="s">
        <v>362</v>
      </c>
      <c r="D22" s="28"/>
      <c r="E22" s="28"/>
      <c r="F22" s="10">
        <v>7500</v>
      </c>
      <c r="G22" s="28"/>
      <c r="H22" s="28"/>
      <c r="I22" s="28"/>
      <c r="J22" s="28"/>
      <c r="K22" s="28"/>
    </row>
    <row r="23" spans="1:11" x14ac:dyDescent="0.15">
      <c r="A23" s="33" t="s">
        <v>507</v>
      </c>
      <c r="B23" s="32"/>
      <c r="C23" s="33" t="s">
        <v>456</v>
      </c>
      <c r="D23" s="28"/>
      <c r="E23" s="28"/>
      <c r="F23" s="11">
        <v>0.8</v>
      </c>
      <c r="G23" s="28"/>
      <c r="H23" s="28"/>
      <c r="I23" s="28"/>
      <c r="J23" s="28"/>
      <c r="K23" s="28"/>
    </row>
    <row r="24" spans="1:11" x14ac:dyDescent="0.15">
      <c r="A24" s="28"/>
      <c r="B24" s="32"/>
      <c r="C24" s="33" t="s">
        <v>199</v>
      </c>
      <c r="D24" s="28"/>
      <c r="E24" s="28"/>
      <c r="F24" s="11">
        <v>0.2</v>
      </c>
      <c r="G24" s="28"/>
      <c r="H24" s="28"/>
      <c r="I24" s="28"/>
      <c r="J24" s="28"/>
      <c r="K24" s="28"/>
    </row>
    <row r="25" spans="1:11" x14ac:dyDescent="0.15">
      <c r="A25" s="28"/>
      <c r="B25" s="40"/>
      <c r="C25" s="28"/>
      <c r="D25" s="28"/>
      <c r="E25" s="28"/>
      <c r="F25" s="28"/>
      <c r="G25" s="28"/>
      <c r="H25" s="28"/>
      <c r="I25" s="28"/>
      <c r="J25" s="28"/>
      <c r="K25" s="28"/>
    </row>
    <row r="26" spans="1:11" x14ac:dyDescent="0.15">
      <c r="A26" s="34" t="s">
        <v>336</v>
      </c>
      <c r="B26" s="40"/>
      <c r="C26" s="9" t="s">
        <v>200</v>
      </c>
      <c r="D26" s="9" t="s">
        <v>436</v>
      </c>
      <c r="E26" s="9" t="s">
        <v>437</v>
      </c>
      <c r="F26" s="9" t="s">
        <v>438</v>
      </c>
      <c r="G26" s="9" t="s">
        <v>439</v>
      </c>
      <c r="H26" s="9" t="s">
        <v>440</v>
      </c>
      <c r="I26" s="9" t="s">
        <v>441</v>
      </c>
      <c r="J26" s="9" t="s">
        <v>594</v>
      </c>
      <c r="K26" s="28"/>
    </row>
    <row r="27" spans="1:11" x14ac:dyDescent="0.15">
      <c r="A27" s="28" t="s">
        <v>243</v>
      </c>
      <c r="B27" s="32"/>
      <c r="C27" s="36">
        <f>IF(($F22*$F23)*'Tariff Jul''12'!E29/'Tariff Jul''12'!E30&gt;='Tariff Jul''12'!E33,('Tariff Jul''12'!E33*'Tariff Jul''12'!E38/100)*'Tariff Jul''12'!E30,(($F22*$F23)*('Tariff Jul''12'!E29/'Tariff Jul''12'!E30)*('Tariff Jul''12'!E38/100)*'Tariff Jul''12'!E30))</f>
        <v>101.31000000000002</v>
      </c>
      <c r="D27" s="36">
        <f>IF(($F22*$F23)*'Tariff Jul''12'!F29/'Tariff Jul''12'!F30&gt;='Tariff Jul''12'!F33,('Tariff Jul''12'!F33*'Tariff Jul''12'!F38/100)*'Tariff Jul''12'!F30,(($F22*$F23)*('Tariff Jul''12'!F29/'Tariff Jul''12'!F30)*('Tariff Jul''12'!F38/100)*'Tariff Jul''12'!F30))</f>
        <v>105.53399999999999</v>
      </c>
      <c r="E27" s="36">
        <f>IF(($F22*$F23)*'Tariff Jul''12'!G29/'Tariff Jul''12'!G30&gt;='Tariff Jul''12'!G33,('Tariff Jul''12'!G33*'Tariff Jul''12'!G38/100)*'Tariff Jul''12'!G30,(($F22*$F23)*('Tariff Jul''12'!G29/'Tariff Jul''12'!G30)*('Tariff Jul''12'!G38/100)*'Tariff Jul''12'!G30))</f>
        <v>95.04</v>
      </c>
      <c r="F27" s="36">
        <f>IF(($F22*$F23)*'Tariff Jul''12'!H29/'Tariff Jul''12'!H30&gt;='Tariff Jul''12'!H33,('Tariff Jul''12'!H33*'Tariff Jul''12'!H38/100)*'Tariff Jul''12'!H30,(($F22*$F23)*('Tariff Jul''12'!H29/'Tariff Jul''12'!H30)*('Tariff Jul''12'!H38/100)*'Tariff Jul''12'!H30))</f>
        <v>97.317000000000007</v>
      </c>
      <c r="G27" s="36">
        <f>IF(($F22*$F23)*'Tariff Jul''12'!I29/'Tariff Jul''12'!I30&gt;='Tariff Jul''12'!I33,('Tariff Jul''12'!I33*'Tariff Jul''12'!I38/100)*'Tariff Jul''12'!I30,(($F22*$F23)*('Tariff Jul''12'!I29/'Tariff Jul''12'!I30)*('Tariff Jul''12'!I38/100)*'Tariff Jul''12'!I30))</f>
        <v>101.31000000000002</v>
      </c>
      <c r="H27" s="36">
        <f>IF(($F22*$F23)*'Tariff Jul''12'!J29/'Tariff Jul''12'!J30&gt;='Tariff Jul''12'!J33,('Tariff Jul''12'!J33*'Tariff Jul''12'!J38/100)*'Tariff Jul''12'!J30,(($F22*$F23)*('Tariff Jul''12'!J29/'Tariff Jul''12'!J30)*('Tariff Jul''12'!J38/100)*'Tariff Jul''12'!J30))</f>
        <v>96.128999999999991</v>
      </c>
      <c r="I27" s="36">
        <f>IF(($F22*$F23)*'Tariff Jul''12'!K29/'Tariff Jul''12'!K30&gt;='Tariff Jul''12'!K33,('Tariff Jul''12'!K33*'Tariff Jul''12'!K38/100)*'Tariff Jul''12'!K30,(($F22*$F23)*('Tariff Jul''12'!K29/'Tariff Jul''12'!K30)*('Tariff Jul''12'!K38/100)*'Tariff Jul''12'!K30))</f>
        <v>98.461439999999996</v>
      </c>
      <c r="J27" s="32"/>
      <c r="K27" s="28"/>
    </row>
    <row r="28" spans="1:11" x14ac:dyDescent="0.15">
      <c r="A28" s="28" t="s">
        <v>317</v>
      </c>
      <c r="B28" s="32"/>
      <c r="C28" s="36">
        <f>IF(($F22*$F23)*'Tariff Jul''12'!E29/'Tariff Jul''12'!E30&lt;'Tariff Jul''12'!E33,0,IF(($F22*$F23)*'Tariff Jul''12'!E29/'Tariff Jul''12'!E30&lt;='Tariff Jul''12'!E34,(($F22*$F23)*'Tariff Jul''12'!E29/'Tariff Jul''12'!E30-'Tariff Jul''12'!E33)*('Tariff Jul''12'!E39/100)*'Tariff Jul''12'!E30,('Tariff Jul''12'!E34-'Tariff Jul''12'!E33)*('Tariff Jul''12'!E39/100)*'Tariff Jul''12'!E30))</f>
        <v>257.642</v>
      </c>
      <c r="D28" s="36">
        <f>IF(($F22*$F23)*'Tariff Jul''12'!F29/'Tariff Jul''12'!F30&lt;'Tariff Jul''12'!F33,0,IF(($F22*$F23)*'Tariff Jul''12'!F29/'Tariff Jul''12'!F30&lt;='Tariff Jul''12'!F34,(($F22*$F23)*'Tariff Jul''12'!F29/'Tariff Jul''12'!F30-'Tariff Jul''12'!F33)*('Tariff Jul''12'!F39/100)*'Tariff Jul''12'!F30,('Tariff Jul''12'!F34-'Tariff Jul''12'!F33)*('Tariff Jul''12'!F39/100)*'Tariff Jul''12'!F30))</f>
        <v>268.34500000000003</v>
      </c>
      <c r="E28" s="36">
        <f>IF(($F22*$F23)*'Tariff Jul''12'!G29/'Tariff Jul''12'!G30&lt;'Tariff Jul''12'!G33,0,IF(($F22*$F23)*'Tariff Jul''12'!G29/'Tariff Jul''12'!G30&lt;='Tariff Jul''12'!G34,(($F22*$F23)*'Tariff Jul''12'!G29/'Tariff Jul''12'!G30-'Tariff Jul''12'!G33)*('Tariff Jul''12'!G39/100)*'Tariff Jul''12'!G30,('Tariff Jul''12'!G34-'Tariff Jul''12'!G33)*('Tariff Jul''12'!G39/100)*'Tariff Jul''12'!G30))</f>
        <v>246.40000000000003</v>
      </c>
      <c r="F28" s="36">
        <f>IF(($F22*$F23)*'Tariff Jul''12'!H29/'Tariff Jul''12'!H30&lt;'Tariff Jul''12'!H33,0,IF(($F22*$F23)*'Tariff Jul''12'!H29/'Tariff Jul''12'!H30&lt;='Tariff Jul''12'!H34,(($F22*$F23)*'Tariff Jul''12'!H29/'Tariff Jul''12'!H30-'Tariff Jul''12'!H33)*('Tariff Jul''12'!H39/100)*'Tariff Jul''12'!H30,('Tariff Jul''12'!H34-'Tariff Jul''12'!H33)*('Tariff Jul''12'!H39/100)*'Tariff Jul''12'!H30))</f>
        <v>231.15399999999997</v>
      </c>
      <c r="G28" s="36">
        <f>IF(($F22*$F23)*'Tariff Jul''12'!I29/'Tariff Jul''12'!I30&lt;'Tariff Jul''12'!I33,0,IF(($F22*$F23)*'Tariff Jul''12'!I29/'Tariff Jul''12'!I30&lt;='Tariff Jul''12'!I34,(($F22*$F23)*'Tariff Jul''12'!I29/'Tariff Jul''12'!I30-'Tariff Jul''12'!I33)*('Tariff Jul''12'!I39/100)*'Tariff Jul''12'!I30,('Tariff Jul''12'!I34-'Tariff Jul''12'!I33)*('Tariff Jul''12'!I39/100)*'Tariff Jul''12'!I30))</f>
        <v>257.642</v>
      </c>
      <c r="H28" s="36">
        <f>IF(($F22*$F23)*'Tariff Jul''12'!J29/'Tariff Jul''12'!J30&lt;'Tariff Jul''12'!J33,0,IF(($F22*$F23)*'Tariff Jul''12'!J29/'Tariff Jul''12'!J30&lt;='Tariff Jul''12'!J34,(($F22*$F23)*'Tariff Jul''12'!J29/'Tariff Jul''12'!J30-'Tariff Jul''12'!J33)*('Tariff Jul''12'!J39/100)*'Tariff Jul''12'!J30,('Tariff Jul''12'!J34-'Tariff Jul''12'!J33)*('Tariff Jul''12'!J39/100)*'Tariff Jul''12'!J30))</f>
        <v>228.53600000000003</v>
      </c>
      <c r="I28" s="36">
        <f>IF(($F22*$F23)*'Tariff Jul''12'!K29/'Tariff Jul''12'!K30&lt;'Tariff Jul''12'!K33,0,IF(($F22*$F23)*'Tariff Jul''12'!K29/'Tariff Jul''12'!K30&lt;='Tariff Jul''12'!K34,(($F22*$F23)*'Tariff Jul''12'!K29/'Tariff Jul''12'!K30-'Tariff Jul''12'!K33)*('Tariff Jul''12'!K39/100)*'Tariff Jul''12'!K30,('Tariff Jul''12'!K34-'Tariff Jul''12'!K33)*('Tariff Jul''12'!K39/100)*'Tariff Jul''12'!K30))</f>
        <v>0</v>
      </c>
      <c r="J28" s="32"/>
      <c r="K28" s="28"/>
    </row>
    <row r="29" spans="1:11" x14ac:dyDescent="0.15">
      <c r="A29" s="28" t="s">
        <v>250</v>
      </c>
      <c r="B29" s="32"/>
      <c r="C29" s="36">
        <f>IF(($F22*$F23)*'Tariff Jul''12'!E29/'Tariff Jul''12'!E30&lt;'Tariff Jul''12'!E34,0,IF(($F22*$F23)*'Tariff Jul''12'!E29/'Tariff Jul''12'!E30&lt;='Tariff Jul''12'!E35,(($F22*$F23)*'Tariff Jul''12'!E29/'Tariff Jul''12'!E30-'Tariff Jul''12'!E34)*('Tariff Jul''12'!E40/100)*'Tariff Jul''12'!E30,('Tariff Jul''12'!E35-'Tariff Jul''12'!E34)*('Tariff Jul''12'!E40/100)*'Tariff Jul''12'!E30))</f>
        <v>207.73499999999999</v>
      </c>
      <c r="D29" s="36">
        <f>IF(($F22*$F23)*'Tariff Jul''12'!F29/'Tariff Jul''12'!F30&lt;'Tariff Jul''12'!F34,0,IF(($F22*$F23)*'Tariff Jul''12'!F29/'Tariff Jul''12'!F30&lt;='Tariff Jul''12'!F35,(($F22*$F23)*'Tariff Jul''12'!F29/'Tariff Jul''12'!F30-'Tariff Jul''12'!F34)*('Tariff Jul''12'!F40/100)*'Tariff Jul''12'!F30,('Tariff Jul''12'!F35-'Tariff Jul''12'!F34)*('Tariff Jul''12'!F40/100)*'Tariff Jul''12'!F30))</f>
        <v>216.26000000000002</v>
      </c>
      <c r="E29" s="36">
        <f>IF(($F22*$F23)*'Tariff Jul''12'!G29/'Tariff Jul''12'!G30&lt;'Tariff Jul''12'!G34,0,IF(($F22*$F23)*'Tariff Jul''12'!G29/'Tariff Jul''12'!G30&lt;='Tariff Jul''12'!G35,(($F22*$F23)*'Tariff Jul''12'!G29/'Tariff Jul''12'!G30-'Tariff Jul''12'!G34)*('Tariff Jul''12'!G40/100)*'Tariff Jul''12'!G30,('Tariff Jul''12'!G35-'Tariff Jul''12'!G34)*('Tariff Jul''12'!G40/100)*'Tariff Jul''12'!G30))</f>
        <v>0</v>
      </c>
      <c r="F29" s="36">
        <f>IF(($F22*$F23)*'Tariff Jul''12'!H29/'Tariff Jul''12'!H30&lt;'Tariff Jul''12'!H34,0,IF(($F22*$F23)*'Tariff Jul''12'!H29/'Tariff Jul''12'!H30&lt;='Tariff Jul''12'!H35,(($F22*$F23)*'Tariff Jul''12'!H29/'Tariff Jul''12'!H30-'Tariff Jul''12'!H34)*('Tariff Jul''12'!H40/100)*'Tariff Jul''12'!H30,('Tariff Jul''12'!H35-'Tariff Jul''12'!H34)*('Tariff Jul''12'!H40/100)*'Tariff Jul''12'!H30))</f>
        <v>191.4</v>
      </c>
      <c r="G29" s="36">
        <f>IF(($F22*$F23)*'Tariff Jul''12'!I29/'Tariff Jul''12'!I30&lt;'Tariff Jul''12'!I34,0,IF(($F22*$F23)*'Tariff Jul''12'!I29/'Tariff Jul''12'!I30&lt;='Tariff Jul''12'!I35,(($F22*$F23)*'Tariff Jul''12'!I29/'Tariff Jul''12'!I30-'Tariff Jul''12'!I34)*('Tariff Jul''12'!I40/100)*'Tariff Jul''12'!I30,('Tariff Jul''12'!I35-'Tariff Jul''12'!I34)*('Tariff Jul''12'!I40/100)*'Tariff Jul''12'!I30))</f>
        <v>207.73499999999999</v>
      </c>
      <c r="H29" s="36">
        <f>IF(($F22*$F23)*'Tariff Jul''12'!J29/'Tariff Jul''12'!J30&lt;'Tariff Jul''12'!J34,0,IF(($F22*$F23)*'Tariff Jul''12'!J29/'Tariff Jul''12'!J30&lt;='Tariff Jul''12'!J35,(($F22*$F23)*'Tariff Jul''12'!J29/'Tariff Jul''12'!J30-'Tariff Jul''12'!J34)*('Tariff Jul''12'!J40/100)*'Tariff Jul''12'!J30,('Tariff Jul''12'!J35-'Tariff Jul''12'!J34)*('Tariff Jul''12'!J40/100)*'Tariff Jul''12'!J30))</f>
        <v>186.83499999999998</v>
      </c>
      <c r="I29" s="36">
        <f>IF(($F22*$F23)*'Tariff Jul''12'!K29/'Tariff Jul''12'!K30&lt;'Tariff Jul''12'!K34,0,IF(($F22*$F23)*'Tariff Jul''12'!K29/'Tariff Jul''12'!K30&lt;='Tariff Jul''12'!K35,(($F22*$F23)*'Tariff Jul''12'!K29/'Tariff Jul''12'!K30-'Tariff Jul''12'!K34)*('Tariff Jul''12'!K40/100)*'Tariff Jul''12'!K30,('Tariff Jul''12'!K35-'Tariff Jul''12'!K34)*('Tariff Jul''12'!K40/100)*'Tariff Jul''12'!K30))</f>
        <v>0</v>
      </c>
      <c r="J29" s="32"/>
      <c r="K29" s="28"/>
    </row>
    <row r="30" spans="1:11" x14ac:dyDescent="0.15">
      <c r="A30" s="28" t="s">
        <v>251</v>
      </c>
      <c r="B30" s="32"/>
      <c r="C30" s="36">
        <f>IF(($F22*$F23)*'Tariff Jul''12'!E29/'Tariff Jul''12'!E30&lt;'Tariff Jul''12'!E35,0,IF(($F22*$F23)*'Tariff Jul''12'!E29/'Tariff Jul''12'!E30&lt;='Tariff Jul''12'!E36,(($F22*$F23)*'Tariff Jul''12'!E29/'Tariff Jul''12'!E30-'Tariff Jul''12'!E35)*('Tariff Jul''12'!E41/100)*'Tariff Jul''12'!E30,('Tariff Jul''12'!E36-'Tariff Jul''12'!E35)*('Tariff Jul''12'!E41/100)*'Tariff Jul''12'!E30))</f>
        <v>0</v>
      </c>
      <c r="D30" s="36">
        <f>IF(($F22*$F23)*'Tariff Jul''12'!F29/'Tariff Jul''12'!F30&lt;'Tariff Jul''12'!F35,0,IF(($F22*$F23)*'Tariff Jul''12'!F29/'Tariff Jul''12'!F30&lt;='Tariff Jul''12'!F36,(($F22*$F23)*'Tariff Jul''12'!F29/'Tariff Jul''12'!F30-'Tariff Jul''12'!F35)*('Tariff Jul''12'!F41/100)*'Tariff Jul''12'!F30,('Tariff Jul''12'!F36-'Tariff Jul''12'!F35)*('Tariff Jul''12'!F41/100)*'Tariff Jul''12'!F30))</f>
        <v>0</v>
      </c>
      <c r="E30" s="36">
        <f>IF(($F22*$F23)*'Tariff Jul''12'!G29/'Tariff Jul''12'!G30&lt;'Tariff Jul''12'!G35,0,IF(($F22*$F23)*'Tariff Jul''12'!G29/'Tariff Jul''12'!G30&lt;='Tariff Jul''12'!G36,(($F22*$F23)*'Tariff Jul''12'!G29/'Tariff Jul''12'!G30-'Tariff Jul''12'!G35)*('Tariff Jul''12'!G41/100)*'Tariff Jul''12'!G30,('Tariff Jul''12'!G36-'Tariff Jul''12'!G35)*('Tariff Jul''12'!G41/100)*'Tariff Jul''12'!G30))</f>
        <v>0</v>
      </c>
      <c r="F30" s="36">
        <f>IF(($F22*$F23)*'Tariff Jul''12'!H29/'Tariff Jul''12'!H30&lt;'Tariff Jul''12'!H35,0,IF(($F22*$F23)*'Tariff Jul''12'!H29/'Tariff Jul''12'!H30&lt;='Tariff Jul''12'!H36,(($F22*$F23)*'Tariff Jul''12'!H29/'Tariff Jul''12'!H30-'Tariff Jul''12'!H35)*('Tariff Jul''12'!H41/100)*'Tariff Jul''12'!H30,('Tariff Jul''12'!H36-'Tariff Jul''12'!H35)*('Tariff Jul''12'!H41/100)*'Tariff Jul''12'!H30))</f>
        <v>0</v>
      </c>
      <c r="G30" s="36">
        <f>IF(($F22*$F23)*'Tariff Jul''12'!I29/'Tariff Jul''12'!I30&lt;'Tariff Jul''12'!I35,0,IF(($F22*$F23)*'Tariff Jul''12'!I29/'Tariff Jul''12'!I30&lt;='Tariff Jul''12'!I36,(($F22*$F23)*'Tariff Jul''12'!I29/'Tariff Jul''12'!I30-'Tariff Jul''12'!I35)*('Tariff Jul''12'!I41/100)*'Tariff Jul''12'!I30,('Tariff Jul''12'!I36-'Tariff Jul''12'!I35)*('Tariff Jul''12'!I41/100)*'Tariff Jul''12'!I30))</f>
        <v>0</v>
      </c>
      <c r="H30" s="36">
        <f>IF(($F22*$F23)*'Tariff Jul''12'!J29/'Tariff Jul''12'!J30&lt;'Tariff Jul''12'!J35,0,IF(($F22*$F23)*'Tariff Jul''12'!J29/'Tariff Jul''12'!J30&lt;='Tariff Jul''12'!J36,(($F22*$F23)*'Tariff Jul''12'!J29/'Tariff Jul''12'!J30-'Tariff Jul''12'!J35)*('Tariff Jul''12'!J41/100)*'Tariff Jul''12'!J30,('Tariff Jul''12'!J36-'Tariff Jul''12'!J35)*('Tariff Jul''12'!J41/100)*'Tariff Jul''12'!J30))</f>
        <v>0</v>
      </c>
      <c r="I30" s="36">
        <f>IF(($F22*$F23)*'Tariff Jul''12'!K29/'Tariff Jul''12'!K30&lt;'Tariff Jul''12'!K35,0,IF(($F22*$F23)*'Tariff Jul''12'!K29/'Tariff Jul''12'!K30&lt;='Tariff Jul''12'!K36,(($F22*$F23)*'Tariff Jul''12'!K29/'Tariff Jul''12'!K30-'Tariff Jul''12'!K35)*('Tariff Jul''12'!K41/100)*'Tariff Jul''12'!K30,('Tariff Jul''12'!K36-'Tariff Jul''12'!K35)*('Tariff Jul''12'!K41/100)*'Tariff Jul''12'!K30))</f>
        <v>0</v>
      </c>
      <c r="J30" s="32"/>
      <c r="K30" s="28"/>
    </row>
    <row r="31" spans="1:11" x14ac:dyDescent="0.15">
      <c r="A31" s="28" t="s">
        <v>104</v>
      </c>
      <c r="B31" s="32"/>
      <c r="C31" s="36">
        <f>IF(($F22*$F23)*'Tariff Jul''12'!E29/'Tariff Jul''12'!E30&gt;'Tariff Jul''12'!E36,(($F22*$F23)*'Tariff Jul''12'!E29/'Tariff Jul''12'!E30-'Tariff Jul''12'!E36)*'Tariff Jul''12'!E42/100*'Tariff Jul''12'!E30,0)</f>
        <v>0</v>
      </c>
      <c r="D31" s="36">
        <f>IF(($F22*$F23)*'Tariff Jul''12'!F29/'Tariff Jul''12'!F30&gt;'Tariff Jul''12'!F36,(($F22*$F23)*'Tariff Jul''12'!F29/'Tariff Jul''12'!F30-'Tariff Jul''12'!F36)*'Tariff Jul''12'!F42/100*'Tariff Jul''12'!F30,0)</f>
        <v>0</v>
      </c>
      <c r="E31" s="36">
        <f>IF(($F22*$F23)*'Tariff Jul''12'!G29/'Tariff Jul''12'!G30&gt;'Tariff Jul''12'!G36,(($F22*$F23)*'Tariff Jul''12'!G29/'Tariff Jul''12'!G30-'Tariff Jul''12'!G36)*'Tariff Jul''12'!G42/100*'Tariff Jul''12'!G30,0)</f>
        <v>204.05</v>
      </c>
      <c r="F31" s="36">
        <f>IF(($F22*$F23)*'Tariff Jul''12'!H29/'Tariff Jul''12'!H30&gt;'Tariff Jul''12'!H36,(($F22*$F23)*'Tariff Jul''12'!H29/'Tariff Jul''12'!H30-'Tariff Jul''12'!H36)*'Tariff Jul''12'!H42/100*'Tariff Jul''12'!H30,0)</f>
        <v>0</v>
      </c>
      <c r="G31" s="36">
        <f>IF(($F22*$F23)*'Tariff Jul''12'!I29/'Tariff Jul''12'!I30&gt;'Tariff Jul''12'!I36,(($F22*$F23)*'Tariff Jul''12'!I29/'Tariff Jul''12'!I30-'Tariff Jul''12'!I36)*'Tariff Jul''12'!I42/100*'Tariff Jul''12'!I30,0)</f>
        <v>0</v>
      </c>
      <c r="H31" s="36">
        <f>IF(($F22*$F23)*'Tariff Jul''12'!J29/'Tariff Jul''12'!J30&gt;'Tariff Jul''12'!J36,(($F22*$F23)*'Tariff Jul''12'!J29/'Tariff Jul''12'!J30-'Tariff Jul''12'!J36)*'Tariff Jul''12'!J42/100*'Tariff Jul''12'!J30,0)</f>
        <v>0</v>
      </c>
      <c r="I31" s="36">
        <f>IF(($F22*$F23)*'Tariff Jul''12'!K29/'Tariff Jul''12'!K30&gt;'Tariff Jul''12'!K36,(($F22*$F23)*'Tariff Jul''12'!K29/'Tariff Jul''12'!K30-'Tariff Jul''12'!K36)*'Tariff Jul''12'!K42/100*'Tariff Jul''12'!K30,0)</f>
        <v>392.51520000000005</v>
      </c>
      <c r="J31" s="32"/>
      <c r="K31" s="28"/>
    </row>
    <row r="32" spans="1:11" x14ac:dyDescent="0.15">
      <c r="A32" s="28" t="s">
        <v>231</v>
      </c>
      <c r="B32" s="32"/>
      <c r="C32" s="36">
        <f>IF(($F22*$F23)*'Tariff Jul''12'!E31/'Tariff Jul''12'!E32&gt;='Tariff Jul''12'!E33,('Tariff Jul''12'!E33*'Tariff Jul''12'!E43/100)*'Tariff Jul''12'!E32,(($F22*$F23)*('Tariff Jul''12'!E31/'Tariff Jul''12'!E32*'Tariff Jul''12'!E43/100)*'Tariff Jul''12'!E32))</f>
        <v>288.38699999999994</v>
      </c>
      <c r="D32" s="36">
        <f>IF(($F22*$F23)*'Tariff Jul''12'!F31/'Tariff Jul''12'!F32&gt;='Tariff Jul''12'!F33,('Tariff Jul''12'!F33*'Tariff Jul''12'!F43/100)*'Tariff Jul''12'!F32,(($F22*$F23)*('Tariff Jul''12'!F31/'Tariff Jul''12'!F32*'Tariff Jul''12'!F43/100)*'Tariff Jul''12'!F32))</f>
        <v>300.267</v>
      </c>
      <c r="E32" s="36">
        <f>IF(($F22*$F23)*'Tariff Jul''12'!G31/'Tariff Jul''12'!G32&gt;='Tariff Jul''12'!G33,('Tariff Jul''12'!G33*'Tariff Jul''12'!G43/100)*'Tariff Jul''12'!G32,(($F22*$F23)*('Tariff Jul''12'!G31/'Tariff Jul''12'!G32*'Tariff Jul''12'!G43/100)*'Tariff Jul''12'!G32))</f>
        <v>277.20000000000005</v>
      </c>
      <c r="F32" s="36">
        <f>IF(($F22*$F23)*'Tariff Jul''12'!H31/'Tariff Jul''12'!H32&gt;='Tariff Jul''12'!H33,('Tariff Jul''12'!H33*'Tariff Jul''12'!H43/100)*'Tariff Jul''12'!H32,(($F22*$F23)*('Tariff Jul''12'!H31/'Tariff Jul''12'!H32*'Tariff Jul''12'!H43/100)*'Tariff Jul''12'!H32))</f>
        <v>291.95100000000002</v>
      </c>
      <c r="G32" s="36">
        <f>IF(($F22*$F23)*'Tariff Jul''12'!I31/'Tariff Jul''12'!I32&gt;='Tariff Jul''12'!I33,('Tariff Jul''12'!I33*'Tariff Jul''12'!I43/100)*'Tariff Jul''12'!I32,(($F22*$F23)*('Tariff Jul''12'!I31/'Tariff Jul''12'!I32*'Tariff Jul''12'!I43/100)*'Tariff Jul''12'!I32))</f>
        <v>288.38699999999994</v>
      </c>
      <c r="H32" s="36">
        <f>IF(($F22*$F23)*'Tariff Jul''12'!J31/'Tariff Jul''12'!J32&gt;='Tariff Jul''12'!J33,('Tariff Jul''12'!J33*'Tariff Jul''12'!J43/100)*'Tariff Jul''12'!J32,(($F22*$F23)*('Tariff Jul''12'!J31/'Tariff Jul''12'!J32*'Tariff Jul''12'!J43/100)*'Tariff Jul''12'!J32))</f>
        <v>288.38699999999994</v>
      </c>
      <c r="I32" s="36">
        <f>IF(($F22*$F23)*'Tariff Jul''12'!K31/'Tariff Jul''12'!K32&gt;='Tariff Jul''12'!K33,('Tariff Jul''12'!K33*'Tariff Jul''12'!K43/100)*'Tariff Jul''12'!K32,(($F22*$F23)*('Tariff Jul''12'!K31/'Tariff Jul''12'!K32*'Tariff Jul''12'!K43/100)*'Tariff Jul''12'!K32))</f>
        <v>295.38432</v>
      </c>
      <c r="J32" s="32"/>
      <c r="K32" s="28"/>
    </row>
    <row r="33" spans="1:11" x14ac:dyDescent="0.15">
      <c r="A33" s="28" t="s">
        <v>530</v>
      </c>
      <c r="B33" s="32"/>
      <c r="C33" s="36">
        <f>IF(($F22*$F23)*'Tariff Jul''12'!E31/'Tariff Jul''12'!E32&lt;'Tariff Jul''12'!E33,0,IF(($F22*$F23)*'Tariff Jul''12'!E31/'Tariff Jul''12'!E32&lt;='Tariff Jul''12'!E34,(($F22*$F23)*'Tariff Jul''12'!E31/'Tariff Jul''12'!E32-'Tariff Jul''12'!E33)*('Tariff Jul''12'!E44/100)*'Tariff Jul''12'!E32,('Tariff Jul''12'!E34-'Tariff Jul''12'!E33)*('Tariff Jul''12'!E44/100)*'Tariff Jul''12'!E32))</f>
        <v>685.60800000000006</v>
      </c>
      <c r="D33" s="36">
        <f>IF(($F22*$F23)*'Tariff Jul''12'!F31/'Tariff Jul''12'!F32&lt;'Tariff Jul''12'!F33,0,IF(($F22*$F23)*'Tariff Jul''12'!F31/'Tariff Jul''12'!F32&lt;='Tariff Jul''12'!F34,(($F22*$F23)*'Tariff Jul''12'!F31/'Tariff Jul''12'!F32-'Tariff Jul''12'!F33)*('Tariff Jul''12'!F44/100)*'Tariff Jul''12'!F32,('Tariff Jul''12'!F34-'Tariff Jul''12'!F33)*('Tariff Jul''12'!F44/100)*'Tariff Jul''12'!F32))</f>
        <v>714.02099999999996</v>
      </c>
      <c r="E33" s="36">
        <f>IF(($F22*$F23)*'Tariff Jul''12'!G31/'Tariff Jul''12'!G32&lt;'Tariff Jul''12'!G33,0,IF(($F22*$F23)*'Tariff Jul''12'!G31/'Tariff Jul''12'!G32&lt;='Tariff Jul''12'!G34,(($F22*$F23)*'Tariff Jul''12'!G31/'Tariff Jul''12'!G32-'Tariff Jul''12'!G33)*('Tariff Jul''12'!G44/100)*'Tariff Jul''12'!G32,('Tariff Jul''12'!G34-'Tariff Jul''12'!G33)*('Tariff Jul''12'!G44/100)*'Tariff Jul''12'!G32))</f>
        <v>686.06999999999994</v>
      </c>
      <c r="F33" s="36">
        <f>IF(($F22*$F23)*'Tariff Jul''12'!H31/'Tariff Jul''12'!H32&lt;'Tariff Jul''12'!H33,0,IF(($F22*$F23)*'Tariff Jul''12'!H31/'Tariff Jul''12'!H32&lt;='Tariff Jul''12'!H34,(($F22*$F23)*'Tariff Jul''12'!H31/'Tariff Jul''12'!H32-'Tariff Jul''12'!H33)*('Tariff Jul''12'!H44/100)*'Tariff Jul''12'!H32,('Tariff Jul''12'!H34-'Tariff Jul''12'!H33)*('Tariff Jul''12'!H44/100)*'Tariff Jul''12'!H32))</f>
        <v>693.46199999999988</v>
      </c>
      <c r="G33" s="36">
        <f>IF(($F22*$F23)*'Tariff Jul''12'!I31/'Tariff Jul''12'!I32&lt;'Tariff Jul''12'!I33,0,IF(($F22*$F23)*'Tariff Jul''12'!I31/'Tariff Jul''12'!I32&lt;='Tariff Jul''12'!I34,(($F22*$F23)*'Tariff Jul''12'!I31/'Tariff Jul''12'!I32-'Tariff Jul''12'!I33)*('Tariff Jul''12'!I44/100)*'Tariff Jul''12'!I32,('Tariff Jul''12'!I34-'Tariff Jul''12'!I33)*('Tariff Jul''12'!I44/100)*'Tariff Jul''12'!I32))</f>
        <v>685.60800000000006</v>
      </c>
      <c r="H33" s="36">
        <f>IF(($F22*$F23)*'Tariff Jul''12'!J31/'Tariff Jul''12'!J32&lt;'Tariff Jul''12'!J33,0,IF(($F22*$F23)*'Tariff Jul''12'!J31/'Tariff Jul''12'!J32&lt;='Tariff Jul''12'!J34,(($F22*$F23)*'Tariff Jul''12'!J31/'Tariff Jul''12'!J32-'Tariff Jul''12'!J33)*('Tariff Jul''12'!J44/100)*'Tariff Jul''12'!J32,('Tariff Jul''12'!J34-'Tariff Jul''12'!J33)*('Tariff Jul''12'!J44/100)*'Tariff Jul''12'!J32))</f>
        <v>685.60800000000006</v>
      </c>
      <c r="I33" s="36">
        <f>IF(($F22*$F23)*'Tariff Jul''12'!K31/'Tariff Jul''12'!K32&lt;'Tariff Jul''12'!K33,0,IF(($F22*$F23)*'Tariff Jul''12'!K31/'Tariff Jul''12'!K32&lt;='Tariff Jul''12'!K34,(($F22*$F23)*'Tariff Jul''12'!K31/'Tariff Jul''12'!K32-'Tariff Jul''12'!K33)*('Tariff Jul''12'!K44/100)*'Tariff Jul''12'!K32,('Tariff Jul''12'!K34-'Tariff Jul''12'!K33)*('Tariff Jul''12'!K44/100)*'Tariff Jul''12'!K32))</f>
        <v>0</v>
      </c>
      <c r="J33" s="32"/>
      <c r="K33" s="28"/>
    </row>
    <row r="34" spans="1:11" x14ac:dyDescent="0.15">
      <c r="A34" s="28" t="s">
        <v>531</v>
      </c>
      <c r="B34" s="32"/>
      <c r="C34" s="36">
        <f>IF(($F22*$F23)*'Tariff Jul''12'!E31/'Tariff Jul''12'!E32&lt;'Tariff Jul''12'!E34,0,IF(($F22*$F23)*'Tariff Jul''12'!E31/'Tariff Jul''12'!E32&lt;='Tariff Jul''12'!E35,(($F22*$F23)*'Tariff Jul''12'!E31/'Tariff Jul''12'!E32-'Tariff Jul''12'!E34)*('Tariff Jul''12'!E45/100)*'Tariff Jul''12'!E32,('Tariff Jul''12'!E35-'Tariff Jul''12'!E34)*('Tariff Jul''12'!E45/100)*'Tariff Jul''12'!E32))</f>
        <v>560.46</v>
      </c>
      <c r="D34" s="36">
        <f>IF(($F22*$F23)*'Tariff Jul''12'!F31/'Tariff Jul''12'!F32&lt;'Tariff Jul''12'!F34,0,IF(($F22*$F23)*'Tariff Jul''12'!F31/'Tariff Jul''12'!F32&lt;='Tariff Jul''12'!F35,(($F22*$F23)*'Tariff Jul''12'!F31/'Tariff Jul''12'!F32-'Tariff Jul''12'!F34)*('Tariff Jul''12'!F45/100)*'Tariff Jul''12'!F32,('Tariff Jul''12'!F35-'Tariff Jul''12'!F34)*('Tariff Jul''12'!F45/100)*'Tariff Jul''12'!F32))</f>
        <v>583.44000000000005</v>
      </c>
      <c r="E34" s="36">
        <f>IF(($F22*$F23)*'Tariff Jul''12'!G31/'Tariff Jul''12'!G32&lt;'Tariff Jul''12'!G34,0,IF(($F22*$F23)*'Tariff Jul''12'!G31/'Tariff Jul''12'!G32&lt;='Tariff Jul''12'!G35,(($F22*$F23)*'Tariff Jul''12'!G31/'Tariff Jul''12'!G32-'Tariff Jul''12'!G34)*('Tariff Jul''12'!G45/100)*'Tariff Jul''12'!G32,('Tariff Jul''12'!G35-'Tariff Jul''12'!G34)*('Tariff Jul''12'!G45/100)*'Tariff Jul''12'!G32))</f>
        <v>0</v>
      </c>
      <c r="F34" s="36">
        <f>IF(($F22*$F23)*'Tariff Jul''12'!H31/'Tariff Jul''12'!H32&lt;'Tariff Jul''12'!H34,0,IF(($F22*$F23)*'Tariff Jul''12'!H31/'Tariff Jul''12'!H32&lt;='Tariff Jul''12'!H35,(($F22*$F23)*'Tariff Jul''12'!H31/'Tariff Jul''12'!H32-'Tariff Jul''12'!H34)*('Tariff Jul''12'!H45/100)*'Tariff Jul''12'!H32,('Tariff Jul''12'!H35-'Tariff Jul''12'!H34)*('Tariff Jul''12'!H45/100)*'Tariff Jul''12'!H32))</f>
        <v>574.20000000000005</v>
      </c>
      <c r="G34" s="36">
        <f>IF(($F22*$F23)*'Tariff Jul''12'!I31/'Tariff Jul''12'!I32&lt;'Tariff Jul''12'!I34,0,IF(($F22*$F23)*'Tariff Jul''12'!I31/'Tariff Jul''12'!I32&lt;='Tariff Jul''12'!I35,(($F22*$F23)*'Tariff Jul''12'!I31/'Tariff Jul''12'!I32-'Tariff Jul''12'!I34)*('Tariff Jul''12'!I45/100)*'Tariff Jul''12'!I32,('Tariff Jul''12'!I35-'Tariff Jul''12'!I34)*('Tariff Jul''12'!I45/100)*'Tariff Jul''12'!I32))</f>
        <v>560.50499999999988</v>
      </c>
      <c r="H34" s="36">
        <f>IF(($F22*$F23)*'Tariff Jul''12'!J31/'Tariff Jul''12'!J32&lt;'Tariff Jul''12'!J34,0,IF(($F22*$F23)*'Tariff Jul''12'!J31/'Tariff Jul''12'!J32&lt;='Tariff Jul''12'!J35,(($F22*$F23)*'Tariff Jul''12'!J31/'Tariff Jul''12'!J32-'Tariff Jul''12'!J34)*('Tariff Jul''12'!J45/100)*'Tariff Jul''12'!J32,('Tariff Jul''12'!J35-'Tariff Jul''12'!J34)*('Tariff Jul''12'!J45/100)*'Tariff Jul''12'!J32))</f>
        <v>560.50499999999988</v>
      </c>
      <c r="I34" s="36">
        <f>IF(($F22*$F23)*'Tariff Jul''12'!K31/'Tariff Jul''12'!K32&lt;'Tariff Jul''12'!K34,0,IF(($F22*$F23)*'Tariff Jul''12'!K31/'Tariff Jul''12'!K32&lt;='Tariff Jul''12'!K35,(($F22*$F23)*'Tariff Jul''12'!K31/'Tariff Jul''12'!K32-'Tariff Jul''12'!K34)*('Tariff Jul''12'!K45/100)*'Tariff Jul''12'!K32,('Tariff Jul''12'!K35-'Tariff Jul''12'!K34)*('Tariff Jul''12'!K45/100)*'Tariff Jul''12'!K32))</f>
        <v>0</v>
      </c>
      <c r="J34" s="32"/>
      <c r="K34" s="28"/>
    </row>
    <row r="35" spans="1:11" x14ac:dyDescent="0.15">
      <c r="A35" s="28" t="s">
        <v>100</v>
      </c>
      <c r="B35" s="32"/>
      <c r="C35" s="36">
        <f>IF(($F22*$F23)*'Tariff Jul''12'!E31/'Tariff Jul''12'!E32&lt;'Tariff Jul''12'!E35,0,IF(($F22*$F23)*'Tariff Jul''12'!E31/'Tariff Jul''12'!E32&lt;='Tariff Jul''12'!E36,(($F22*$F23)*'Tariff Jul''12'!E31/'Tariff Jul''12'!E32-'Tariff Jul''12'!E35)*('Tariff Jul''12'!E46/100)*'Tariff Jul''12'!E32,('Tariff Jul''12'!E36-'Tariff Jul''12'!E35)*('Tariff Jul''12'!E46/100)*'Tariff Jul''12'!E32))</f>
        <v>0</v>
      </c>
      <c r="D35" s="36">
        <f>IF(($F22*$F23)*'Tariff Jul''12'!F31/'Tariff Jul''12'!F32&lt;'Tariff Jul''12'!F35,0,IF(($F22*$F23)*'Tariff Jul''12'!F31/'Tariff Jul''12'!F32&lt;='Tariff Jul''12'!F36,(($F22*$F23)*'Tariff Jul''12'!F31/'Tariff Jul''12'!F32-'Tariff Jul''12'!F35)*('Tariff Jul''12'!F46/100)*'Tariff Jul''12'!F32,('Tariff Jul''12'!F36-'Tariff Jul''12'!F35)*('Tariff Jul''12'!F46/100)*'Tariff Jul''12'!F32))</f>
        <v>0</v>
      </c>
      <c r="E35" s="36">
        <f>IF(($F22*$F23)*'Tariff Jul''12'!G31/'Tariff Jul''12'!G32&lt;'Tariff Jul''12'!G35,0,IF(($F22*$F23)*'Tariff Jul''12'!G31/'Tariff Jul''12'!G32&lt;='Tariff Jul''12'!G36,(($F22*$F23)*'Tariff Jul''12'!G31/'Tariff Jul''12'!G32-'Tariff Jul''12'!G35)*('Tariff Jul''12'!G46/100)*'Tariff Jul''12'!G32,('Tariff Jul''12'!G36-'Tariff Jul''12'!G35)*('Tariff Jul''12'!G46/100)*'Tariff Jul''12'!G32))</f>
        <v>0</v>
      </c>
      <c r="F35" s="36">
        <f>IF(($F22*$F23)*'Tariff Jul''12'!H31/'Tariff Jul''12'!H32&lt;'Tariff Jul''12'!H35,0,IF(($F22*$F23)*'Tariff Jul''12'!H31/'Tariff Jul''12'!H32&lt;='Tariff Jul''12'!H36,(($F22*$F23)*'Tariff Jul''12'!H31/'Tariff Jul''12'!H32-'Tariff Jul''12'!H35)*('Tariff Jul''12'!H46/100)*'Tariff Jul''12'!H32,('Tariff Jul''12'!H36-'Tariff Jul''12'!H35)*('Tariff Jul''12'!H46/100)*'Tariff Jul''12'!H32))</f>
        <v>0</v>
      </c>
      <c r="G35" s="36">
        <f>IF(($F22*$F23)*'Tariff Jul''12'!I31/'Tariff Jul''12'!I32&lt;'Tariff Jul''12'!I35,0,IF(($F22*$F23)*'Tariff Jul''12'!I31/'Tariff Jul''12'!I32&lt;='Tariff Jul''12'!I36,(($F22*$F23)*'Tariff Jul''12'!I31/'Tariff Jul''12'!I32-'Tariff Jul''12'!I35)*('Tariff Jul''12'!I46/100)*'Tariff Jul''12'!I32,('Tariff Jul''12'!I36-'Tariff Jul''12'!I35)*('Tariff Jul''12'!I46/100)*'Tariff Jul''12'!I32))</f>
        <v>0</v>
      </c>
      <c r="H35" s="36">
        <f>IF(($F22*$F23)*'Tariff Jul''12'!J31/'Tariff Jul''12'!J32&lt;'Tariff Jul''12'!J35,0,IF(($F22*$F23)*'Tariff Jul''12'!J31/'Tariff Jul''12'!J32&lt;='Tariff Jul''12'!J36,(($F22*$F23)*'Tariff Jul''12'!J31/'Tariff Jul''12'!J32-'Tariff Jul''12'!J35)*('Tariff Jul''12'!J46/100)*'Tariff Jul''12'!J32,('Tariff Jul''12'!J36-'Tariff Jul''12'!J35)*('Tariff Jul''12'!J46/100)*'Tariff Jul''12'!J32))</f>
        <v>0</v>
      </c>
      <c r="I35" s="36">
        <f>IF(($F22*$F23)*'Tariff Jul''12'!K31/'Tariff Jul''12'!K32&lt;'Tariff Jul''12'!K35,0,IF(($F22*$F23)*'Tariff Jul''12'!K31/'Tariff Jul''12'!K32&lt;='Tariff Jul''12'!K36,(($F22*$F23)*'Tariff Jul''12'!K31/'Tariff Jul''12'!K32-'Tariff Jul''12'!K35)*('Tariff Jul''12'!K46/100)*'Tariff Jul''12'!K32,('Tariff Jul''12'!K36-'Tariff Jul''12'!K35)*('Tariff Jul''12'!K46/100)*'Tariff Jul''12'!K32))</f>
        <v>0</v>
      </c>
      <c r="J35" s="32"/>
      <c r="K35" s="28"/>
    </row>
    <row r="36" spans="1:11" x14ac:dyDescent="0.15">
      <c r="A36" s="28" t="s">
        <v>419</v>
      </c>
      <c r="B36" s="32"/>
      <c r="C36" s="36">
        <f>IF(($F22*$F23)*'Tariff Jul''12'!E31/'Tariff Jul''12'!E32&gt;'Tariff Jul''12'!E36,(($F22*$F23)*'Tariff Jul''12'!E31/'Tariff Jul''12'!E32-'Tariff Jul''12'!E36)*'Tariff Jul''12'!E47/100*'Tariff Jul''12'!E32,0)</f>
        <v>0</v>
      </c>
      <c r="D36" s="36">
        <f>IF(($F22*$F23)*'Tariff Jul''12'!F31/'Tariff Jul''12'!F32&gt;'Tariff Jul''12'!F36,(($F22*$F23)*'Tariff Jul''12'!F31/'Tariff Jul''12'!F32-'Tariff Jul''12'!F36)*'Tariff Jul''12'!F47/100*'Tariff Jul''12'!F32,0)</f>
        <v>0</v>
      </c>
      <c r="E36" s="36">
        <f>IF(($F22*$F23)*'Tariff Jul''12'!G31/'Tariff Jul''12'!G32&gt;'Tariff Jul''12'!G36,(($F22*$F23)*'Tariff Jul''12'!G31/'Tariff Jul''12'!G32-'Tariff Jul''12'!G36)*'Tariff Jul''12'!G47/100*'Tariff Jul''12'!G32,0)</f>
        <v>539.54999999999995</v>
      </c>
      <c r="F36" s="36">
        <f>IF(($F22*$F23)*'Tariff Jul''12'!H31/'Tariff Jul''12'!H32&gt;'Tariff Jul''12'!H36,(($F22*$F23)*'Tariff Jul''12'!H31/'Tariff Jul''12'!H32-'Tariff Jul''12'!H36)*'Tariff Jul''12'!H47/100*'Tariff Jul''12'!H32,0)</f>
        <v>0</v>
      </c>
      <c r="G36" s="36">
        <f>IF(($F22*$F23)*'Tariff Jul''12'!I31/'Tariff Jul''12'!I32&gt;'Tariff Jul''12'!I36,(($F22*$F23)*'Tariff Jul''12'!I31/'Tariff Jul''12'!I32-'Tariff Jul''12'!I36)*'Tariff Jul''12'!I47/100*'Tariff Jul''12'!I32,0)</f>
        <v>0</v>
      </c>
      <c r="H36" s="36">
        <f>IF(($F22*$F23)*'Tariff Jul''12'!J31/'Tariff Jul''12'!J32&gt;'Tariff Jul''12'!J36,(($F22*$F23)*'Tariff Jul''12'!J31/'Tariff Jul''12'!J32-'Tariff Jul''12'!J36)*'Tariff Jul''12'!J47/100*'Tariff Jul''12'!J32,0)</f>
        <v>0</v>
      </c>
      <c r="I36" s="36">
        <f>IF(($F22*$F23)*'Tariff Jul''12'!K31/'Tariff Jul''12'!K32&gt;'Tariff Jul''12'!K36,(($F22*$F23)*'Tariff Jul''12'!K31/'Tariff Jul''12'!K32-'Tariff Jul''12'!K36)*'Tariff Jul''12'!K47/100*'Tariff Jul''12'!K32,0)</f>
        <v>1177.5456000000001</v>
      </c>
      <c r="J36" s="32"/>
      <c r="K36" s="28"/>
    </row>
    <row r="37" spans="1:11" x14ac:dyDescent="0.15">
      <c r="A37" s="28" t="s">
        <v>442</v>
      </c>
      <c r="B37" s="32"/>
      <c r="C37" s="36">
        <f>IF($F22*$F24&gt;='Tariff Jul''12'!E37,('Tariff Jul''12'!E37*'Tariff Jul''12'!E48/100),($F22*$F24)*('Tariff Jul''12'!E48/100))</f>
        <v>232.48500000000001</v>
      </c>
      <c r="D37" s="36">
        <f>IF($F22*$F24&gt;='Tariff Jul''12'!F37,('Tariff Jul''12'!F37*'Tariff Jul''12'!F48/100),($F22*$F24)*('Tariff Jul''12'!F48/100))</f>
        <v>242.21999999999997</v>
      </c>
      <c r="E37" s="36">
        <f>IF($F22*$F24&gt;='Tariff Jul''12'!G37,('Tariff Jul''12'!G37*'Tariff Jul''12'!G48/100),($F22*$F24)*('Tariff Jul''12'!G48/100))</f>
        <v>244.2</v>
      </c>
      <c r="F37" s="36">
        <f>IF($F22*$F24&gt;='Tariff Jul''12'!H37,('Tariff Jul''12'!H37*'Tariff Jul''12'!H48/100),($F22*$F24)*('Tariff Jul''12'!H48/100))</f>
        <v>232.98000000000002</v>
      </c>
      <c r="G37" s="36">
        <f>IF($F22*$F24&gt;='Tariff Jul''12'!I37,('Tariff Jul''12'!I37*'Tariff Jul''12'!I48/100),($F22*$F24)*('Tariff Jul''12'!I48/100))</f>
        <v>232.48500000000001</v>
      </c>
      <c r="H37" s="36">
        <f>IF($F22*$F24&gt;='Tariff Jul''12'!J37,('Tariff Jul''12'!J37*'Tariff Jul''12'!J48/100),($F22*$F24)*('Tariff Jul''12'!J48/100))</f>
        <v>232.48500000000001</v>
      </c>
      <c r="I37" s="36">
        <f>(($F22*$F24)*('Tariff Jul''12'!K48/100))</f>
        <v>238.42500000000001</v>
      </c>
      <c r="J37" s="32"/>
      <c r="K37" s="28"/>
    </row>
    <row r="38" spans="1:11" x14ac:dyDescent="0.15">
      <c r="A38" s="28" t="s">
        <v>443</v>
      </c>
      <c r="B38" s="32"/>
      <c r="C38" s="36">
        <f>IF($F22*$F24&gt;'Tariff Jul''12'!E37,($F22*$F24-'Tariff Jul''12'!E37)*'Tariff Jul''12'!E49/100,0)</f>
        <v>0</v>
      </c>
      <c r="D38" s="36">
        <f>IF($F22*$F24&gt;'Tariff Jul''12'!F37,($F22*$F24-'Tariff Jul''12'!F37)*'Tariff Jul''12'!F49/100,0)</f>
        <v>0</v>
      </c>
      <c r="E38" s="36">
        <f>IF($F22*$F24&gt;'Tariff Jul''12'!G37,($F22*$F24-'Tariff Jul''12'!G37)*'Tariff Jul''12'!G49/100,0)</f>
        <v>0</v>
      </c>
      <c r="F38" s="36">
        <f>IF($F22*$F24&gt;'Tariff Jul''12'!H37,($F22*$F24-'Tariff Jul''12'!H37)*'Tariff Jul''12'!H49/100,0)</f>
        <v>0</v>
      </c>
      <c r="G38" s="36">
        <f>IF($F22*$F24&gt;'Tariff Jul''12'!I37,($F22*$F24-'Tariff Jul''12'!I37)*'Tariff Jul''12'!I49/100,0)</f>
        <v>0</v>
      </c>
      <c r="H38" s="36">
        <f>IF($F22*$F24&gt;'Tariff Jul''12'!J37,($F22*$F24-'Tariff Jul''12'!J37)*'Tariff Jul''12'!J49/100,0)</f>
        <v>0</v>
      </c>
      <c r="I38" s="36">
        <v>0</v>
      </c>
      <c r="J38" s="32"/>
      <c r="K38" s="28"/>
    </row>
    <row r="39" spans="1:11" x14ac:dyDescent="0.15">
      <c r="A39" s="28" t="s">
        <v>420</v>
      </c>
      <c r="B39" s="32"/>
      <c r="C39" s="36">
        <f>'Tariff Jul''12'!E50*365/100</f>
        <v>263.5446</v>
      </c>
      <c r="D39" s="36">
        <f>'Tariff Jul''12'!F50*365/100</f>
        <v>274.3048</v>
      </c>
      <c r="E39" s="36">
        <f>'Tariff Jul''12'!G50*365/100</f>
        <v>245.71799999999999</v>
      </c>
      <c r="F39" s="36">
        <f>'Tariff Jul''12'!H50*365/100</f>
        <v>276.93644999999998</v>
      </c>
      <c r="G39" s="36">
        <f>'Tariff Jul''12'!I50*365/100</f>
        <v>263.5446</v>
      </c>
      <c r="H39" s="36">
        <f>'Tariff Jul''12'!J50*365/100</f>
        <v>263.5446</v>
      </c>
      <c r="I39" s="36">
        <f>'Tariff Jul''12'!K50*365/100</f>
        <v>270.24964999999997</v>
      </c>
      <c r="J39" s="37">
        <f>AVERAGE(C39:I39)</f>
        <v>265.40609999999998</v>
      </c>
      <c r="K39" s="28"/>
    </row>
    <row r="40" spans="1:11" x14ac:dyDescent="0.15">
      <c r="A40" s="38" t="s">
        <v>505</v>
      </c>
      <c r="B40" s="32"/>
      <c r="C40" s="39">
        <f>SUM(C27:C39)</f>
        <v>2597.1716000000001</v>
      </c>
      <c r="D40" s="39">
        <f t="shared" ref="D40:I40" si="1">SUM(D27:D39)</f>
        <v>2704.3917999999999</v>
      </c>
      <c r="E40" s="39">
        <f t="shared" si="1"/>
        <v>2538.2279999999996</v>
      </c>
      <c r="F40" s="39">
        <f t="shared" si="1"/>
        <v>2589.4004500000001</v>
      </c>
      <c r="G40" s="39">
        <f t="shared" si="1"/>
        <v>2597.2166000000002</v>
      </c>
      <c r="H40" s="39">
        <f t="shared" si="1"/>
        <v>2542.0295999999998</v>
      </c>
      <c r="I40" s="39">
        <f t="shared" si="1"/>
        <v>2472.5812100000003</v>
      </c>
      <c r="J40" s="39">
        <f>AVERAGE(C40:I40)</f>
        <v>2577.2884657142858</v>
      </c>
      <c r="K40" s="28"/>
    </row>
    <row r="41" spans="1:11" x14ac:dyDescent="0.1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</row>
    <row r="42" spans="1:11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28"/>
    </row>
    <row r="43" spans="1:11" x14ac:dyDescent="0.15">
      <c r="A43" s="33" t="s">
        <v>490</v>
      </c>
      <c r="B43" s="32"/>
      <c r="C43" s="9" t="s">
        <v>492</v>
      </c>
      <c r="D43" s="9" t="s">
        <v>491</v>
      </c>
      <c r="E43" s="9" t="s">
        <v>493</v>
      </c>
      <c r="F43" s="9" t="s">
        <v>494</v>
      </c>
      <c r="G43" s="9" t="s">
        <v>470</v>
      </c>
      <c r="H43" s="9" t="s">
        <v>458</v>
      </c>
      <c r="I43" s="9" t="s">
        <v>263</v>
      </c>
      <c r="J43" s="28"/>
      <c r="K43" s="28"/>
    </row>
    <row r="44" spans="1:11" x14ac:dyDescent="0.15">
      <c r="A44" s="28" t="s">
        <v>496</v>
      </c>
      <c r="B44" s="32"/>
      <c r="C44" s="20" t="s">
        <v>515</v>
      </c>
      <c r="D44" s="21" t="s">
        <v>516</v>
      </c>
      <c r="E44" s="21" t="s">
        <v>517</v>
      </c>
      <c r="F44" s="21" t="s">
        <v>497</v>
      </c>
      <c r="G44" s="21" t="s">
        <v>387</v>
      </c>
      <c r="H44" s="21" t="s">
        <v>497</v>
      </c>
      <c r="I44" s="21" t="s">
        <v>388</v>
      </c>
      <c r="J44" s="28"/>
      <c r="K44" s="28"/>
    </row>
    <row r="45" spans="1:11" x14ac:dyDescent="0.15">
      <c r="A45" s="28" t="s">
        <v>522</v>
      </c>
      <c r="B45" s="32"/>
      <c r="C45" s="21" t="s">
        <v>400</v>
      </c>
      <c r="D45" s="21" t="s">
        <v>224</v>
      </c>
      <c r="E45" s="21" t="s">
        <v>401</v>
      </c>
      <c r="F45" s="21" t="s">
        <v>400</v>
      </c>
      <c r="G45" s="21" t="s">
        <v>225</v>
      </c>
      <c r="H45" s="21" t="s">
        <v>400</v>
      </c>
      <c r="I45" s="21" t="s">
        <v>226</v>
      </c>
      <c r="J45" s="28"/>
      <c r="K45" s="28"/>
    </row>
    <row r="46" spans="1:11" x14ac:dyDescent="0.15">
      <c r="A46" s="28" t="s">
        <v>512</v>
      </c>
      <c r="B46" s="32"/>
      <c r="C46" s="21" t="s">
        <v>389</v>
      </c>
      <c r="D46" s="22">
        <v>70</v>
      </c>
      <c r="E46" s="22" t="s">
        <v>205</v>
      </c>
      <c r="F46" s="22" t="s">
        <v>206</v>
      </c>
      <c r="G46" s="22" t="s">
        <v>207</v>
      </c>
      <c r="H46" s="22">
        <v>80</v>
      </c>
      <c r="I46" s="22">
        <v>48</v>
      </c>
      <c r="J46" s="28"/>
      <c r="K46" s="28"/>
    </row>
    <row r="47" spans="1:11" x14ac:dyDescent="0.15">
      <c r="A47" s="28" t="s">
        <v>532</v>
      </c>
      <c r="B47" s="32"/>
      <c r="C47" s="21" t="s">
        <v>497</v>
      </c>
      <c r="D47" s="20">
        <v>0.02</v>
      </c>
      <c r="E47" s="20" t="s">
        <v>430</v>
      </c>
      <c r="F47" s="20" t="s">
        <v>431</v>
      </c>
      <c r="G47" s="20" t="s">
        <v>534</v>
      </c>
      <c r="H47" s="20" t="s">
        <v>383</v>
      </c>
      <c r="I47" s="21" t="s">
        <v>497</v>
      </c>
      <c r="J47" s="28"/>
      <c r="K47" s="28"/>
    </row>
    <row r="48" spans="1:11" x14ac:dyDescent="0.15">
      <c r="A48" s="28" t="s">
        <v>376</v>
      </c>
      <c r="B48" s="32"/>
      <c r="C48" s="22">
        <v>14</v>
      </c>
      <c r="D48" s="22">
        <v>12</v>
      </c>
      <c r="E48" s="20" t="s">
        <v>377</v>
      </c>
      <c r="F48" s="20" t="s">
        <v>377</v>
      </c>
      <c r="G48" s="28" t="s">
        <v>377</v>
      </c>
      <c r="H48" s="22" t="s">
        <v>378</v>
      </c>
      <c r="I48" s="22">
        <v>14</v>
      </c>
      <c r="J48" s="28"/>
      <c r="K48" s="28"/>
    </row>
    <row r="49" spans="1:11" x14ac:dyDescent="0.15">
      <c r="A49" s="28" t="s">
        <v>553</v>
      </c>
      <c r="B49" s="32"/>
      <c r="C49" s="21" t="s">
        <v>554</v>
      </c>
      <c r="D49" s="21" t="s">
        <v>497</v>
      </c>
      <c r="E49" s="21" t="s">
        <v>497</v>
      </c>
      <c r="F49" s="21" t="s">
        <v>497</v>
      </c>
      <c r="G49" s="21" t="s">
        <v>291</v>
      </c>
      <c r="H49" s="21" t="s">
        <v>497</v>
      </c>
      <c r="I49" s="21" t="s">
        <v>291</v>
      </c>
      <c r="J49" s="28"/>
      <c r="K49" s="28"/>
    </row>
    <row r="50" spans="1:11" x14ac:dyDescent="0.1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28"/>
    </row>
  </sheetData>
  <sheetProtection algorithmName="SHA-512" hashValue="t7gW8pzO94uKQR9J5Q35h66k4X7xD+Ks17NPBlSgqGIlcUs5qrNOzR/3FpyhkEaLZqTjYeDI6YtP99hNPLsFAA==" saltValue="mUz5wmHPGJLvN42xOXVlsA==" spinCount="100000" sheet="1" objects="1" scenarios="1"/>
  <phoneticPr fontId="6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9E00A-6605-F749-A9DD-A04BD4E968C9}">
  <sheetPr codeName="Sheet27"/>
  <dimension ref="A1:DD36"/>
  <sheetViews>
    <sheetView zoomScale="150" zoomScaleNormal="150" workbookViewId="0">
      <pane xSplit="12" ySplit="1" topLeftCell="M2" activePane="bottomRight" state="frozen"/>
      <selection activeCell="A37" sqref="A37:XFD41"/>
      <selection pane="topRight" activeCell="A37" sqref="A37:XFD41"/>
      <selection pane="bottomLeft" activeCell="A37" sqref="A37:XFD41"/>
      <selection pane="bottomRight" activeCell="A37" sqref="A37:XFD41"/>
    </sheetView>
  </sheetViews>
  <sheetFormatPr baseColWidth="10" defaultRowHeight="13" x14ac:dyDescent="0.15"/>
  <cols>
    <col min="11" max="11" width="17" bestFit="1" customWidth="1"/>
    <col min="12" max="12" width="19" bestFit="1" customWidth="1"/>
    <col min="78" max="78" width="17.33203125" customWidth="1"/>
  </cols>
  <sheetData>
    <row r="1" spans="1:108" ht="84" x14ac:dyDescent="0.15">
      <c r="A1" s="74" t="s">
        <v>265</v>
      </c>
      <c r="B1" s="74" t="s">
        <v>780</v>
      </c>
      <c r="C1" s="75" t="s">
        <v>781</v>
      </c>
      <c r="D1" s="76" t="s">
        <v>782</v>
      </c>
      <c r="E1" s="76" t="s">
        <v>783</v>
      </c>
      <c r="F1" s="76" t="s">
        <v>784</v>
      </c>
      <c r="G1" s="76" t="s">
        <v>785</v>
      </c>
      <c r="H1" s="77" t="s">
        <v>786</v>
      </c>
      <c r="I1" s="77" t="s">
        <v>787</v>
      </c>
      <c r="J1" s="77" t="s">
        <v>788</v>
      </c>
      <c r="K1" s="76" t="s">
        <v>278</v>
      </c>
      <c r="L1" s="78" t="s">
        <v>789</v>
      </c>
      <c r="M1" s="79" t="s">
        <v>280</v>
      </c>
      <c r="N1" s="80" t="s">
        <v>790</v>
      </c>
      <c r="O1" s="80" t="s">
        <v>282</v>
      </c>
      <c r="P1" s="80" t="s">
        <v>791</v>
      </c>
      <c r="Q1" s="80" t="s">
        <v>792</v>
      </c>
      <c r="R1" s="80" t="s">
        <v>793</v>
      </c>
      <c r="S1" s="80" t="s">
        <v>794</v>
      </c>
      <c r="T1" s="80" t="s">
        <v>795</v>
      </c>
      <c r="U1" s="80" t="s">
        <v>796</v>
      </c>
      <c r="V1" s="81" t="s">
        <v>797</v>
      </c>
      <c r="W1" s="82" t="s">
        <v>798</v>
      </c>
      <c r="X1" s="82" t="s">
        <v>799</v>
      </c>
      <c r="Y1" s="82" t="s">
        <v>800</v>
      </c>
      <c r="Z1" s="82" t="s">
        <v>801</v>
      </c>
      <c r="AA1" s="82" t="s">
        <v>802</v>
      </c>
      <c r="AB1" s="82" t="s">
        <v>803</v>
      </c>
      <c r="AC1" s="82" t="s">
        <v>804</v>
      </c>
      <c r="AD1" s="82" t="s">
        <v>805</v>
      </c>
      <c r="AE1" s="83" t="s">
        <v>806</v>
      </c>
      <c r="AF1" s="84" t="s">
        <v>807</v>
      </c>
      <c r="AG1" s="84" t="s">
        <v>808</v>
      </c>
      <c r="AH1" s="85" t="s">
        <v>809</v>
      </c>
      <c r="AI1" s="85" t="s">
        <v>810</v>
      </c>
      <c r="AJ1" s="85" t="s">
        <v>811</v>
      </c>
      <c r="AK1" s="85" t="s">
        <v>812</v>
      </c>
      <c r="AL1" s="193" t="s">
        <v>813</v>
      </c>
      <c r="AM1" s="194" t="s">
        <v>814</v>
      </c>
      <c r="AN1" s="194" t="s">
        <v>815</v>
      </c>
      <c r="AO1" s="86" t="s">
        <v>816</v>
      </c>
      <c r="AP1" s="87" t="s">
        <v>817</v>
      </c>
      <c r="AQ1" s="87" t="s">
        <v>818</v>
      </c>
      <c r="AR1" s="88" t="s">
        <v>819</v>
      </c>
      <c r="AS1" s="195" t="s">
        <v>616</v>
      </c>
      <c r="AT1" s="196" t="s">
        <v>820</v>
      </c>
      <c r="AU1" s="197" t="s">
        <v>821</v>
      </c>
      <c r="AV1" s="197" t="s">
        <v>822</v>
      </c>
      <c r="AW1" s="197" t="s">
        <v>823</v>
      </c>
      <c r="AX1" s="91" t="s">
        <v>824</v>
      </c>
      <c r="AY1" s="92" t="s">
        <v>825</v>
      </c>
      <c r="AZ1" s="93" t="s">
        <v>826</v>
      </c>
      <c r="BA1" s="94" t="s">
        <v>827</v>
      </c>
      <c r="BB1" s="93" t="s">
        <v>828</v>
      </c>
      <c r="BC1" s="94" t="s">
        <v>829</v>
      </c>
      <c r="BD1" s="93" t="s">
        <v>830</v>
      </c>
      <c r="BE1" s="94" t="s">
        <v>831</v>
      </c>
      <c r="BF1" s="93" t="s">
        <v>832</v>
      </c>
      <c r="BG1" s="95" t="s">
        <v>833</v>
      </c>
      <c r="BH1" s="158" t="s">
        <v>617</v>
      </c>
      <c r="BI1" s="159" t="s">
        <v>618</v>
      </c>
      <c r="BJ1" s="93" t="s">
        <v>834</v>
      </c>
      <c r="BK1" s="95" t="s">
        <v>835</v>
      </c>
      <c r="BL1" s="77" t="s">
        <v>836</v>
      </c>
      <c r="BM1" s="77" t="s">
        <v>837</v>
      </c>
      <c r="BN1" s="77" t="s">
        <v>838</v>
      </c>
      <c r="BO1" s="77" t="s">
        <v>839</v>
      </c>
      <c r="BP1" s="77" t="s">
        <v>619</v>
      </c>
      <c r="BQ1" s="77" t="s">
        <v>620</v>
      </c>
      <c r="BR1" s="77" t="s">
        <v>621</v>
      </c>
      <c r="BS1" s="77" t="s">
        <v>622</v>
      </c>
      <c r="BT1" s="75" t="s">
        <v>840</v>
      </c>
      <c r="BU1" s="75" t="s">
        <v>841</v>
      </c>
      <c r="BV1" s="77" t="s">
        <v>842</v>
      </c>
      <c r="BW1" s="77" t="s">
        <v>843</v>
      </c>
      <c r="BX1" s="198" t="s">
        <v>844</v>
      </c>
      <c r="BY1" s="75" t="s">
        <v>845</v>
      </c>
      <c r="BZ1" s="77" t="s">
        <v>846</v>
      </c>
    </row>
    <row r="2" spans="1:108" ht="13" customHeight="1" x14ac:dyDescent="0.15">
      <c r="A2" s="226">
        <v>16351</v>
      </c>
      <c r="B2" s="311">
        <v>43657</v>
      </c>
      <c r="C2" s="228" t="s">
        <v>662</v>
      </c>
      <c r="D2" s="226" t="s">
        <v>663</v>
      </c>
      <c r="E2" s="226"/>
      <c r="F2" s="226" t="s">
        <v>716</v>
      </c>
      <c r="G2" s="227">
        <v>43655</v>
      </c>
      <c r="H2" s="297" t="s">
        <v>665</v>
      </c>
      <c r="I2" s="297" t="s">
        <v>666</v>
      </c>
      <c r="J2" s="297"/>
      <c r="K2" s="268" t="s">
        <v>667</v>
      </c>
      <c r="L2" s="226" t="s">
        <v>1027</v>
      </c>
      <c r="M2" s="230">
        <v>92.963636363636354</v>
      </c>
      <c r="N2" s="230">
        <v>39.463636363636354</v>
      </c>
      <c r="O2" s="235"/>
      <c r="P2" s="231"/>
      <c r="Q2" s="232"/>
      <c r="R2" s="231"/>
      <c r="S2" s="232"/>
      <c r="T2" s="231"/>
      <c r="U2" s="232"/>
      <c r="V2" s="232"/>
      <c r="W2" s="232"/>
      <c r="X2" s="226"/>
      <c r="Y2" s="230"/>
      <c r="Z2" s="230"/>
      <c r="AA2" s="230"/>
      <c r="AB2" s="230"/>
      <c r="AC2" s="230"/>
      <c r="AD2" s="230"/>
      <c r="AE2" s="232"/>
      <c r="AF2" s="231"/>
      <c r="AG2" s="226"/>
      <c r="AH2" s="230"/>
      <c r="AI2" s="226"/>
      <c r="AJ2" s="226"/>
      <c r="AK2" s="230"/>
      <c r="AL2" s="226"/>
      <c r="AM2" s="230"/>
      <c r="AN2" s="230"/>
      <c r="AO2" s="269" t="s">
        <v>726</v>
      </c>
      <c r="AP2" s="297" t="s">
        <v>666</v>
      </c>
      <c r="AQ2" s="297"/>
      <c r="AR2" s="297"/>
      <c r="AS2" s="233"/>
      <c r="AT2" s="229">
        <v>6</v>
      </c>
      <c r="AU2" s="298"/>
      <c r="AV2" s="297"/>
      <c r="AW2" s="298"/>
      <c r="AX2" s="299" t="s">
        <v>727</v>
      </c>
      <c r="AY2" s="229"/>
      <c r="AZ2" s="297">
        <v>0</v>
      </c>
      <c r="BA2" s="297">
        <v>0</v>
      </c>
      <c r="BB2" s="297">
        <v>0</v>
      </c>
      <c r="BC2" s="297">
        <v>0</v>
      </c>
      <c r="BD2" s="297">
        <v>0</v>
      </c>
      <c r="BE2" s="297">
        <v>0</v>
      </c>
      <c r="BF2" s="297">
        <v>0</v>
      </c>
      <c r="BG2" s="297">
        <v>0</v>
      </c>
      <c r="BH2" s="297">
        <v>0</v>
      </c>
      <c r="BI2" s="297">
        <v>0</v>
      </c>
      <c r="BJ2" s="297">
        <v>0</v>
      </c>
      <c r="BK2" s="297">
        <v>0</v>
      </c>
      <c r="BL2" s="297"/>
      <c r="BM2" s="297" t="s">
        <v>666</v>
      </c>
      <c r="BN2" s="229">
        <v>12</v>
      </c>
      <c r="BO2" s="297" t="s">
        <v>666</v>
      </c>
      <c r="BP2" s="300"/>
      <c r="BQ2" s="297"/>
      <c r="BR2" s="297"/>
      <c r="BS2" s="297"/>
      <c r="BT2" s="301"/>
      <c r="BU2" s="301"/>
      <c r="BV2" s="297"/>
      <c r="BW2" s="297" t="s">
        <v>728</v>
      </c>
      <c r="BX2" s="297"/>
      <c r="BY2" s="226" t="s">
        <v>1028</v>
      </c>
      <c r="BZ2" s="269" t="s">
        <v>1067</v>
      </c>
    </row>
    <row r="3" spans="1:108" ht="13" customHeight="1" x14ac:dyDescent="0.15">
      <c r="A3" s="226"/>
      <c r="B3" s="311">
        <v>43657</v>
      </c>
      <c r="C3" s="228" t="s">
        <v>662</v>
      </c>
      <c r="D3" s="226" t="s">
        <v>663</v>
      </c>
      <c r="E3" s="226"/>
      <c r="F3" s="226" t="s">
        <v>716</v>
      </c>
      <c r="G3" s="236">
        <v>43646</v>
      </c>
      <c r="H3" s="229" t="s">
        <v>665</v>
      </c>
      <c r="I3" s="229" t="s">
        <v>666</v>
      </c>
      <c r="J3" s="229"/>
      <c r="K3" s="226" t="s">
        <v>669</v>
      </c>
      <c r="L3" s="226" t="s">
        <v>960</v>
      </c>
      <c r="M3" s="230">
        <v>92.536363636363632</v>
      </c>
      <c r="N3" s="230">
        <v>43.2</v>
      </c>
      <c r="O3" s="235"/>
      <c r="P3" s="231"/>
      <c r="Q3" s="232"/>
      <c r="R3" s="231"/>
      <c r="S3" s="232"/>
      <c r="T3" s="226"/>
      <c r="U3" s="232"/>
      <c r="V3" s="232"/>
      <c r="W3" s="232"/>
      <c r="X3" s="226"/>
      <c r="Y3" s="230"/>
      <c r="Z3" s="230"/>
      <c r="AA3" s="230"/>
      <c r="AB3" s="230"/>
      <c r="AC3" s="230"/>
      <c r="AD3" s="232"/>
      <c r="AE3" s="232"/>
      <c r="AF3" s="231"/>
      <c r="AG3" s="226"/>
      <c r="AH3" s="230"/>
      <c r="AI3" s="226"/>
      <c r="AJ3" s="226"/>
      <c r="AK3" s="230"/>
      <c r="AL3" s="226"/>
      <c r="AM3" s="230"/>
      <c r="AN3" s="230"/>
      <c r="AO3" s="226" t="s">
        <v>726</v>
      </c>
      <c r="AP3" s="229" t="s">
        <v>666</v>
      </c>
      <c r="AQ3" s="229"/>
      <c r="AR3" s="229"/>
      <c r="AS3" s="233"/>
      <c r="AT3" s="229">
        <v>8</v>
      </c>
      <c r="AU3" s="233"/>
      <c r="AV3" s="229"/>
      <c r="AW3" s="233"/>
      <c r="AX3" s="229" t="s">
        <v>666</v>
      </c>
      <c r="AY3" s="229"/>
      <c r="AZ3" s="229">
        <v>0</v>
      </c>
      <c r="BA3" s="229">
        <v>0</v>
      </c>
      <c r="BB3" s="229">
        <v>0</v>
      </c>
      <c r="BC3" s="229">
        <v>0</v>
      </c>
      <c r="BD3" s="229">
        <v>0</v>
      </c>
      <c r="BE3" s="229">
        <v>0</v>
      </c>
      <c r="BF3" s="229">
        <v>0</v>
      </c>
      <c r="BG3" s="229">
        <v>0</v>
      </c>
      <c r="BH3" s="229">
        <v>0</v>
      </c>
      <c r="BI3" s="229">
        <v>0</v>
      </c>
      <c r="BJ3" s="229">
        <v>0</v>
      </c>
      <c r="BK3" s="229">
        <v>0</v>
      </c>
      <c r="BL3" s="229"/>
      <c r="BM3" s="229" t="s">
        <v>666</v>
      </c>
      <c r="BN3" s="229"/>
      <c r="BO3" s="229" t="s">
        <v>666</v>
      </c>
      <c r="BP3" s="302"/>
      <c r="BQ3" s="229"/>
      <c r="BR3" s="229"/>
      <c r="BS3" s="229"/>
      <c r="BT3" s="226"/>
      <c r="BU3" s="226"/>
      <c r="BV3" s="229"/>
      <c r="BW3" s="229" t="s">
        <v>728</v>
      </c>
      <c r="BX3" s="229">
        <v>1</v>
      </c>
      <c r="BY3" s="226"/>
      <c r="BZ3" s="269" t="s">
        <v>1069</v>
      </c>
    </row>
    <row r="4" spans="1:108" ht="13" customHeight="1" x14ac:dyDescent="0.15">
      <c r="A4" s="226">
        <v>11132</v>
      </c>
      <c r="B4" s="311">
        <v>43657</v>
      </c>
      <c r="C4" s="228" t="s">
        <v>662</v>
      </c>
      <c r="D4" s="226" t="s">
        <v>663</v>
      </c>
      <c r="E4" s="226"/>
      <c r="F4" s="226" t="s">
        <v>716</v>
      </c>
      <c r="G4" s="236">
        <v>43646</v>
      </c>
      <c r="H4" s="229" t="s">
        <v>665</v>
      </c>
      <c r="I4" s="229" t="s">
        <v>666</v>
      </c>
      <c r="J4" s="229"/>
      <c r="K4" s="226" t="s">
        <v>949</v>
      </c>
      <c r="L4" s="226" t="s">
        <v>1030</v>
      </c>
      <c r="M4" s="230">
        <v>80</v>
      </c>
      <c r="N4" s="230">
        <v>42.999999999999993</v>
      </c>
      <c r="O4" s="99" t="s">
        <v>875</v>
      </c>
      <c r="P4" s="101">
        <v>300</v>
      </c>
      <c r="Q4" s="230">
        <v>26.572727272727271</v>
      </c>
      <c r="R4" s="231">
        <v>700</v>
      </c>
      <c r="S4" s="230">
        <v>48.999999999999993</v>
      </c>
      <c r="T4" s="231">
        <v>1500</v>
      </c>
      <c r="U4" s="230">
        <v>52</v>
      </c>
      <c r="V4" s="232"/>
      <c r="W4" s="232"/>
      <c r="X4" s="226"/>
      <c r="Y4" s="230"/>
      <c r="Z4" s="230"/>
      <c r="AA4" s="230"/>
      <c r="AB4" s="230"/>
      <c r="AC4" s="230"/>
      <c r="AD4" s="230"/>
      <c r="AE4" s="232"/>
      <c r="AF4" s="231"/>
      <c r="AG4" s="226"/>
      <c r="AH4" s="230"/>
      <c r="AI4" s="226"/>
      <c r="AJ4" s="226"/>
      <c r="AK4" s="230"/>
      <c r="AL4" s="226"/>
      <c r="AM4" s="230"/>
      <c r="AN4" s="230"/>
      <c r="AO4" s="226" t="s">
        <v>726</v>
      </c>
      <c r="AP4" s="229" t="s">
        <v>666</v>
      </c>
      <c r="AQ4" s="229"/>
      <c r="AR4" s="229"/>
      <c r="AS4" s="229">
        <v>10</v>
      </c>
      <c r="AT4" s="229">
        <v>5.2</v>
      </c>
      <c r="AU4" s="233"/>
      <c r="AV4" s="229"/>
      <c r="AW4" s="233"/>
      <c r="AX4" s="229" t="s">
        <v>727</v>
      </c>
      <c r="AY4" s="273"/>
      <c r="AZ4" s="229">
        <v>0</v>
      </c>
      <c r="BA4" s="229">
        <v>0</v>
      </c>
      <c r="BB4" s="229">
        <v>2</v>
      </c>
      <c r="BC4" s="229">
        <v>0</v>
      </c>
      <c r="BD4" s="229">
        <v>0</v>
      </c>
      <c r="BE4" s="229">
        <v>0</v>
      </c>
      <c r="BF4" s="229">
        <v>0</v>
      </c>
      <c r="BG4" s="229">
        <v>0</v>
      </c>
      <c r="BH4" s="229">
        <v>0</v>
      </c>
      <c r="BI4" s="229">
        <v>0</v>
      </c>
      <c r="BJ4" s="229">
        <v>0</v>
      </c>
      <c r="BK4" s="229">
        <v>0</v>
      </c>
      <c r="BL4" s="229"/>
      <c r="BM4" s="229" t="s">
        <v>666</v>
      </c>
      <c r="BN4" s="229"/>
      <c r="BO4" s="229" t="s">
        <v>666</v>
      </c>
      <c r="BP4" s="302"/>
      <c r="BQ4" s="229"/>
      <c r="BR4" s="229"/>
      <c r="BS4" s="229"/>
      <c r="BT4" s="226"/>
      <c r="BU4" s="226"/>
      <c r="BV4" s="229"/>
      <c r="BW4" s="229" t="s">
        <v>728</v>
      </c>
      <c r="BX4" s="229"/>
      <c r="BY4" s="272"/>
      <c r="BZ4" s="289" t="s">
        <v>1071</v>
      </c>
      <c r="CA4" s="156"/>
    </row>
    <row r="5" spans="1:108" ht="13" customHeight="1" x14ac:dyDescent="0.15">
      <c r="A5" s="226">
        <v>1159</v>
      </c>
      <c r="B5" s="311">
        <v>43657</v>
      </c>
      <c r="C5" s="228" t="s">
        <v>662</v>
      </c>
      <c r="D5" s="226" t="s">
        <v>663</v>
      </c>
      <c r="E5" s="226"/>
      <c r="F5" s="226" t="s">
        <v>716</v>
      </c>
      <c r="G5" s="236">
        <v>43646</v>
      </c>
      <c r="H5" s="229" t="s">
        <v>665</v>
      </c>
      <c r="I5" s="229" t="s">
        <v>666</v>
      </c>
      <c r="J5" s="229"/>
      <c r="K5" s="226" t="s">
        <v>1031</v>
      </c>
      <c r="L5" s="226" t="s">
        <v>1032</v>
      </c>
      <c r="M5" s="230">
        <v>94.999999999999986</v>
      </c>
      <c r="N5" s="230">
        <v>42.981818181818177</v>
      </c>
      <c r="O5" s="99"/>
      <c r="P5" s="101"/>
      <c r="Q5" s="232"/>
      <c r="R5" s="231"/>
      <c r="S5" s="232"/>
      <c r="T5" s="231"/>
      <c r="U5" s="232"/>
      <c r="V5" s="232"/>
      <c r="W5" s="232"/>
      <c r="X5" s="231"/>
      <c r="Y5" s="230"/>
      <c r="Z5" s="230"/>
      <c r="AA5" s="230"/>
      <c r="AB5" s="230"/>
      <c r="AC5" s="230"/>
      <c r="AD5" s="230"/>
      <c r="AE5" s="232"/>
      <c r="AF5" s="231"/>
      <c r="AG5" s="226"/>
      <c r="AH5" s="230"/>
      <c r="AI5" s="226"/>
      <c r="AJ5" s="226"/>
      <c r="AK5" s="230"/>
      <c r="AL5" s="226"/>
      <c r="AM5" s="230"/>
      <c r="AN5" s="230"/>
      <c r="AO5" s="226" t="s">
        <v>726</v>
      </c>
      <c r="AP5" s="229" t="s">
        <v>666</v>
      </c>
      <c r="AQ5" s="229"/>
      <c r="AR5" s="229"/>
      <c r="AS5" s="233"/>
      <c r="AT5" s="229">
        <v>8.5</v>
      </c>
      <c r="AU5" s="233"/>
      <c r="AV5" s="229"/>
      <c r="AW5" s="233"/>
      <c r="AX5" s="229" t="s">
        <v>727</v>
      </c>
      <c r="AY5" s="229"/>
      <c r="AZ5" s="229">
        <v>0</v>
      </c>
      <c r="BA5" s="229">
        <v>0</v>
      </c>
      <c r="BB5" s="229">
        <v>0</v>
      </c>
      <c r="BC5" s="229">
        <v>0</v>
      </c>
      <c r="BD5" s="229">
        <v>0</v>
      </c>
      <c r="BE5" s="229">
        <v>0</v>
      </c>
      <c r="BF5" s="229">
        <v>0</v>
      </c>
      <c r="BG5" s="229">
        <v>0</v>
      </c>
      <c r="BH5" s="229">
        <v>0</v>
      </c>
      <c r="BI5" s="229">
        <v>0</v>
      </c>
      <c r="BJ5" s="229">
        <v>0</v>
      </c>
      <c r="BK5" s="229">
        <v>0</v>
      </c>
      <c r="BL5" s="229"/>
      <c r="BM5" s="229" t="s">
        <v>666</v>
      </c>
      <c r="BN5" s="229">
        <v>12</v>
      </c>
      <c r="BO5" s="229" t="s">
        <v>666</v>
      </c>
      <c r="BP5" s="302"/>
      <c r="BQ5" s="229"/>
      <c r="BR5" s="229"/>
      <c r="BS5" s="229"/>
      <c r="BT5" s="226"/>
      <c r="BU5" s="235"/>
      <c r="BV5" s="229"/>
      <c r="BW5" s="229" t="s">
        <v>728</v>
      </c>
      <c r="BX5" s="229"/>
      <c r="BY5" s="226" t="s">
        <v>1034</v>
      </c>
      <c r="BZ5" s="312"/>
    </row>
    <row r="6" spans="1:108" ht="13" customHeight="1" x14ac:dyDescent="0.15">
      <c r="A6" s="226">
        <v>11895</v>
      </c>
      <c r="B6" s="311">
        <v>43657</v>
      </c>
      <c r="C6" s="228" t="s">
        <v>662</v>
      </c>
      <c r="D6" s="226" t="s">
        <v>663</v>
      </c>
      <c r="E6" s="226"/>
      <c r="F6" s="226" t="s">
        <v>716</v>
      </c>
      <c r="G6" s="236">
        <v>43646</v>
      </c>
      <c r="H6" s="229" t="s">
        <v>665</v>
      </c>
      <c r="I6" s="229" t="s">
        <v>666</v>
      </c>
      <c r="J6" s="229"/>
      <c r="K6" s="226" t="s">
        <v>1035</v>
      </c>
      <c r="L6" s="226" t="s">
        <v>901</v>
      </c>
      <c r="M6" s="230">
        <v>84.154545454545442</v>
      </c>
      <c r="N6" s="230">
        <v>32.981818181818177</v>
      </c>
      <c r="O6" s="99"/>
      <c r="P6" s="101"/>
      <c r="Q6" s="232"/>
      <c r="R6" s="231"/>
      <c r="S6" s="232"/>
      <c r="T6" s="231"/>
      <c r="U6" s="232"/>
      <c r="V6" s="232"/>
      <c r="W6" s="232"/>
      <c r="X6" s="226"/>
      <c r="Y6" s="230"/>
      <c r="Z6" s="230"/>
      <c r="AA6" s="230"/>
      <c r="AB6" s="230"/>
      <c r="AC6" s="230"/>
      <c r="AD6" s="230"/>
      <c r="AE6" s="232"/>
      <c r="AF6" s="231"/>
      <c r="AG6" s="226"/>
      <c r="AH6" s="230"/>
      <c r="AI6" s="226"/>
      <c r="AJ6" s="226"/>
      <c r="AK6" s="230"/>
      <c r="AL6" s="226"/>
      <c r="AM6" s="230"/>
      <c r="AN6" s="230"/>
      <c r="AO6" s="226" t="s">
        <v>726</v>
      </c>
      <c r="AP6" s="229" t="s">
        <v>666</v>
      </c>
      <c r="AQ6" s="229"/>
      <c r="AR6" s="229"/>
      <c r="AS6" s="233"/>
      <c r="AT6" s="229">
        <v>3</v>
      </c>
      <c r="AU6" s="233"/>
      <c r="AV6" s="229"/>
      <c r="AW6" s="233"/>
      <c r="AX6" s="229" t="s">
        <v>638</v>
      </c>
      <c r="AY6" s="229"/>
      <c r="AZ6" s="229">
        <v>0</v>
      </c>
      <c r="BA6" s="229">
        <v>0</v>
      </c>
      <c r="BB6" s="229">
        <v>0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666</v>
      </c>
      <c r="BN6" s="229"/>
      <c r="BO6" s="229" t="s">
        <v>666</v>
      </c>
      <c r="BP6" s="302"/>
      <c r="BQ6" s="229"/>
      <c r="BR6" s="229"/>
      <c r="BS6" s="229"/>
      <c r="BT6" s="226" t="s">
        <v>1036</v>
      </c>
      <c r="BU6" s="226"/>
      <c r="BV6" s="229"/>
      <c r="BW6" s="229" t="s">
        <v>728</v>
      </c>
      <c r="BX6" s="229"/>
      <c r="BY6" s="235"/>
      <c r="BZ6" s="269" t="s">
        <v>1073</v>
      </c>
    </row>
    <row r="7" spans="1:108" ht="13" customHeight="1" x14ac:dyDescent="0.15">
      <c r="A7" s="226">
        <v>766</v>
      </c>
      <c r="B7" s="311">
        <v>43657</v>
      </c>
      <c r="C7" s="228" t="s">
        <v>662</v>
      </c>
      <c r="D7" s="226" t="s">
        <v>663</v>
      </c>
      <c r="E7" s="226"/>
      <c r="F7" s="226" t="s">
        <v>716</v>
      </c>
      <c r="G7" s="227">
        <v>43652</v>
      </c>
      <c r="H7" s="229" t="s">
        <v>665</v>
      </c>
      <c r="I7" s="229" t="s">
        <v>666</v>
      </c>
      <c r="J7" s="229"/>
      <c r="K7" s="226" t="s">
        <v>702</v>
      </c>
      <c r="L7" s="226" t="s">
        <v>967</v>
      </c>
      <c r="M7" s="230">
        <v>91.872727272727261</v>
      </c>
      <c r="N7" s="230">
        <v>39.645454545454541</v>
      </c>
      <c r="O7" s="99" t="s">
        <v>875</v>
      </c>
      <c r="P7" s="101">
        <v>1000</v>
      </c>
      <c r="Q7" s="230">
        <v>42.818181818181813</v>
      </c>
      <c r="R7" s="231"/>
      <c r="S7" s="232"/>
      <c r="T7" s="231"/>
      <c r="U7" s="232"/>
      <c r="V7" s="232"/>
      <c r="W7" s="232"/>
      <c r="X7" s="226"/>
      <c r="Y7" s="230"/>
      <c r="Z7" s="230"/>
      <c r="AA7" s="230"/>
      <c r="AB7" s="230"/>
      <c r="AC7" s="230"/>
      <c r="AD7" s="232"/>
      <c r="AE7" s="232"/>
      <c r="AF7" s="231"/>
      <c r="AG7" s="226"/>
      <c r="AH7" s="230"/>
      <c r="AI7" s="226"/>
      <c r="AJ7" s="226"/>
      <c r="AK7" s="230"/>
      <c r="AL7" s="226"/>
      <c r="AM7" s="230"/>
      <c r="AN7" s="230"/>
      <c r="AO7" s="226" t="s">
        <v>726</v>
      </c>
      <c r="AP7" s="229" t="s">
        <v>666</v>
      </c>
      <c r="AQ7" s="229"/>
      <c r="AR7" s="229"/>
      <c r="AS7" s="233"/>
      <c r="AT7" s="229">
        <v>6</v>
      </c>
      <c r="AU7" s="233"/>
      <c r="AV7" s="229"/>
      <c r="AW7" s="233"/>
      <c r="AX7" s="229" t="s">
        <v>638</v>
      </c>
      <c r="AY7" s="229"/>
      <c r="AZ7" s="229">
        <v>0</v>
      </c>
      <c r="BA7" s="229">
        <v>0</v>
      </c>
      <c r="BB7" s="229">
        <v>0</v>
      </c>
      <c r="BC7" s="229">
        <v>0</v>
      </c>
      <c r="BD7" s="229">
        <v>0</v>
      </c>
      <c r="BE7" s="229">
        <v>0</v>
      </c>
      <c r="BF7" s="229">
        <v>0</v>
      </c>
      <c r="BG7" s="229">
        <v>0</v>
      </c>
      <c r="BH7" s="229">
        <v>0</v>
      </c>
      <c r="BI7" s="229">
        <v>0</v>
      </c>
      <c r="BJ7" s="229">
        <v>0</v>
      </c>
      <c r="BK7" s="229">
        <v>0</v>
      </c>
      <c r="BL7" s="229"/>
      <c r="BM7" s="229" t="s">
        <v>666</v>
      </c>
      <c r="BN7" s="229">
        <v>12</v>
      </c>
      <c r="BO7" s="229" t="s">
        <v>666</v>
      </c>
      <c r="BP7" s="302"/>
      <c r="BQ7" s="229"/>
      <c r="BR7" s="229"/>
      <c r="BS7" s="229"/>
      <c r="BT7" s="235"/>
      <c r="BU7" s="235"/>
      <c r="BV7" s="229"/>
      <c r="BW7" s="229" t="s">
        <v>728</v>
      </c>
      <c r="BX7" s="229"/>
      <c r="BY7" s="226" t="s">
        <v>1037</v>
      </c>
      <c r="BZ7" s="235" t="s">
        <v>1075</v>
      </c>
    </row>
    <row r="8" spans="1:108" ht="13" customHeight="1" x14ac:dyDescent="0.15">
      <c r="A8" s="226">
        <v>11320</v>
      </c>
      <c r="B8" s="311">
        <v>43657</v>
      </c>
      <c r="C8" s="228" t="s">
        <v>662</v>
      </c>
      <c r="D8" s="226" t="s">
        <v>663</v>
      </c>
      <c r="E8" s="226"/>
      <c r="F8" s="226" t="s">
        <v>716</v>
      </c>
      <c r="G8" s="236">
        <v>43646</v>
      </c>
      <c r="H8" s="229" t="s">
        <v>665</v>
      </c>
      <c r="I8" s="229" t="s">
        <v>666</v>
      </c>
      <c r="J8" s="229"/>
      <c r="K8" s="226" t="s">
        <v>1038</v>
      </c>
      <c r="L8" s="226" t="s">
        <v>919</v>
      </c>
      <c r="M8" s="230">
        <v>85</v>
      </c>
      <c r="N8" s="230">
        <v>33.754545454545458</v>
      </c>
      <c r="O8" s="99"/>
      <c r="P8" s="101"/>
      <c r="Q8" s="232"/>
      <c r="R8" s="231"/>
      <c r="S8" s="232"/>
      <c r="T8" s="226"/>
      <c r="U8" s="232"/>
      <c r="V8" s="232"/>
      <c r="W8" s="232"/>
      <c r="X8" s="231"/>
      <c r="Y8" s="230"/>
      <c r="Z8" s="230"/>
      <c r="AA8" s="230"/>
      <c r="AB8" s="230"/>
      <c r="AC8" s="230"/>
      <c r="AD8" s="230"/>
      <c r="AE8" s="232"/>
      <c r="AF8" s="231"/>
      <c r="AG8" s="226"/>
      <c r="AH8" s="230"/>
      <c r="AI8" s="226"/>
      <c r="AJ8" s="226"/>
      <c r="AK8" s="230"/>
      <c r="AL8" s="226"/>
      <c r="AM8" s="230"/>
      <c r="AN8" s="230"/>
      <c r="AO8" s="226" t="s">
        <v>726</v>
      </c>
      <c r="AP8" s="229" t="s">
        <v>666</v>
      </c>
      <c r="AQ8" s="229"/>
      <c r="AR8" s="229"/>
      <c r="AS8" s="233"/>
      <c r="AT8" s="229">
        <v>3</v>
      </c>
      <c r="AU8" s="233"/>
      <c r="AV8" s="229"/>
      <c r="AW8" s="233"/>
      <c r="AX8" s="229" t="s">
        <v>727</v>
      </c>
      <c r="AY8" s="229"/>
      <c r="AZ8" s="229">
        <v>0</v>
      </c>
      <c r="BA8" s="229">
        <v>0</v>
      </c>
      <c r="BB8" s="229">
        <v>0</v>
      </c>
      <c r="BC8" s="229">
        <v>0</v>
      </c>
      <c r="BD8" s="229">
        <v>0</v>
      </c>
      <c r="BE8" s="229">
        <v>0</v>
      </c>
      <c r="BF8" s="229">
        <v>0</v>
      </c>
      <c r="BG8" s="229">
        <v>0</v>
      </c>
      <c r="BH8" s="229">
        <v>0</v>
      </c>
      <c r="BI8" s="229">
        <v>0</v>
      </c>
      <c r="BJ8" s="229">
        <v>0</v>
      </c>
      <c r="BK8" s="229">
        <v>0</v>
      </c>
      <c r="BL8" s="229"/>
      <c r="BM8" s="229" t="s">
        <v>666</v>
      </c>
      <c r="BN8" s="229"/>
      <c r="BO8" s="229" t="s">
        <v>666</v>
      </c>
      <c r="BP8" s="302"/>
      <c r="BQ8" s="229"/>
      <c r="BR8" s="229"/>
      <c r="BS8" s="229"/>
      <c r="BT8" s="235"/>
      <c r="BU8" s="235"/>
      <c r="BV8" s="229"/>
      <c r="BW8" s="229" t="s">
        <v>728</v>
      </c>
      <c r="BX8" s="229"/>
      <c r="BY8" s="235"/>
      <c r="BZ8" s="99" t="s">
        <v>1077</v>
      </c>
    </row>
    <row r="9" spans="1:108" ht="13" customHeight="1" x14ac:dyDescent="0.15">
      <c r="A9" s="226">
        <v>13693</v>
      </c>
      <c r="B9" s="311">
        <v>43657</v>
      </c>
      <c r="C9" s="228" t="s">
        <v>662</v>
      </c>
      <c r="D9" s="226" t="s">
        <v>663</v>
      </c>
      <c r="E9" s="226"/>
      <c r="F9" s="226" t="s">
        <v>716</v>
      </c>
      <c r="G9" s="236">
        <v>43646</v>
      </c>
      <c r="H9" s="229" t="s">
        <v>665</v>
      </c>
      <c r="I9" s="229" t="s">
        <v>666</v>
      </c>
      <c r="J9" s="229"/>
      <c r="K9" s="226" t="s">
        <v>708</v>
      </c>
      <c r="L9" s="226" t="s">
        <v>1039</v>
      </c>
      <c r="M9" s="230">
        <v>70.909090909090907</v>
      </c>
      <c r="N9" s="230">
        <v>38.636363636363633</v>
      </c>
      <c r="O9" s="99"/>
      <c r="P9" s="101"/>
      <c r="Q9" s="232"/>
      <c r="R9" s="231"/>
      <c r="S9" s="232"/>
      <c r="T9" s="226"/>
      <c r="U9" s="232"/>
      <c r="V9" s="232"/>
      <c r="W9" s="232"/>
      <c r="X9" s="226"/>
      <c r="Y9" s="230"/>
      <c r="Z9" s="230"/>
      <c r="AA9" s="230"/>
      <c r="AB9" s="230"/>
      <c r="AC9" s="230"/>
      <c r="AD9" s="230"/>
      <c r="AE9" s="232"/>
      <c r="AF9" s="231"/>
      <c r="AG9" s="226"/>
      <c r="AH9" s="230"/>
      <c r="AI9" s="226"/>
      <c r="AJ9" s="226"/>
      <c r="AK9" s="232"/>
      <c r="AL9" s="226"/>
      <c r="AM9" s="230"/>
      <c r="AN9" s="230"/>
      <c r="AO9" s="226" t="s">
        <v>726</v>
      </c>
      <c r="AP9" s="229" t="s">
        <v>666</v>
      </c>
      <c r="AQ9" s="229"/>
      <c r="AR9" s="229"/>
      <c r="AS9" s="233"/>
      <c r="AT9" s="229">
        <v>9.5</v>
      </c>
      <c r="AU9" s="233">
        <v>910</v>
      </c>
      <c r="AV9" s="229"/>
      <c r="AW9" s="233">
        <v>6.5</v>
      </c>
      <c r="AX9" s="229" t="s">
        <v>727</v>
      </c>
      <c r="AY9" s="229"/>
      <c r="AZ9" s="229">
        <v>0</v>
      </c>
      <c r="BA9" s="229">
        <v>0</v>
      </c>
      <c r="BB9" s="229">
        <v>0</v>
      </c>
      <c r="BC9" s="229">
        <v>0</v>
      </c>
      <c r="BD9" s="229">
        <v>0</v>
      </c>
      <c r="BE9" s="229">
        <v>0</v>
      </c>
      <c r="BF9" s="229">
        <v>0</v>
      </c>
      <c r="BG9" s="229">
        <v>0</v>
      </c>
      <c r="BH9" s="229">
        <v>0</v>
      </c>
      <c r="BI9" s="229">
        <v>0</v>
      </c>
      <c r="BJ9" s="229">
        <v>0</v>
      </c>
      <c r="BK9" s="229">
        <v>0</v>
      </c>
      <c r="BL9" s="229"/>
      <c r="BM9" s="229" t="s">
        <v>666</v>
      </c>
      <c r="BN9" s="229"/>
      <c r="BO9" s="229" t="s">
        <v>666</v>
      </c>
      <c r="BP9" s="234">
        <v>89.945454545454538</v>
      </c>
      <c r="BQ9" s="229"/>
      <c r="BR9" s="229"/>
      <c r="BS9" s="279"/>
      <c r="BT9" s="182"/>
      <c r="BU9" s="235"/>
      <c r="BV9" s="229"/>
      <c r="BW9" s="229" t="s">
        <v>728</v>
      </c>
      <c r="BX9" s="229"/>
      <c r="BY9" s="235"/>
      <c r="BZ9" s="226" t="s">
        <v>1079</v>
      </c>
    </row>
    <row r="10" spans="1:108" ht="13" customHeight="1" x14ac:dyDescent="0.15">
      <c r="A10" s="226">
        <v>3061</v>
      </c>
      <c r="B10" s="311">
        <v>43657</v>
      </c>
      <c r="C10" s="228" t="s">
        <v>662</v>
      </c>
      <c r="D10" s="226" t="s">
        <v>663</v>
      </c>
      <c r="E10" s="226"/>
      <c r="F10" s="226" t="s">
        <v>716</v>
      </c>
      <c r="G10" s="236">
        <v>43646</v>
      </c>
      <c r="H10" s="229" t="s">
        <v>665</v>
      </c>
      <c r="I10" s="229" t="s">
        <v>666</v>
      </c>
      <c r="J10" s="229"/>
      <c r="K10" s="226" t="s">
        <v>1040</v>
      </c>
      <c r="L10" s="226" t="s">
        <v>921</v>
      </c>
      <c r="M10" s="230">
        <v>109.79090909090908</v>
      </c>
      <c r="N10" s="230">
        <v>41.627272727272725</v>
      </c>
      <c r="O10" s="99" t="s">
        <v>875</v>
      </c>
      <c r="P10" s="101">
        <v>1000</v>
      </c>
      <c r="Q10" s="230">
        <v>43.709090909090904</v>
      </c>
      <c r="R10" s="231"/>
      <c r="S10" s="232"/>
      <c r="T10" s="231"/>
      <c r="U10" s="232"/>
      <c r="V10" s="232"/>
      <c r="W10" s="232"/>
      <c r="X10" s="226"/>
      <c r="Y10" s="230"/>
      <c r="Z10" s="230"/>
      <c r="AA10" s="230"/>
      <c r="AB10" s="230"/>
      <c r="AC10" s="230"/>
      <c r="AD10" s="232"/>
      <c r="AE10" s="232"/>
      <c r="AF10" s="226"/>
      <c r="AG10" s="226"/>
      <c r="AH10" s="230"/>
      <c r="AI10" s="226"/>
      <c r="AJ10" s="226"/>
      <c r="AK10" s="230"/>
      <c r="AL10" s="226"/>
      <c r="AM10" s="230"/>
      <c r="AN10" s="230"/>
      <c r="AO10" s="226" t="s">
        <v>726</v>
      </c>
      <c r="AP10" s="229" t="s">
        <v>666</v>
      </c>
      <c r="AQ10" s="229"/>
      <c r="AR10" s="229"/>
      <c r="AS10" s="233"/>
      <c r="AT10" s="229">
        <v>5.5</v>
      </c>
      <c r="AU10" s="233"/>
      <c r="AV10" s="229"/>
      <c r="AW10" s="233"/>
      <c r="AX10" s="229" t="s">
        <v>666</v>
      </c>
      <c r="AY10" s="229"/>
      <c r="AZ10" s="229">
        <v>4</v>
      </c>
      <c r="BA10" s="229">
        <v>0</v>
      </c>
      <c r="BB10" s="229">
        <v>0</v>
      </c>
      <c r="BC10" s="229">
        <v>0</v>
      </c>
      <c r="BD10" s="229">
        <v>0</v>
      </c>
      <c r="BE10" s="229">
        <v>0</v>
      </c>
      <c r="BF10" s="229">
        <v>0</v>
      </c>
      <c r="BG10" s="229">
        <v>0</v>
      </c>
      <c r="BH10" s="229">
        <v>0</v>
      </c>
      <c r="BI10" s="229">
        <v>0</v>
      </c>
      <c r="BJ10" s="229">
        <v>0</v>
      </c>
      <c r="BK10" s="229">
        <v>0</v>
      </c>
      <c r="BL10" s="229"/>
      <c r="BM10" s="229" t="s">
        <v>666</v>
      </c>
      <c r="BN10" s="229"/>
      <c r="BO10" s="229" t="s">
        <v>666</v>
      </c>
      <c r="BP10" s="302"/>
      <c r="BQ10" s="229"/>
      <c r="BR10" s="229"/>
      <c r="BS10" s="229"/>
      <c r="BT10" s="226"/>
      <c r="BU10" s="226"/>
      <c r="BV10" s="229"/>
      <c r="BW10" s="229" t="s">
        <v>728</v>
      </c>
      <c r="BX10" s="229"/>
      <c r="BY10" s="226"/>
      <c r="BZ10" s="282" t="s">
        <v>1081</v>
      </c>
    </row>
    <row r="11" spans="1:108" ht="13" customHeight="1" x14ac:dyDescent="0.15">
      <c r="A11" s="226">
        <v>15304</v>
      </c>
      <c r="B11" s="311">
        <v>43657</v>
      </c>
      <c r="C11" s="228" t="s">
        <v>662</v>
      </c>
      <c r="D11" s="226" t="s">
        <v>663</v>
      </c>
      <c r="E11" s="226"/>
      <c r="F11" s="226" t="s">
        <v>716</v>
      </c>
      <c r="G11" s="236">
        <v>43646</v>
      </c>
      <c r="H11" s="229" t="s">
        <v>665</v>
      </c>
      <c r="I11" s="229" t="s">
        <v>666</v>
      </c>
      <c r="J11" s="229"/>
      <c r="K11" s="226" t="s">
        <v>714</v>
      </c>
      <c r="L11" s="226" t="s">
        <v>973</v>
      </c>
      <c r="M11" s="230">
        <v>133.66363636363636</v>
      </c>
      <c r="N11" s="230">
        <v>37.418181818181814</v>
      </c>
      <c r="O11" s="99"/>
      <c r="P11" s="101"/>
      <c r="Q11" s="232"/>
      <c r="R11" s="231"/>
      <c r="S11" s="232"/>
      <c r="T11" s="231"/>
      <c r="U11" s="232"/>
      <c r="V11" s="232"/>
      <c r="W11" s="232"/>
      <c r="X11" s="226"/>
      <c r="Y11" s="230"/>
      <c r="Z11" s="230"/>
      <c r="AA11" s="230"/>
      <c r="AB11" s="230"/>
      <c r="AC11" s="230"/>
      <c r="AD11" s="232"/>
      <c r="AE11" s="232"/>
      <c r="AF11" s="231"/>
      <c r="AG11" s="226"/>
      <c r="AH11" s="230"/>
      <c r="AI11" s="226"/>
      <c r="AJ11" s="226"/>
      <c r="AK11" s="230"/>
      <c r="AL11" s="226"/>
      <c r="AM11" s="230"/>
      <c r="AN11" s="230"/>
      <c r="AO11" s="226" t="s">
        <v>726</v>
      </c>
      <c r="AP11" s="229" t="s">
        <v>666</v>
      </c>
      <c r="AQ11" s="229"/>
      <c r="AR11" s="229"/>
      <c r="AS11" s="233"/>
      <c r="AT11" s="229">
        <v>5</v>
      </c>
      <c r="AU11" s="233"/>
      <c r="AV11" s="229"/>
      <c r="AW11" s="233"/>
      <c r="AX11" s="229" t="s">
        <v>727</v>
      </c>
      <c r="AY11" s="229"/>
      <c r="AZ11" s="229">
        <v>0</v>
      </c>
      <c r="BA11" s="229">
        <v>0</v>
      </c>
      <c r="BB11" s="229">
        <v>0</v>
      </c>
      <c r="BC11" s="229">
        <v>0</v>
      </c>
      <c r="BD11" s="229">
        <v>0</v>
      </c>
      <c r="BE11" s="229">
        <v>0</v>
      </c>
      <c r="BF11" s="229">
        <v>0</v>
      </c>
      <c r="BG11" s="229">
        <v>0</v>
      </c>
      <c r="BH11" s="229">
        <v>0</v>
      </c>
      <c r="BI11" s="229">
        <v>0</v>
      </c>
      <c r="BJ11" s="229">
        <v>0</v>
      </c>
      <c r="BK11" s="229">
        <v>0</v>
      </c>
      <c r="BL11" s="229"/>
      <c r="BM11" s="229" t="s">
        <v>666</v>
      </c>
      <c r="BN11" s="229"/>
      <c r="BO11" s="229" t="s">
        <v>666</v>
      </c>
      <c r="BP11" s="302"/>
      <c r="BQ11" s="229"/>
      <c r="BR11" s="229"/>
      <c r="BS11" s="229"/>
      <c r="BT11" s="235"/>
      <c r="BU11" s="235"/>
      <c r="BV11" s="229"/>
      <c r="BW11" s="229" t="s">
        <v>728</v>
      </c>
      <c r="BX11" s="229">
        <v>1</v>
      </c>
      <c r="BY11" s="226"/>
      <c r="BZ11" s="317" t="s">
        <v>1083</v>
      </c>
    </row>
    <row r="12" spans="1:108" ht="13" customHeight="1" x14ac:dyDescent="0.15">
      <c r="A12" s="226">
        <v>13469</v>
      </c>
      <c r="B12" s="311">
        <v>43657</v>
      </c>
      <c r="C12" s="228" t="s">
        <v>662</v>
      </c>
      <c r="D12" s="226" t="s">
        <v>663</v>
      </c>
      <c r="E12" s="226"/>
      <c r="F12" s="226" t="s">
        <v>716</v>
      </c>
      <c r="G12" s="236">
        <v>43646</v>
      </c>
      <c r="H12" s="229" t="s">
        <v>672</v>
      </c>
      <c r="I12" s="229" t="s">
        <v>666</v>
      </c>
      <c r="J12" s="229"/>
      <c r="K12" s="226" t="s">
        <v>720</v>
      </c>
      <c r="L12" s="226" t="s">
        <v>1045</v>
      </c>
      <c r="M12" s="230">
        <v>94.981818181818184</v>
      </c>
      <c r="N12" s="230">
        <v>46.218181818181819</v>
      </c>
      <c r="O12" s="313"/>
      <c r="P12" s="314"/>
      <c r="Q12" s="315"/>
      <c r="R12" s="231"/>
      <c r="S12" s="232"/>
      <c r="T12" s="231"/>
      <c r="U12" s="232"/>
      <c r="V12" s="232"/>
      <c r="W12" s="232"/>
      <c r="X12" s="226"/>
      <c r="Y12" s="230"/>
      <c r="Z12" s="230"/>
      <c r="AA12" s="230"/>
      <c r="AB12" s="230"/>
      <c r="AC12" s="230"/>
      <c r="AD12" s="230"/>
      <c r="AE12" s="232"/>
      <c r="AF12" s="231"/>
      <c r="AG12" s="226"/>
      <c r="AH12" s="230"/>
      <c r="AI12" s="226"/>
      <c r="AJ12" s="226"/>
      <c r="AK12" s="230"/>
      <c r="AL12" s="226"/>
      <c r="AM12" s="230"/>
      <c r="AN12" s="230"/>
      <c r="AO12" s="226" t="s">
        <v>726</v>
      </c>
      <c r="AP12" s="229" t="s">
        <v>666</v>
      </c>
      <c r="AQ12" s="229"/>
      <c r="AR12" s="229"/>
      <c r="AS12" s="233"/>
      <c r="AT12" s="229">
        <v>0</v>
      </c>
      <c r="AU12" s="233"/>
      <c r="AV12" s="229"/>
      <c r="AW12" s="233"/>
      <c r="AX12" s="229" t="s">
        <v>727</v>
      </c>
      <c r="AY12" s="229"/>
      <c r="AZ12" s="229">
        <v>0</v>
      </c>
      <c r="BA12" s="229">
        <v>0</v>
      </c>
      <c r="BB12" s="229">
        <v>0</v>
      </c>
      <c r="BC12" s="229">
        <v>0</v>
      </c>
      <c r="BD12" s="229">
        <v>0</v>
      </c>
      <c r="BE12" s="229">
        <v>0</v>
      </c>
      <c r="BF12" s="229">
        <v>0</v>
      </c>
      <c r="BG12" s="229">
        <v>0</v>
      </c>
      <c r="BH12" s="229">
        <v>0</v>
      </c>
      <c r="BI12" s="229">
        <v>0</v>
      </c>
      <c r="BJ12" s="229">
        <v>0</v>
      </c>
      <c r="BK12" s="229">
        <v>0</v>
      </c>
      <c r="BL12" s="229"/>
      <c r="BM12" s="229" t="s">
        <v>666</v>
      </c>
      <c r="BN12" s="229"/>
      <c r="BO12" s="229" t="s">
        <v>666</v>
      </c>
      <c r="BP12" s="234">
        <v>207.27272727272725</v>
      </c>
      <c r="BQ12" s="229"/>
      <c r="BR12" s="229"/>
      <c r="BS12" s="229"/>
      <c r="BT12" s="235"/>
      <c r="BU12" s="226"/>
      <c r="BV12" s="229"/>
      <c r="BW12" s="229" t="s">
        <v>728</v>
      </c>
      <c r="BX12" s="229">
        <v>1</v>
      </c>
      <c r="BY12" s="235" t="s">
        <v>880</v>
      </c>
      <c r="BZ12" s="289" t="s">
        <v>1085</v>
      </c>
    </row>
    <row r="13" spans="1:108" ht="13" customHeight="1" x14ac:dyDescent="0.15">
      <c r="A13" s="226">
        <v>1895</v>
      </c>
      <c r="B13" s="311">
        <v>43657</v>
      </c>
      <c r="C13" s="228" t="s">
        <v>662</v>
      </c>
      <c r="D13" s="226" t="s">
        <v>663</v>
      </c>
      <c r="E13" s="226"/>
      <c r="F13" s="226" t="s">
        <v>716</v>
      </c>
      <c r="G13" s="227">
        <v>43652</v>
      </c>
      <c r="H13" s="229" t="s">
        <v>665</v>
      </c>
      <c r="I13" s="229" t="s">
        <v>666</v>
      </c>
      <c r="J13" s="229"/>
      <c r="K13" s="226" t="s">
        <v>951</v>
      </c>
      <c r="L13" s="226" t="s">
        <v>898</v>
      </c>
      <c r="M13" s="230">
        <v>87.999999999999986</v>
      </c>
      <c r="N13" s="230">
        <v>32.699999999999996</v>
      </c>
      <c r="O13" s="99" t="s">
        <v>875</v>
      </c>
      <c r="P13" s="101">
        <v>1824.9900000000002</v>
      </c>
      <c r="Q13" s="230">
        <v>34.799999999999997</v>
      </c>
      <c r="R13" s="231"/>
      <c r="S13" s="232"/>
      <c r="T13" s="226"/>
      <c r="U13" s="232"/>
      <c r="V13" s="232"/>
      <c r="W13" s="232"/>
      <c r="X13" s="231"/>
      <c r="Y13" s="230"/>
      <c r="Z13" s="230"/>
      <c r="AA13" s="230"/>
      <c r="AB13" s="230"/>
      <c r="AC13" s="230"/>
      <c r="AD13" s="230"/>
      <c r="AE13" s="232"/>
      <c r="AF13" s="231"/>
      <c r="AG13" s="226"/>
      <c r="AH13" s="230"/>
      <c r="AI13" s="226"/>
      <c r="AJ13" s="226"/>
      <c r="AK13" s="230"/>
      <c r="AL13" s="226"/>
      <c r="AM13" s="230"/>
      <c r="AN13" s="230"/>
      <c r="AO13" s="226" t="s">
        <v>726</v>
      </c>
      <c r="AP13" s="229" t="s">
        <v>666</v>
      </c>
      <c r="AQ13" s="229"/>
      <c r="AR13" s="229"/>
      <c r="AS13" s="233"/>
      <c r="AT13" s="229">
        <v>1</v>
      </c>
      <c r="AU13" s="233"/>
      <c r="AV13" s="229"/>
      <c r="AW13" s="233"/>
      <c r="AX13" s="229" t="s">
        <v>673</v>
      </c>
      <c r="AY13" s="229"/>
      <c r="AZ13" s="229">
        <v>0</v>
      </c>
      <c r="BA13" s="229">
        <v>0</v>
      </c>
      <c r="BB13" s="229">
        <v>2</v>
      </c>
      <c r="BC13" s="229">
        <v>0</v>
      </c>
      <c r="BD13" s="229">
        <v>0</v>
      </c>
      <c r="BE13" s="229">
        <v>0</v>
      </c>
      <c r="BF13" s="229">
        <v>0</v>
      </c>
      <c r="BG13" s="229">
        <v>0</v>
      </c>
      <c r="BH13" s="229">
        <v>0</v>
      </c>
      <c r="BI13" s="229">
        <v>0</v>
      </c>
      <c r="BJ13" s="229">
        <v>0</v>
      </c>
      <c r="BK13" s="229">
        <v>0</v>
      </c>
      <c r="BL13" s="229"/>
      <c r="BM13" s="229" t="s">
        <v>666</v>
      </c>
      <c r="BN13" s="229"/>
      <c r="BO13" s="229" t="s">
        <v>666</v>
      </c>
      <c r="BP13" s="302"/>
      <c r="BQ13" s="229"/>
      <c r="BR13" s="229"/>
      <c r="BS13" s="229"/>
      <c r="BT13" s="226"/>
      <c r="BU13" s="235"/>
      <c r="BV13" s="229"/>
      <c r="BW13" s="229" t="s">
        <v>728</v>
      </c>
      <c r="BX13" s="229"/>
      <c r="BY13" s="235"/>
      <c r="BZ13" s="235" t="s">
        <v>1087</v>
      </c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</row>
    <row r="14" spans="1:108" ht="13" customHeight="1" x14ac:dyDescent="0.15">
      <c r="A14" s="226">
        <v>574</v>
      </c>
      <c r="B14" s="311">
        <v>43657</v>
      </c>
      <c r="C14" s="228" t="s">
        <v>662</v>
      </c>
      <c r="D14" s="226" t="s">
        <v>663</v>
      </c>
      <c r="E14" s="226"/>
      <c r="F14" s="226" t="s">
        <v>716</v>
      </c>
      <c r="G14" s="236">
        <v>43646</v>
      </c>
      <c r="H14" s="229" t="s">
        <v>665</v>
      </c>
      <c r="I14" s="229" t="s">
        <v>666</v>
      </c>
      <c r="J14" s="229"/>
      <c r="K14" s="226" t="s">
        <v>899</v>
      </c>
      <c r="L14" s="226" t="s">
        <v>1048</v>
      </c>
      <c r="M14" s="230">
        <v>133.66363636363636</v>
      </c>
      <c r="N14" s="230">
        <v>37.418181818181814</v>
      </c>
      <c r="O14" s="99"/>
      <c r="P14" s="101"/>
      <c r="Q14" s="232"/>
      <c r="R14" s="231"/>
      <c r="S14" s="232"/>
      <c r="T14" s="231"/>
      <c r="U14" s="232"/>
      <c r="V14" s="232"/>
      <c r="W14" s="232"/>
      <c r="X14" s="226"/>
      <c r="Y14" s="230"/>
      <c r="Z14" s="230"/>
      <c r="AA14" s="230"/>
      <c r="AB14" s="230"/>
      <c r="AC14" s="230"/>
      <c r="AD14" s="232"/>
      <c r="AE14" s="232"/>
      <c r="AF14" s="231"/>
      <c r="AG14" s="226"/>
      <c r="AH14" s="230"/>
      <c r="AI14" s="226"/>
      <c r="AJ14" s="226"/>
      <c r="AK14" s="230"/>
      <c r="AL14" s="226"/>
      <c r="AM14" s="230"/>
      <c r="AN14" s="230"/>
      <c r="AO14" s="226" t="s">
        <v>726</v>
      </c>
      <c r="AP14" s="229" t="s">
        <v>666</v>
      </c>
      <c r="AQ14" s="229"/>
      <c r="AR14" s="229"/>
      <c r="AS14" s="233"/>
      <c r="AT14" s="229">
        <v>5</v>
      </c>
      <c r="AU14" s="233"/>
      <c r="AV14" s="229"/>
      <c r="AW14" s="233"/>
      <c r="AX14" s="229" t="s">
        <v>666</v>
      </c>
      <c r="AY14" s="229"/>
      <c r="AZ14" s="229">
        <v>0</v>
      </c>
      <c r="BA14" s="229">
        <v>0</v>
      </c>
      <c r="BB14" s="229">
        <v>0</v>
      </c>
      <c r="BC14" s="229">
        <v>0</v>
      </c>
      <c r="BD14" s="229">
        <v>0</v>
      </c>
      <c r="BE14" s="229">
        <v>0</v>
      </c>
      <c r="BF14" s="229">
        <v>0</v>
      </c>
      <c r="BG14" s="229">
        <v>0</v>
      </c>
      <c r="BH14" s="229">
        <v>0</v>
      </c>
      <c r="BI14" s="229">
        <v>0</v>
      </c>
      <c r="BJ14" s="229">
        <v>0</v>
      </c>
      <c r="BK14" s="229">
        <v>0</v>
      </c>
      <c r="BL14" s="229"/>
      <c r="BM14" s="229" t="s">
        <v>666</v>
      </c>
      <c r="BN14" s="229"/>
      <c r="BO14" s="229" t="s">
        <v>666</v>
      </c>
      <c r="BP14" s="302"/>
      <c r="BQ14" s="229"/>
      <c r="BR14" s="229"/>
      <c r="BS14" s="229"/>
      <c r="BT14" s="235"/>
      <c r="BU14" s="235"/>
      <c r="BV14" s="229"/>
      <c r="BW14" s="229" t="s">
        <v>728</v>
      </c>
      <c r="BX14" s="229">
        <v>1</v>
      </c>
      <c r="BY14" s="226" t="s">
        <v>1049</v>
      </c>
      <c r="BZ14" s="226" t="s">
        <v>1089</v>
      </c>
    </row>
    <row r="15" spans="1:108" ht="13" customHeight="1" x14ac:dyDescent="0.15">
      <c r="A15" s="226" t="s">
        <v>1091</v>
      </c>
      <c r="B15" s="311">
        <v>43657</v>
      </c>
      <c r="C15" s="228" t="s">
        <v>662</v>
      </c>
      <c r="D15" s="226" t="s">
        <v>663</v>
      </c>
      <c r="E15" s="226"/>
      <c r="F15" s="226" t="s">
        <v>716</v>
      </c>
      <c r="G15" s="227">
        <v>43646</v>
      </c>
      <c r="H15" s="297" t="s">
        <v>665</v>
      </c>
      <c r="I15" s="297" t="s">
        <v>666</v>
      </c>
      <c r="J15" s="297"/>
      <c r="K15" s="268" t="s">
        <v>1095</v>
      </c>
      <c r="L15" s="226" t="s">
        <v>1097</v>
      </c>
      <c r="M15" s="230">
        <v>155.5</v>
      </c>
      <c r="N15" s="230">
        <v>37.4</v>
      </c>
      <c r="O15" s="235"/>
      <c r="P15" s="231"/>
      <c r="Q15" s="232"/>
      <c r="R15" s="231"/>
      <c r="S15" s="232"/>
      <c r="T15" s="231"/>
      <c r="U15" s="232"/>
      <c r="V15" s="232"/>
      <c r="W15" s="232"/>
      <c r="X15" s="226"/>
      <c r="Y15" s="230"/>
      <c r="Z15" s="230"/>
      <c r="AA15" s="230"/>
      <c r="AB15" s="230"/>
      <c r="AC15" s="230"/>
      <c r="AD15" s="230"/>
      <c r="AE15" s="232"/>
      <c r="AF15" s="231"/>
      <c r="AG15" s="226"/>
      <c r="AH15" s="230"/>
      <c r="AI15" s="226"/>
      <c r="AJ15" s="226"/>
      <c r="AK15" s="230"/>
      <c r="AL15" s="226"/>
      <c r="AM15" s="230"/>
      <c r="AN15" s="230"/>
      <c r="AO15" s="269" t="s">
        <v>726</v>
      </c>
      <c r="AP15" s="297" t="s">
        <v>666</v>
      </c>
      <c r="AQ15" s="297"/>
      <c r="AR15" s="297"/>
      <c r="AS15" s="233"/>
      <c r="AT15" s="229">
        <v>3.5</v>
      </c>
      <c r="AU15" s="298"/>
      <c r="AV15" s="297"/>
      <c r="AW15" s="298"/>
      <c r="AX15" s="299" t="s">
        <v>727</v>
      </c>
      <c r="AY15" s="229"/>
      <c r="AZ15" s="297">
        <v>0</v>
      </c>
      <c r="BA15" s="297">
        <v>0</v>
      </c>
      <c r="BB15" s="297">
        <v>0</v>
      </c>
      <c r="BC15" s="297">
        <v>0</v>
      </c>
      <c r="BD15" s="297">
        <v>0</v>
      </c>
      <c r="BE15" s="297">
        <v>0</v>
      </c>
      <c r="BF15" s="297">
        <v>0</v>
      </c>
      <c r="BG15" s="297">
        <v>0</v>
      </c>
      <c r="BH15" s="297">
        <v>0</v>
      </c>
      <c r="BI15" s="297">
        <v>0</v>
      </c>
      <c r="BJ15" s="297">
        <v>0</v>
      </c>
      <c r="BK15" s="297">
        <v>0</v>
      </c>
      <c r="BL15" s="297"/>
      <c r="BM15" s="297" t="s">
        <v>666</v>
      </c>
      <c r="BN15" s="229"/>
      <c r="BO15" s="297" t="s">
        <v>666</v>
      </c>
      <c r="BP15" s="300"/>
      <c r="BQ15" s="297"/>
      <c r="BR15" s="297"/>
      <c r="BS15" s="297"/>
      <c r="BT15" s="301"/>
      <c r="BU15" s="301"/>
      <c r="BV15" s="297"/>
      <c r="BW15" s="297" t="s">
        <v>728</v>
      </c>
      <c r="BX15" s="297"/>
      <c r="BY15" s="226" t="s">
        <v>1098</v>
      </c>
      <c r="BZ15" s="269" t="s">
        <v>1096</v>
      </c>
    </row>
    <row r="16" spans="1:108" ht="13" customHeight="1" x14ac:dyDescent="0.15">
      <c r="A16" s="226" t="s">
        <v>1091</v>
      </c>
      <c r="B16" s="311">
        <v>43657</v>
      </c>
      <c r="C16" s="228" t="s">
        <v>662</v>
      </c>
      <c r="D16" s="226" t="s">
        <v>663</v>
      </c>
      <c r="E16" s="226"/>
      <c r="F16" s="226" t="s">
        <v>716</v>
      </c>
      <c r="G16" s="227">
        <v>43646</v>
      </c>
      <c r="H16" s="297" t="s">
        <v>665</v>
      </c>
      <c r="I16" s="297" t="s">
        <v>666</v>
      </c>
      <c r="J16" s="297"/>
      <c r="K16" s="268" t="s">
        <v>1100</v>
      </c>
      <c r="L16" s="226" t="s">
        <v>908</v>
      </c>
      <c r="M16" s="230">
        <v>96.5</v>
      </c>
      <c r="N16" s="230">
        <v>31.099999999999998</v>
      </c>
      <c r="O16" s="235"/>
      <c r="P16" s="231"/>
      <c r="Q16" s="232"/>
      <c r="R16" s="231"/>
      <c r="S16" s="232"/>
      <c r="T16" s="231"/>
      <c r="U16" s="232"/>
      <c r="V16" s="232"/>
      <c r="W16" s="232"/>
      <c r="X16" s="226"/>
      <c r="Y16" s="230"/>
      <c r="Z16" s="230"/>
      <c r="AA16" s="230"/>
      <c r="AB16" s="230"/>
      <c r="AC16" s="230"/>
      <c r="AD16" s="230"/>
      <c r="AE16" s="232"/>
      <c r="AF16" s="231"/>
      <c r="AG16" s="226"/>
      <c r="AH16" s="230"/>
      <c r="AI16" s="226"/>
      <c r="AJ16" s="226"/>
      <c r="AK16" s="230"/>
      <c r="AL16" s="226"/>
      <c r="AM16" s="230"/>
      <c r="AN16" s="230"/>
      <c r="AO16" s="269" t="s">
        <v>726</v>
      </c>
      <c r="AP16" s="297" t="s">
        <v>666</v>
      </c>
      <c r="AQ16" s="297"/>
      <c r="AR16" s="297"/>
      <c r="AS16" s="233"/>
      <c r="AT16" s="229">
        <v>7</v>
      </c>
      <c r="AU16" s="298"/>
      <c r="AV16" s="297"/>
      <c r="AW16" s="298"/>
      <c r="AX16" s="299" t="s">
        <v>727</v>
      </c>
      <c r="AY16" s="229"/>
      <c r="AZ16" s="297">
        <v>0</v>
      </c>
      <c r="BA16" s="297">
        <v>0</v>
      </c>
      <c r="BB16" s="297">
        <v>0</v>
      </c>
      <c r="BC16" s="297">
        <v>0</v>
      </c>
      <c r="BD16" s="297">
        <v>0</v>
      </c>
      <c r="BE16" s="297">
        <v>0</v>
      </c>
      <c r="BF16" s="297">
        <v>0</v>
      </c>
      <c r="BG16" s="297">
        <v>0</v>
      </c>
      <c r="BH16" s="297">
        <v>0</v>
      </c>
      <c r="BI16" s="297">
        <v>0</v>
      </c>
      <c r="BJ16" s="297">
        <v>0</v>
      </c>
      <c r="BK16" s="297">
        <v>0</v>
      </c>
      <c r="BL16" s="297"/>
      <c r="BM16" s="297" t="s">
        <v>666</v>
      </c>
      <c r="BN16" s="229"/>
      <c r="BO16" s="297" t="s">
        <v>666</v>
      </c>
      <c r="BP16" s="300"/>
      <c r="BQ16" s="297"/>
      <c r="BR16" s="297"/>
      <c r="BS16" s="297"/>
      <c r="BT16" s="316">
        <v>100</v>
      </c>
      <c r="BU16" s="301" t="s">
        <v>1101</v>
      </c>
      <c r="BV16" s="297">
        <v>100</v>
      </c>
      <c r="BW16" s="297" t="s">
        <v>728</v>
      </c>
      <c r="BX16" s="297">
        <v>1</v>
      </c>
      <c r="BY16" s="226" t="s">
        <v>1102</v>
      </c>
      <c r="BZ16" s="269" t="s">
        <v>1103</v>
      </c>
    </row>
    <row r="17" spans="1:78" ht="13" customHeight="1" x14ac:dyDescent="0.15">
      <c r="A17" s="226" t="s">
        <v>1091</v>
      </c>
      <c r="B17" s="311">
        <v>43657</v>
      </c>
      <c r="C17" s="228" t="s">
        <v>662</v>
      </c>
      <c r="D17" s="226" t="s">
        <v>663</v>
      </c>
      <c r="E17" s="226"/>
      <c r="F17" s="226" t="s">
        <v>716</v>
      </c>
      <c r="G17" s="227">
        <v>43655</v>
      </c>
      <c r="H17" s="297" t="s">
        <v>665</v>
      </c>
      <c r="I17" s="297" t="s">
        <v>666</v>
      </c>
      <c r="J17" s="297"/>
      <c r="K17" s="268" t="s">
        <v>1105</v>
      </c>
      <c r="L17" s="226" t="s">
        <v>1106</v>
      </c>
      <c r="M17" s="230">
        <v>105.99999999999999</v>
      </c>
      <c r="N17" s="230">
        <v>42</v>
      </c>
      <c r="O17" s="235"/>
      <c r="P17" s="231"/>
      <c r="Q17" s="232"/>
      <c r="R17" s="231"/>
      <c r="S17" s="232"/>
      <c r="T17" s="231"/>
      <c r="U17" s="232"/>
      <c r="V17" s="232"/>
      <c r="W17" s="232"/>
      <c r="X17" s="226"/>
      <c r="Y17" s="230"/>
      <c r="Z17" s="230"/>
      <c r="AA17" s="230"/>
      <c r="AB17" s="230"/>
      <c r="AC17" s="230"/>
      <c r="AD17" s="230"/>
      <c r="AE17" s="232"/>
      <c r="AF17" s="231"/>
      <c r="AG17" s="226"/>
      <c r="AH17" s="230"/>
      <c r="AI17" s="226"/>
      <c r="AJ17" s="226"/>
      <c r="AK17" s="230"/>
      <c r="AL17" s="226"/>
      <c r="AM17" s="230"/>
      <c r="AN17" s="230"/>
      <c r="AO17" s="269" t="s">
        <v>726</v>
      </c>
      <c r="AP17" s="297" t="s">
        <v>666</v>
      </c>
      <c r="AQ17" s="297"/>
      <c r="AR17" s="297"/>
      <c r="AS17" s="233"/>
      <c r="AT17" s="229">
        <v>5</v>
      </c>
      <c r="AU17" s="298"/>
      <c r="AV17" s="297"/>
      <c r="AW17" s="298"/>
      <c r="AX17" s="299" t="s">
        <v>727</v>
      </c>
      <c r="AY17" s="229"/>
      <c r="AZ17" s="297">
        <v>0</v>
      </c>
      <c r="BA17" s="297">
        <v>0</v>
      </c>
      <c r="BB17" s="297">
        <v>0</v>
      </c>
      <c r="BC17" s="297">
        <v>0</v>
      </c>
      <c r="BD17" s="297">
        <v>0</v>
      </c>
      <c r="BE17" s="297">
        <v>0</v>
      </c>
      <c r="BF17" s="297">
        <v>0</v>
      </c>
      <c r="BG17" s="297">
        <v>0</v>
      </c>
      <c r="BH17" s="297">
        <v>0</v>
      </c>
      <c r="BI17" s="297">
        <v>0</v>
      </c>
      <c r="BJ17" s="297">
        <v>0</v>
      </c>
      <c r="BK17" s="297">
        <v>0</v>
      </c>
      <c r="BL17" s="297"/>
      <c r="BM17" s="297" t="s">
        <v>666</v>
      </c>
      <c r="BN17" s="229"/>
      <c r="BO17" s="297" t="s">
        <v>666</v>
      </c>
      <c r="BP17" s="300"/>
      <c r="BQ17" s="297"/>
      <c r="BR17" s="297"/>
      <c r="BS17" s="297"/>
      <c r="BT17" s="316"/>
      <c r="BU17" s="301"/>
      <c r="BV17" s="297"/>
      <c r="BW17" s="297" t="s">
        <v>728</v>
      </c>
      <c r="BX17" s="297">
        <v>1</v>
      </c>
      <c r="BY17" s="226"/>
      <c r="BZ17" s="269" t="s">
        <v>1107</v>
      </c>
    </row>
    <row r="18" spans="1:78" ht="13" customHeight="1" x14ac:dyDescent="0.15">
      <c r="A18" s="226" t="s">
        <v>1091</v>
      </c>
      <c r="B18" s="311">
        <v>43657</v>
      </c>
      <c r="C18" s="228" t="s">
        <v>662</v>
      </c>
      <c r="D18" s="226" t="s">
        <v>663</v>
      </c>
      <c r="E18" s="226"/>
      <c r="F18" s="226" t="s">
        <v>716</v>
      </c>
      <c r="G18" s="311">
        <v>43480</v>
      </c>
      <c r="H18" s="297" t="s">
        <v>665</v>
      </c>
      <c r="I18" s="297" t="s">
        <v>666</v>
      </c>
      <c r="J18" s="297"/>
      <c r="K18" s="268" t="s">
        <v>1092</v>
      </c>
      <c r="L18" s="226" t="s">
        <v>1015</v>
      </c>
      <c r="M18" s="230">
        <v>94.181818181818173</v>
      </c>
      <c r="N18" s="230">
        <v>33.218181818181812</v>
      </c>
      <c r="O18" s="235"/>
      <c r="P18" s="231"/>
      <c r="Q18" s="232"/>
      <c r="R18" s="231"/>
      <c r="S18" s="232"/>
      <c r="T18" s="231"/>
      <c r="U18" s="232"/>
      <c r="V18" s="232"/>
      <c r="W18" s="232"/>
      <c r="X18" s="226"/>
      <c r="Y18" s="230"/>
      <c r="Z18" s="230"/>
      <c r="AA18" s="230"/>
      <c r="AB18" s="230"/>
      <c r="AC18" s="230"/>
      <c r="AD18" s="230"/>
      <c r="AE18" s="232"/>
      <c r="AF18" s="231"/>
      <c r="AG18" s="226"/>
      <c r="AH18" s="230"/>
      <c r="AI18" s="226"/>
      <c r="AJ18" s="226"/>
      <c r="AK18" s="230"/>
      <c r="AL18" s="226"/>
      <c r="AM18" s="230"/>
      <c r="AN18" s="230"/>
      <c r="AO18" s="269" t="s">
        <v>726</v>
      </c>
      <c r="AP18" s="297" t="s">
        <v>666</v>
      </c>
      <c r="AQ18" s="297"/>
      <c r="AR18" s="297"/>
      <c r="AS18" s="233"/>
      <c r="AT18" s="229">
        <v>5.5</v>
      </c>
      <c r="AU18" s="298"/>
      <c r="AV18" s="297"/>
      <c r="AW18" s="298"/>
      <c r="AX18" s="299" t="s">
        <v>727</v>
      </c>
      <c r="AY18" s="229"/>
      <c r="AZ18" s="297">
        <v>0</v>
      </c>
      <c r="BA18" s="297">
        <v>0</v>
      </c>
      <c r="BB18" s="297">
        <v>0</v>
      </c>
      <c r="BC18" s="297">
        <v>0</v>
      </c>
      <c r="BD18" s="297">
        <v>0</v>
      </c>
      <c r="BE18" s="297">
        <v>0</v>
      </c>
      <c r="BF18" s="297">
        <v>0</v>
      </c>
      <c r="BG18" s="297">
        <v>0</v>
      </c>
      <c r="BH18" s="297">
        <v>0</v>
      </c>
      <c r="BI18" s="297">
        <v>0</v>
      </c>
      <c r="BJ18" s="297">
        <v>0</v>
      </c>
      <c r="BK18" s="297">
        <v>0</v>
      </c>
      <c r="BL18" s="297"/>
      <c r="BM18" s="297" t="s">
        <v>666</v>
      </c>
      <c r="BN18" s="229"/>
      <c r="BO18" s="297" t="s">
        <v>666</v>
      </c>
      <c r="BP18" s="300"/>
      <c r="BQ18" s="297"/>
      <c r="BR18" s="297"/>
      <c r="BS18" s="297"/>
      <c r="BT18" s="301"/>
      <c r="BU18" s="301"/>
      <c r="BV18" s="297"/>
      <c r="BW18" s="297" t="s">
        <v>728</v>
      </c>
      <c r="BX18" s="297"/>
      <c r="BY18" s="226"/>
      <c r="BZ18" s="269" t="s">
        <v>1093</v>
      </c>
    </row>
    <row r="19" spans="1:78" ht="13" customHeight="1" x14ac:dyDescent="0.15">
      <c r="A19" s="226">
        <v>16351</v>
      </c>
      <c r="B19" s="311">
        <v>43657</v>
      </c>
      <c r="C19" s="228" t="s">
        <v>662</v>
      </c>
      <c r="D19" s="226" t="s">
        <v>663</v>
      </c>
      <c r="E19" s="226"/>
      <c r="F19" s="226" t="s">
        <v>664</v>
      </c>
      <c r="G19" s="227">
        <v>43655</v>
      </c>
      <c r="H19" s="297" t="s">
        <v>665</v>
      </c>
      <c r="I19" s="297" t="s">
        <v>666</v>
      </c>
      <c r="J19" s="297"/>
      <c r="K19" s="268" t="s">
        <v>667</v>
      </c>
      <c r="L19" s="226" t="s">
        <v>1027</v>
      </c>
      <c r="M19" s="230">
        <v>92.963636363636354</v>
      </c>
      <c r="N19" s="230">
        <v>39.463636363636354</v>
      </c>
      <c r="O19" s="235"/>
      <c r="P19" s="231"/>
      <c r="Q19" s="232"/>
      <c r="R19" s="231"/>
      <c r="S19" s="232"/>
      <c r="T19" s="231"/>
      <c r="U19" s="232"/>
      <c r="V19" s="232"/>
      <c r="W19" s="232"/>
      <c r="X19" s="226"/>
      <c r="Y19" s="230"/>
      <c r="Z19" s="230"/>
      <c r="AA19" s="230"/>
      <c r="AB19" s="230"/>
      <c r="AC19" s="230"/>
      <c r="AD19" s="230"/>
      <c r="AE19" s="230">
        <v>19.390909090909087</v>
      </c>
      <c r="AF19" s="231"/>
      <c r="AG19" s="226"/>
      <c r="AH19" s="230"/>
      <c r="AI19" s="226"/>
      <c r="AJ19" s="226"/>
      <c r="AK19" s="230"/>
      <c r="AL19" s="226"/>
      <c r="AM19" s="230"/>
      <c r="AN19" s="230"/>
      <c r="AO19" s="226" t="s">
        <v>764</v>
      </c>
      <c r="AP19" s="297" t="s">
        <v>666</v>
      </c>
      <c r="AQ19" s="297"/>
      <c r="AR19" s="297"/>
      <c r="AS19" s="233"/>
      <c r="AT19" s="229">
        <v>6</v>
      </c>
      <c r="AU19" s="298"/>
      <c r="AV19" s="297"/>
      <c r="AW19" s="298"/>
      <c r="AX19" s="299" t="s">
        <v>727</v>
      </c>
      <c r="AY19" s="229"/>
      <c r="AZ19" s="297">
        <v>0</v>
      </c>
      <c r="BA19" s="297">
        <v>0</v>
      </c>
      <c r="BB19" s="297">
        <v>0</v>
      </c>
      <c r="BC19" s="297">
        <v>0</v>
      </c>
      <c r="BD19" s="297">
        <v>0</v>
      </c>
      <c r="BE19" s="297">
        <v>0</v>
      </c>
      <c r="BF19" s="297">
        <v>0</v>
      </c>
      <c r="BG19" s="297">
        <v>0</v>
      </c>
      <c r="BH19" s="297">
        <v>0</v>
      </c>
      <c r="BI19" s="297">
        <v>0</v>
      </c>
      <c r="BJ19" s="297">
        <v>0</v>
      </c>
      <c r="BK19" s="297">
        <v>0</v>
      </c>
      <c r="BL19" s="297"/>
      <c r="BM19" s="297" t="s">
        <v>666</v>
      </c>
      <c r="BN19" s="229">
        <v>12</v>
      </c>
      <c r="BO19" s="297" t="s">
        <v>666</v>
      </c>
      <c r="BP19" s="300"/>
      <c r="BQ19" s="297"/>
      <c r="BR19" s="297"/>
      <c r="BS19" s="297"/>
      <c r="BT19" s="301"/>
      <c r="BU19" s="301"/>
      <c r="BV19" s="297"/>
      <c r="BW19" s="297" t="s">
        <v>728</v>
      </c>
      <c r="BX19" s="297"/>
      <c r="BY19" s="226" t="s">
        <v>1028</v>
      </c>
      <c r="BZ19" s="269" t="s">
        <v>1068</v>
      </c>
    </row>
    <row r="20" spans="1:78" ht="13" customHeight="1" x14ac:dyDescent="0.15">
      <c r="A20" s="226"/>
      <c r="B20" s="311">
        <v>43657</v>
      </c>
      <c r="C20" s="228" t="s">
        <v>662</v>
      </c>
      <c r="D20" s="226" t="s">
        <v>663</v>
      </c>
      <c r="E20" s="226"/>
      <c r="F20" s="226" t="s">
        <v>664</v>
      </c>
      <c r="G20" s="236">
        <v>43646</v>
      </c>
      <c r="H20" s="229" t="s">
        <v>665</v>
      </c>
      <c r="I20" s="229" t="s">
        <v>666</v>
      </c>
      <c r="J20" s="229"/>
      <c r="K20" s="226" t="s">
        <v>669</v>
      </c>
      <c r="L20" s="226" t="s">
        <v>960</v>
      </c>
      <c r="M20" s="230">
        <v>92.536363636363632</v>
      </c>
      <c r="N20" s="230">
        <v>43.2</v>
      </c>
      <c r="O20" s="99"/>
      <c r="P20" s="101"/>
      <c r="Q20" s="232"/>
      <c r="R20" s="231"/>
      <c r="S20" s="232"/>
      <c r="T20" s="226"/>
      <c r="U20" s="232"/>
      <c r="V20" s="232"/>
      <c r="W20" s="232"/>
      <c r="X20" s="226"/>
      <c r="Y20" s="230"/>
      <c r="Z20" s="230"/>
      <c r="AA20" s="230"/>
      <c r="AB20" s="230"/>
      <c r="AC20" s="230"/>
      <c r="AD20" s="232"/>
      <c r="AE20" s="230">
        <v>20.781818181818181</v>
      </c>
      <c r="AF20" s="231"/>
      <c r="AG20" s="226"/>
      <c r="AH20" s="230"/>
      <c r="AI20" s="226"/>
      <c r="AJ20" s="226"/>
      <c r="AK20" s="230"/>
      <c r="AL20" s="226"/>
      <c r="AM20" s="230"/>
      <c r="AN20" s="230"/>
      <c r="AO20" s="226" t="s">
        <v>764</v>
      </c>
      <c r="AP20" s="229" t="s">
        <v>666</v>
      </c>
      <c r="AQ20" s="229"/>
      <c r="AR20" s="229"/>
      <c r="AS20" s="233"/>
      <c r="AT20" s="229">
        <v>8</v>
      </c>
      <c r="AU20" s="233"/>
      <c r="AV20" s="229"/>
      <c r="AW20" s="233"/>
      <c r="AX20" s="299" t="s">
        <v>666</v>
      </c>
      <c r="AY20" s="299"/>
      <c r="AZ20" s="229">
        <v>0</v>
      </c>
      <c r="BA20" s="229">
        <v>0</v>
      </c>
      <c r="BB20" s="229">
        <v>0</v>
      </c>
      <c r="BC20" s="229">
        <v>0</v>
      </c>
      <c r="BD20" s="229">
        <v>0</v>
      </c>
      <c r="BE20" s="229">
        <v>0</v>
      </c>
      <c r="BF20" s="229">
        <v>0</v>
      </c>
      <c r="BG20" s="229">
        <v>0</v>
      </c>
      <c r="BH20" s="229">
        <v>0</v>
      </c>
      <c r="BI20" s="229">
        <v>0</v>
      </c>
      <c r="BJ20" s="229">
        <v>0</v>
      </c>
      <c r="BK20" s="229">
        <v>0</v>
      </c>
      <c r="BL20" s="229"/>
      <c r="BM20" s="229" t="s">
        <v>666</v>
      </c>
      <c r="BN20" s="229"/>
      <c r="BO20" s="229" t="s">
        <v>666</v>
      </c>
      <c r="BP20" s="302"/>
      <c r="BQ20" s="229"/>
      <c r="BR20" s="229"/>
      <c r="BS20" s="229"/>
      <c r="BT20" s="304"/>
      <c r="BU20" s="304"/>
      <c r="BV20" s="299"/>
      <c r="BW20" s="229" t="s">
        <v>728</v>
      </c>
      <c r="BX20" s="229">
        <v>1</v>
      </c>
      <c r="BY20" s="226" t="s">
        <v>1070</v>
      </c>
      <c r="BZ20" s="226"/>
    </row>
    <row r="21" spans="1:78" ht="13" customHeight="1" x14ac:dyDescent="0.15">
      <c r="A21" s="226">
        <v>11133</v>
      </c>
      <c r="B21" s="311">
        <v>43657</v>
      </c>
      <c r="C21" s="228" t="s">
        <v>662</v>
      </c>
      <c r="D21" s="226" t="s">
        <v>663</v>
      </c>
      <c r="E21" s="226"/>
      <c r="F21" s="226" t="s">
        <v>664</v>
      </c>
      <c r="G21" s="236">
        <v>43646</v>
      </c>
      <c r="H21" s="229" t="s">
        <v>665</v>
      </c>
      <c r="I21" s="229" t="s">
        <v>666</v>
      </c>
      <c r="J21" s="229"/>
      <c r="K21" s="226" t="s">
        <v>949</v>
      </c>
      <c r="L21" s="226" t="s">
        <v>1030</v>
      </c>
      <c r="M21" s="230">
        <v>80</v>
      </c>
      <c r="N21" s="230">
        <v>42.999999999999993</v>
      </c>
      <c r="O21" s="99" t="s">
        <v>875</v>
      </c>
      <c r="P21" s="101">
        <v>300</v>
      </c>
      <c r="Q21" s="230">
        <v>26.572727272727271</v>
      </c>
      <c r="R21" s="231">
        <v>700</v>
      </c>
      <c r="S21" s="230">
        <v>48.999999999999993</v>
      </c>
      <c r="T21" s="231">
        <v>1500</v>
      </c>
      <c r="U21" s="230">
        <v>52</v>
      </c>
      <c r="V21" s="232"/>
      <c r="W21" s="232"/>
      <c r="X21" s="226"/>
      <c r="Y21" s="230"/>
      <c r="Z21" s="230"/>
      <c r="AA21" s="230"/>
      <c r="AB21" s="230"/>
      <c r="AC21" s="230"/>
      <c r="AD21" s="230"/>
      <c r="AE21" s="230">
        <v>20.599999999999998</v>
      </c>
      <c r="AF21" s="231"/>
      <c r="AG21" s="226"/>
      <c r="AH21" s="230"/>
      <c r="AI21" s="226"/>
      <c r="AJ21" s="226"/>
      <c r="AK21" s="230"/>
      <c r="AL21" s="226"/>
      <c r="AM21" s="230"/>
      <c r="AN21" s="230"/>
      <c r="AO21" s="226" t="s">
        <v>764</v>
      </c>
      <c r="AP21" s="229" t="s">
        <v>666</v>
      </c>
      <c r="AQ21" s="229"/>
      <c r="AR21" s="229"/>
      <c r="AS21" s="229">
        <v>10</v>
      </c>
      <c r="AT21" s="229">
        <v>5.2</v>
      </c>
      <c r="AU21" s="233"/>
      <c r="AV21" s="229"/>
      <c r="AW21" s="233"/>
      <c r="AX21" s="229" t="s">
        <v>727</v>
      </c>
      <c r="AY21" s="273"/>
      <c r="AZ21" s="229">
        <v>0</v>
      </c>
      <c r="BA21" s="229">
        <v>0</v>
      </c>
      <c r="BB21" s="229">
        <v>2</v>
      </c>
      <c r="BC21" s="229">
        <v>0</v>
      </c>
      <c r="BD21" s="229">
        <v>0</v>
      </c>
      <c r="BE21" s="229">
        <v>0</v>
      </c>
      <c r="BF21" s="229">
        <v>0</v>
      </c>
      <c r="BG21" s="229">
        <v>0</v>
      </c>
      <c r="BH21" s="229">
        <v>0</v>
      </c>
      <c r="BI21" s="229">
        <v>0</v>
      </c>
      <c r="BJ21" s="229">
        <v>0</v>
      </c>
      <c r="BK21" s="229">
        <v>0</v>
      </c>
      <c r="BL21" s="229"/>
      <c r="BM21" s="229" t="s">
        <v>666</v>
      </c>
      <c r="BN21" s="229"/>
      <c r="BO21" s="229" t="s">
        <v>666</v>
      </c>
      <c r="BP21" s="302"/>
      <c r="BQ21" s="229"/>
      <c r="BR21" s="229"/>
      <c r="BS21" s="229"/>
      <c r="BT21" s="304"/>
      <c r="BU21" s="304"/>
      <c r="BV21" s="299"/>
      <c r="BW21" s="229" t="s">
        <v>728</v>
      </c>
      <c r="BX21" s="229"/>
      <c r="BY21" s="272"/>
      <c r="BZ21" s="288"/>
    </row>
    <row r="22" spans="1:78" ht="13" customHeight="1" x14ac:dyDescent="0.15">
      <c r="A22" s="226">
        <v>1158</v>
      </c>
      <c r="B22" s="311">
        <v>43657</v>
      </c>
      <c r="C22" s="228" t="s">
        <v>662</v>
      </c>
      <c r="D22" s="226" t="s">
        <v>663</v>
      </c>
      <c r="E22" s="226"/>
      <c r="F22" s="226" t="s">
        <v>664</v>
      </c>
      <c r="G22" s="236">
        <v>43646</v>
      </c>
      <c r="H22" s="229" t="s">
        <v>665</v>
      </c>
      <c r="I22" s="229" t="s">
        <v>666</v>
      </c>
      <c r="J22" s="229"/>
      <c r="K22" s="226" t="s">
        <v>1031</v>
      </c>
      <c r="L22" s="226" t="s">
        <v>1032</v>
      </c>
      <c r="M22" s="230">
        <v>94.999999999999986</v>
      </c>
      <c r="N22" s="230">
        <v>42.981818181818177</v>
      </c>
      <c r="O22" s="99"/>
      <c r="P22" s="101"/>
      <c r="Q22" s="232"/>
      <c r="R22" s="231"/>
      <c r="S22" s="232"/>
      <c r="T22" s="231"/>
      <c r="U22" s="232"/>
      <c r="V22" s="232"/>
      <c r="W22" s="232"/>
      <c r="X22" s="231"/>
      <c r="Y22" s="230"/>
      <c r="Z22" s="230"/>
      <c r="AA22" s="230"/>
      <c r="AB22" s="230"/>
      <c r="AC22" s="230"/>
      <c r="AD22" s="230"/>
      <c r="AE22" s="230">
        <v>20.799999999999997</v>
      </c>
      <c r="AF22" s="231"/>
      <c r="AG22" s="226"/>
      <c r="AH22" s="230"/>
      <c r="AI22" s="226"/>
      <c r="AJ22" s="226"/>
      <c r="AK22" s="230"/>
      <c r="AL22" s="226"/>
      <c r="AM22" s="230"/>
      <c r="AN22" s="230"/>
      <c r="AO22" s="226" t="s">
        <v>764</v>
      </c>
      <c r="AP22" s="229" t="s">
        <v>666</v>
      </c>
      <c r="AQ22" s="229"/>
      <c r="AR22" s="229"/>
      <c r="AS22" s="233"/>
      <c r="AT22" s="229">
        <v>8.5</v>
      </c>
      <c r="AU22" s="233"/>
      <c r="AV22" s="229"/>
      <c r="AW22" s="233"/>
      <c r="AX22" s="229" t="s">
        <v>727</v>
      </c>
      <c r="AY22" s="229"/>
      <c r="AZ22" s="229">
        <v>0</v>
      </c>
      <c r="BA22" s="229">
        <v>0</v>
      </c>
      <c r="BB22" s="229"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/>
      <c r="BM22" s="229" t="s">
        <v>666</v>
      </c>
      <c r="BN22" s="229">
        <v>12</v>
      </c>
      <c r="BO22" s="229" t="s">
        <v>666</v>
      </c>
      <c r="BP22" s="302"/>
      <c r="BQ22" s="229"/>
      <c r="BR22" s="229"/>
      <c r="BS22" s="229"/>
      <c r="BT22" s="304"/>
      <c r="BU22" s="303"/>
      <c r="BV22" s="299"/>
      <c r="BW22" s="229" t="s">
        <v>728</v>
      </c>
      <c r="BX22" s="229"/>
      <c r="BY22" s="226" t="s">
        <v>1034</v>
      </c>
      <c r="BZ22" s="269" t="s">
        <v>1072</v>
      </c>
    </row>
    <row r="23" spans="1:78" ht="13" customHeight="1" x14ac:dyDescent="0.15">
      <c r="A23" s="226">
        <v>11894</v>
      </c>
      <c r="B23" s="311">
        <v>43657</v>
      </c>
      <c r="C23" s="228" t="s">
        <v>662</v>
      </c>
      <c r="D23" s="226" t="s">
        <v>663</v>
      </c>
      <c r="E23" s="226"/>
      <c r="F23" s="226" t="s">
        <v>664</v>
      </c>
      <c r="G23" s="236">
        <v>43646</v>
      </c>
      <c r="H23" s="229" t="s">
        <v>665</v>
      </c>
      <c r="I23" s="229" t="s">
        <v>666</v>
      </c>
      <c r="J23" s="229"/>
      <c r="K23" s="226" t="s">
        <v>1035</v>
      </c>
      <c r="L23" s="226" t="s">
        <v>901</v>
      </c>
      <c r="M23" s="230">
        <v>84.154545454545442</v>
      </c>
      <c r="N23" s="230">
        <v>32.981818181818177</v>
      </c>
      <c r="O23" s="99"/>
      <c r="P23" s="101"/>
      <c r="Q23" s="232"/>
      <c r="R23" s="231"/>
      <c r="S23" s="232"/>
      <c r="T23" s="231"/>
      <c r="U23" s="232"/>
      <c r="V23" s="232"/>
      <c r="W23" s="232"/>
      <c r="X23" s="226"/>
      <c r="Y23" s="230"/>
      <c r="Z23" s="230"/>
      <c r="AA23" s="230"/>
      <c r="AB23" s="230"/>
      <c r="AC23" s="230"/>
      <c r="AD23" s="230"/>
      <c r="AE23" s="230">
        <v>18</v>
      </c>
      <c r="AF23" s="231"/>
      <c r="AG23" s="226"/>
      <c r="AH23" s="230"/>
      <c r="AI23" s="226"/>
      <c r="AJ23" s="226"/>
      <c r="AK23" s="230"/>
      <c r="AL23" s="226"/>
      <c r="AM23" s="230"/>
      <c r="AN23" s="230"/>
      <c r="AO23" s="226" t="s">
        <v>764</v>
      </c>
      <c r="AP23" s="229" t="s">
        <v>666</v>
      </c>
      <c r="AQ23" s="229"/>
      <c r="AR23" s="229"/>
      <c r="AS23" s="233"/>
      <c r="AT23" s="229">
        <v>3</v>
      </c>
      <c r="AU23" s="233"/>
      <c r="AV23" s="229"/>
      <c r="AW23" s="233"/>
      <c r="AX23" s="229" t="s">
        <v>638</v>
      </c>
      <c r="AY23" s="229"/>
      <c r="AZ23" s="229">
        <v>0</v>
      </c>
      <c r="BA23" s="229">
        <v>0</v>
      </c>
      <c r="BB23" s="229"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/>
      <c r="BM23" s="229" t="s">
        <v>666</v>
      </c>
      <c r="BN23" s="229"/>
      <c r="BO23" s="229" t="s">
        <v>666</v>
      </c>
      <c r="BP23" s="302"/>
      <c r="BQ23" s="229"/>
      <c r="BR23" s="229"/>
      <c r="BS23" s="229"/>
      <c r="BT23" s="304" t="s">
        <v>1036</v>
      </c>
      <c r="BU23" s="304"/>
      <c r="BV23" s="299"/>
      <c r="BW23" s="229" t="s">
        <v>728</v>
      </c>
      <c r="BX23" s="229"/>
      <c r="BY23" s="235"/>
      <c r="BZ23" s="269" t="s">
        <v>1074</v>
      </c>
    </row>
    <row r="24" spans="1:78" ht="13" customHeight="1" x14ac:dyDescent="0.15">
      <c r="A24" s="226">
        <v>767</v>
      </c>
      <c r="B24" s="311">
        <v>43657</v>
      </c>
      <c r="C24" s="228" t="s">
        <v>662</v>
      </c>
      <c r="D24" s="226" t="s">
        <v>663</v>
      </c>
      <c r="E24" s="226"/>
      <c r="F24" s="226" t="s">
        <v>664</v>
      </c>
      <c r="G24" s="227">
        <v>43652</v>
      </c>
      <c r="H24" s="229" t="s">
        <v>665</v>
      </c>
      <c r="I24" s="229" t="s">
        <v>666</v>
      </c>
      <c r="J24" s="229"/>
      <c r="K24" s="226" t="s">
        <v>702</v>
      </c>
      <c r="L24" s="226" t="s">
        <v>967</v>
      </c>
      <c r="M24" s="230">
        <v>91.872727272727261</v>
      </c>
      <c r="N24" s="230">
        <v>39.645454545454541</v>
      </c>
      <c r="O24" s="99" t="s">
        <v>875</v>
      </c>
      <c r="P24" s="101">
        <v>1000</v>
      </c>
      <c r="Q24" s="230">
        <v>42.818181818181813</v>
      </c>
      <c r="R24" s="231"/>
      <c r="S24" s="232"/>
      <c r="T24" s="231"/>
      <c r="U24" s="232"/>
      <c r="V24" s="232"/>
      <c r="W24" s="232"/>
      <c r="X24" s="226"/>
      <c r="Y24" s="230"/>
      <c r="Z24" s="230"/>
      <c r="AA24" s="230"/>
      <c r="AB24" s="230"/>
      <c r="AC24" s="230"/>
      <c r="AD24" s="232"/>
      <c r="AE24" s="230">
        <v>19.036363636363635</v>
      </c>
      <c r="AF24" s="231"/>
      <c r="AG24" s="226"/>
      <c r="AH24" s="230"/>
      <c r="AI24" s="226"/>
      <c r="AJ24" s="226"/>
      <c r="AK24" s="230"/>
      <c r="AL24" s="226"/>
      <c r="AM24" s="230"/>
      <c r="AN24" s="230"/>
      <c r="AO24" s="226" t="s">
        <v>764</v>
      </c>
      <c r="AP24" s="229" t="s">
        <v>666</v>
      </c>
      <c r="AQ24" s="229"/>
      <c r="AR24" s="229"/>
      <c r="AS24" s="233"/>
      <c r="AT24" s="229">
        <v>6</v>
      </c>
      <c r="AU24" s="233"/>
      <c r="AV24" s="229"/>
      <c r="AW24" s="233"/>
      <c r="AX24" s="229" t="s">
        <v>638</v>
      </c>
      <c r="AY24" s="229"/>
      <c r="AZ24" s="229">
        <v>0</v>
      </c>
      <c r="BA24" s="229">
        <v>0</v>
      </c>
      <c r="BB24" s="229">
        <v>0</v>
      </c>
      <c r="BC24" s="229">
        <v>0</v>
      </c>
      <c r="BD24" s="229">
        <v>0</v>
      </c>
      <c r="BE24" s="229">
        <v>0</v>
      </c>
      <c r="BF24" s="229">
        <v>0</v>
      </c>
      <c r="BG24" s="229">
        <v>0</v>
      </c>
      <c r="BH24" s="229">
        <v>0</v>
      </c>
      <c r="BI24" s="229">
        <v>0</v>
      </c>
      <c r="BJ24" s="229">
        <v>0</v>
      </c>
      <c r="BK24" s="229">
        <v>0</v>
      </c>
      <c r="BL24" s="229"/>
      <c r="BM24" s="229" t="s">
        <v>666</v>
      </c>
      <c r="BN24" s="229">
        <v>12</v>
      </c>
      <c r="BO24" s="229" t="s">
        <v>666</v>
      </c>
      <c r="BP24" s="302"/>
      <c r="BQ24" s="229"/>
      <c r="BR24" s="229"/>
      <c r="BS24" s="229"/>
      <c r="BT24" s="235"/>
      <c r="BU24" s="235"/>
      <c r="BV24" s="229"/>
      <c r="BW24" s="229" t="s">
        <v>728</v>
      </c>
      <c r="BX24" s="229"/>
      <c r="BY24" s="226" t="s">
        <v>1037</v>
      </c>
      <c r="BZ24" s="280" t="s">
        <v>1076</v>
      </c>
    </row>
    <row r="25" spans="1:78" ht="13" customHeight="1" x14ac:dyDescent="0.15">
      <c r="A25" s="226">
        <v>11319</v>
      </c>
      <c r="B25" s="311">
        <v>43657</v>
      </c>
      <c r="C25" s="228" t="s">
        <v>662</v>
      </c>
      <c r="D25" s="226" t="s">
        <v>663</v>
      </c>
      <c r="E25" s="226"/>
      <c r="F25" s="226" t="s">
        <v>664</v>
      </c>
      <c r="G25" s="236">
        <v>43646</v>
      </c>
      <c r="H25" s="229" t="s">
        <v>665</v>
      </c>
      <c r="I25" s="229" t="s">
        <v>666</v>
      </c>
      <c r="J25" s="229"/>
      <c r="K25" s="226" t="s">
        <v>1038</v>
      </c>
      <c r="L25" s="226" t="s">
        <v>919</v>
      </c>
      <c r="M25" s="230">
        <v>85</v>
      </c>
      <c r="N25" s="230">
        <v>33.754545454545458</v>
      </c>
      <c r="O25" s="99"/>
      <c r="P25" s="101"/>
      <c r="Q25" s="232"/>
      <c r="R25" s="231"/>
      <c r="S25" s="232"/>
      <c r="T25" s="226"/>
      <c r="U25" s="232"/>
      <c r="V25" s="232"/>
      <c r="W25" s="232"/>
      <c r="X25" s="231"/>
      <c r="Y25" s="230"/>
      <c r="Z25" s="230"/>
      <c r="AA25" s="230"/>
      <c r="AB25" s="230"/>
      <c r="AC25" s="230"/>
      <c r="AD25" s="230"/>
      <c r="AE25" s="230">
        <v>18</v>
      </c>
      <c r="AF25" s="231"/>
      <c r="AG25" s="226"/>
      <c r="AH25" s="230"/>
      <c r="AI25" s="226"/>
      <c r="AJ25" s="226"/>
      <c r="AK25" s="230"/>
      <c r="AL25" s="226"/>
      <c r="AM25" s="230"/>
      <c r="AN25" s="230"/>
      <c r="AO25" s="226" t="s">
        <v>764</v>
      </c>
      <c r="AP25" s="229" t="s">
        <v>666</v>
      </c>
      <c r="AQ25" s="229"/>
      <c r="AR25" s="229"/>
      <c r="AS25" s="233"/>
      <c r="AT25" s="229">
        <v>3</v>
      </c>
      <c r="AU25" s="233"/>
      <c r="AV25" s="229"/>
      <c r="AW25" s="233"/>
      <c r="AX25" s="229" t="s">
        <v>727</v>
      </c>
      <c r="AY25" s="229"/>
      <c r="AZ25" s="229">
        <v>0</v>
      </c>
      <c r="BA25" s="229">
        <v>0</v>
      </c>
      <c r="BB25" s="229">
        <v>0</v>
      </c>
      <c r="BC25" s="229">
        <v>0</v>
      </c>
      <c r="BD25" s="229">
        <v>0</v>
      </c>
      <c r="BE25" s="229">
        <v>0</v>
      </c>
      <c r="BF25" s="229">
        <v>0</v>
      </c>
      <c r="BG25" s="229">
        <v>0</v>
      </c>
      <c r="BH25" s="229">
        <v>0</v>
      </c>
      <c r="BI25" s="229">
        <v>0</v>
      </c>
      <c r="BJ25" s="229">
        <v>0</v>
      </c>
      <c r="BK25" s="229">
        <v>0</v>
      </c>
      <c r="BL25" s="229"/>
      <c r="BM25" s="229" t="s">
        <v>666</v>
      </c>
      <c r="BN25" s="229"/>
      <c r="BO25" s="229" t="s">
        <v>666</v>
      </c>
      <c r="BP25" s="302"/>
      <c r="BQ25" s="229"/>
      <c r="BR25" s="229"/>
      <c r="BS25" s="229"/>
      <c r="BT25" s="235"/>
      <c r="BU25" s="235"/>
      <c r="BV25" s="229"/>
      <c r="BW25" s="229" t="s">
        <v>728</v>
      </c>
      <c r="BX25" s="229"/>
      <c r="BY25" s="235"/>
      <c r="BZ25" t="s">
        <v>1078</v>
      </c>
    </row>
    <row r="26" spans="1:78" ht="13" customHeight="1" x14ac:dyDescent="0.15">
      <c r="A26" s="226">
        <v>13690</v>
      </c>
      <c r="B26" s="311">
        <v>43657</v>
      </c>
      <c r="C26" s="228" t="s">
        <v>662</v>
      </c>
      <c r="D26" s="226" t="s">
        <v>663</v>
      </c>
      <c r="E26" s="226"/>
      <c r="F26" s="226" t="s">
        <v>664</v>
      </c>
      <c r="G26" s="236">
        <v>43646</v>
      </c>
      <c r="H26" s="229" t="s">
        <v>665</v>
      </c>
      <c r="I26" s="229" t="s">
        <v>666</v>
      </c>
      <c r="J26" s="229"/>
      <c r="K26" s="226" t="s">
        <v>708</v>
      </c>
      <c r="L26" s="226" t="s">
        <v>1039</v>
      </c>
      <c r="M26" s="230">
        <v>70.909090909090907</v>
      </c>
      <c r="N26" s="230">
        <v>38.636363636363633</v>
      </c>
      <c r="O26" s="99"/>
      <c r="P26" s="101"/>
      <c r="Q26" s="232"/>
      <c r="R26" s="231"/>
      <c r="S26" s="232"/>
      <c r="T26" s="226"/>
      <c r="U26" s="232"/>
      <c r="V26" s="232"/>
      <c r="W26" s="232"/>
      <c r="X26" s="226"/>
      <c r="Y26" s="230"/>
      <c r="Z26" s="230"/>
      <c r="AA26" s="230"/>
      <c r="AB26" s="230"/>
      <c r="AC26" s="230"/>
      <c r="AD26" s="230"/>
      <c r="AE26" s="230">
        <v>31.818181818181817</v>
      </c>
      <c r="AF26" s="231"/>
      <c r="AG26" s="226"/>
      <c r="AH26" s="230"/>
      <c r="AI26" s="226"/>
      <c r="AJ26" s="226"/>
      <c r="AK26" s="232"/>
      <c r="AL26" s="226"/>
      <c r="AM26" s="230"/>
      <c r="AN26" s="230"/>
      <c r="AO26" s="226" t="s">
        <v>764</v>
      </c>
      <c r="AP26" s="229" t="s">
        <v>666</v>
      </c>
      <c r="AQ26" s="229"/>
      <c r="AR26" s="229"/>
      <c r="AS26" s="233"/>
      <c r="AT26" s="229">
        <v>9.5</v>
      </c>
      <c r="AU26" s="233">
        <v>910</v>
      </c>
      <c r="AV26" s="229"/>
      <c r="AW26" s="233">
        <v>6.5</v>
      </c>
      <c r="AX26" s="229" t="s">
        <v>727</v>
      </c>
      <c r="AY26" s="229"/>
      <c r="AZ26" s="229">
        <v>0</v>
      </c>
      <c r="BA26" s="229">
        <v>0</v>
      </c>
      <c r="BB26" s="229"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/>
      <c r="BM26" s="229" t="s">
        <v>666</v>
      </c>
      <c r="BN26" s="229"/>
      <c r="BO26" s="229" t="s">
        <v>666</v>
      </c>
      <c r="BP26" s="234">
        <v>89.945454545454538</v>
      </c>
      <c r="BQ26" s="229"/>
      <c r="BR26" s="229"/>
      <c r="BS26" s="279"/>
      <c r="BT26" s="182"/>
      <c r="BU26" s="235"/>
      <c r="BV26" s="229"/>
      <c r="BW26" s="229" t="s">
        <v>728</v>
      </c>
      <c r="BX26" s="229"/>
      <c r="BY26" s="235"/>
      <c r="BZ26" s="269" t="s">
        <v>1080</v>
      </c>
    </row>
    <row r="27" spans="1:78" ht="13" customHeight="1" x14ac:dyDescent="0.15">
      <c r="A27" s="226">
        <v>3062</v>
      </c>
      <c r="B27" s="311">
        <v>43657</v>
      </c>
      <c r="C27" s="228" t="s">
        <v>662</v>
      </c>
      <c r="D27" s="226" t="s">
        <v>663</v>
      </c>
      <c r="E27" s="226"/>
      <c r="F27" s="226" t="s">
        <v>664</v>
      </c>
      <c r="G27" s="236">
        <v>43646</v>
      </c>
      <c r="H27" s="229" t="s">
        <v>665</v>
      </c>
      <c r="I27" s="229" t="s">
        <v>666</v>
      </c>
      <c r="J27" s="229"/>
      <c r="K27" s="226" t="s">
        <v>1040</v>
      </c>
      <c r="L27" s="226" t="s">
        <v>921</v>
      </c>
      <c r="M27" s="230">
        <v>109.79090909090908</v>
      </c>
      <c r="N27" s="230">
        <v>41.627272727272725</v>
      </c>
      <c r="O27" s="99" t="s">
        <v>875</v>
      </c>
      <c r="P27" s="101">
        <v>1000</v>
      </c>
      <c r="Q27" s="230">
        <v>43.709090909090904</v>
      </c>
      <c r="R27" s="231"/>
      <c r="S27" s="232"/>
      <c r="T27" s="231"/>
      <c r="U27" s="232"/>
      <c r="V27" s="232"/>
      <c r="W27" s="232"/>
      <c r="X27" s="226"/>
      <c r="Y27" s="230"/>
      <c r="Z27" s="230"/>
      <c r="AA27" s="230"/>
      <c r="AB27" s="230"/>
      <c r="AC27" s="230"/>
      <c r="AD27" s="230"/>
      <c r="AE27" s="230">
        <v>20.718181818181815</v>
      </c>
      <c r="AF27" s="231"/>
      <c r="AG27" s="226"/>
      <c r="AH27" s="230"/>
      <c r="AI27" s="226"/>
      <c r="AJ27" s="226"/>
      <c r="AK27" s="230"/>
      <c r="AL27" s="226"/>
      <c r="AM27" s="230"/>
      <c r="AN27" s="230"/>
      <c r="AO27" s="226" t="s">
        <v>764</v>
      </c>
      <c r="AP27" s="229" t="s">
        <v>666</v>
      </c>
      <c r="AQ27" s="229"/>
      <c r="AR27" s="229"/>
      <c r="AS27" s="233"/>
      <c r="AT27" s="229">
        <v>5.5</v>
      </c>
      <c r="AU27" s="233"/>
      <c r="AV27" s="229"/>
      <c r="AW27" s="233"/>
      <c r="AX27" s="229" t="s">
        <v>666</v>
      </c>
      <c r="AY27" s="229"/>
      <c r="AZ27" s="229">
        <v>4</v>
      </c>
      <c r="BA27" s="229">
        <v>0</v>
      </c>
      <c r="BB27" s="229"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/>
      <c r="BM27" s="229" t="s">
        <v>666</v>
      </c>
      <c r="BN27" s="229"/>
      <c r="BO27" s="229" t="s">
        <v>666</v>
      </c>
      <c r="BP27" s="302"/>
      <c r="BQ27" s="229"/>
      <c r="BR27" s="229"/>
      <c r="BS27" s="229"/>
      <c r="BT27" s="226"/>
      <c r="BU27" s="226"/>
      <c r="BV27" s="229"/>
      <c r="BW27" s="229" t="s">
        <v>728</v>
      </c>
      <c r="BX27" s="229"/>
      <c r="BY27" s="226"/>
      <c r="BZ27" s="281" t="s">
        <v>1082</v>
      </c>
    </row>
    <row r="28" spans="1:78" ht="13" customHeight="1" x14ac:dyDescent="0.15">
      <c r="A28" s="226">
        <v>15305</v>
      </c>
      <c r="B28" s="311">
        <v>43657</v>
      </c>
      <c r="C28" s="228" t="s">
        <v>662</v>
      </c>
      <c r="D28" s="226" t="s">
        <v>663</v>
      </c>
      <c r="E28" s="226"/>
      <c r="F28" s="226" t="s">
        <v>664</v>
      </c>
      <c r="G28" s="236">
        <v>43646</v>
      </c>
      <c r="H28" s="229" t="s">
        <v>665</v>
      </c>
      <c r="I28" s="229" t="s">
        <v>666</v>
      </c>
      <c r="J28" s="229"/>
      <c r="K28" s="226" t="s">
        <v>714</v>
      </c>
      <c r="L28" s="226" t="s">
        <v>973</v>
      </c>
      <c r="M28" s="230">
        <v>133.66363636363636</v>
      </c>
      <c r="N28" s="230">
        <v>37.418181818181814</v>
      </c>
      <c r="O28" s="99"/>
      <c r="P28" s="101"/>
      <c r="Q28" s="232"/>
      <c r="R28" s="231"/>
      <c r="S28" s="232"/>
      <c r="T28" s="231"/>
      <c r="U28" s="232"/>
      <c r="V28" s="232"/>
      <c r="W28" s="232"/>
      <c r="X28" s="226"/>
      <c r="Y28" s="230"/>
      <c r="Z28" s="230"/>
      <c r="AA28" s="230"/>
      <c r="AB28" s="230"/>
      <c r="AC28" s="230"/>
      <c r="AD28" s="232"/>
      <c r="AE28" s="230">
        <v>24.981818181818181</v>
      </c>
      <c r="AF28" s="231"/>
      <c r="AG28" s="226"/>
      <c r="AH28" s="230"/>
      <c r="AI28" s="226"/>
      <c r="AJ28" s="226"/>
      <c r="AK28" s="230"/>
      <c r="AL28" s="226"/>
      <c r="AM28" s="230"/>
      <c r="AN28" s="230"/>
      <c r="AO28" s="226" t="s">
        <v>764</v>
      </c>
      <c r="AP28" s="229" t="s">
        <v>666</v>
      </c>
      <c r="AQ28" s="229"/>
      <c r="AR28" s="229"/>
      <c r="AS28" s="233"/>
      <c r="AT28" s="229">
        <v>5</v>
      </c>
      <c r="AU28" s="233"/>
      <c r="AV28" s="229"/>
      <c r="AW28" s="233"/>
      <c r="AX28" s="229" t="s">
        <v>727</v>
      </c>
      <c r="AY28" s="229"/>
      <c r="AZ28" s="229">
        <v>0</v>
      </c>
      <c r="BA28" s="229">
        <v>0</v>
      </c>
      <c r="BB28" s="229"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/>
      <c r="BM28" s="229" t="s">
        <v>666</v>
      </c>
      <c r="BN28" s="229"/>
      <c r="BO28" s="229" t="s">
        <v>666</v>
      </c>
      <c r="BP28" s="302"/>
      <c r="BQ28" s="229"/>
      <c r="BR28" s="229"/>
      <c r="BS28" s="229"/>
      <c r="BT28" s="235"/>
      <c r="BU28" s="235"/>
      <c r="BV28" s="229"/>
      <c r="BW28" s="229" t="s">
        <v>728</v>
      </c>
      <c r="BX28" s="229">
        <v>1</v>
      </c>
      <c r="BY28" s="226"/>
      <c r="BZ28" s="269" t="s">
        <v>1084</v>
      </c>
    </row>
    <row r="29" spans="1:78" ht="13" customHeight="1" x14ac:dyDescent="0.15">
      <c r="A29" s="226">
        <v>13470</v>
      </c>
      <c r="B29" s="311">
        <v>43657</v>
      </c>
      <c r="C29" s="228" t="s">
        <v>662</v>
      </c>
      <c r="D29" s="226" t="s">
        <v>663</v>
      </c>
      <c r="E29" s="226"/>
      <c r="F29" s="226" t="s">
        <v>664</v>
      </c>
      <c r="G29" s="236">
        <v>43646</v>
      </c>
      <c r="H29" s="229" t="s">
        <v>672</v>
      </c>
      <c r="I29" s="229" t="s">
        <v>666</v>
      </c>
      <c r="J29" s="229"/>
      <c r="K29" s="226" t="s">
        <v>720</v>
      </c>
      <c r="L29" s="226" t="s">
        <v>1045</v>
      </c>
      <c r="M29" s="230">
        <v>94.981818181818184</v>
      </c>
      <c r="N29" s="230">
        <v>46.218181818181819</v>
      </c>
      <c r="O29" s="313"/>
      <c r="P29" s="314"/>
      <c r="Q29" s="315"/>
      <c r="R29" s="231"/>
      <c r="S29" s="232"/>
      <c r="T29" s="231"/>
      <c r="U29" s="232"/>
      <c r="V29" s="232"/>
      <c r="W29" s="232"/>
      <c r="X29" s="226"/>
      <c r="Y29" s="230"/>
      <c r="Z29" s="230"/>
      <c r="AA29" s="230"/>
      <c r="AB29" s="230"/>
      <c r="AC29" s="230"/>
      <c r="AD29" s="230"/>
      <c r="AE29" s="230">
        <v>33.963636363636361</v>
      </c>
      <c r="AF29" s="231"/>
      <c r="AG29" s="226"/>
      <c r="AH29" s="230"/>
      <c r="AI29" s="226"/>
      <c r="AJ29" s="226"/>
      <c r="AK29" s="230"/>
      <c r="AL29" s="226"/>
      <c r="AM29" s="230"/>
      <c r="AN29" s="230"/>
      <c r="AO29" s="226" t="s">
        <v>924</v>
      </c>
      <c r="AP29" s="229" t="s">
        <v>666</v>
      </c>
      <c r="AQ29" s="229"/>
      <c r="AR29" s="229"/>
      <c r="AS29" s="233"/>
      <c r="AT29" s="229">
        <v>0</v>
      </c>
      <c r="AU29" s="233"/>
      <c r="AV29" s="229"/>
      <c r="AW29" s="233"/>
      <c r="AX29" s="229" t="s">
        <v>727</v>
      </c>
      <c r="AY29" s="229"/>
      <c r="AZ29" s="229">
        <v>0</v>
      </c>
      <c r="BA29" s="229">
        <v>0</v>
      </c>
      <c r="BB29" s="229">
        <v>0</v>
      </c>
      <c r="BC29" s="229">
        <v>0</v>
      </c>
      <c r="BD29" s="229">
        <v>0</v>
      </c>
      <c r="BE29" s="229">
        <v>0</v>
      </c>
      <c r="BF29" s="229">
        <v>0</v>
      </c>
      <c r="BG29" s="229">
        <v>0</v>
      </c>
      <c r="BH29" s="229">
        <v>0</v>
      </c>
      <c r="BI29" s="229">
        <v>0</v>
      </c>
      <c r="BJ29" s="229">
        <v>0</v>
      </c>
      <c r="BK29" s="229">
        <v>0</v>
      </c>
      <c r="BL29" s="229"/>
      <c r="BM29" s="229" t="s">
        <v>666</v>
      </c>
      <c r="BN29" s="229"/>
      <c r="BO29" s="229" t="s">
        <v>666</v>
      </c>
      <c r="BP29" s="234">
        <v>207.27272727272725</v>
      </c>
      <c r="BQ29" s="229"/>
      <c r="BR29" s="229"/>
      <c r="BS29" s="229"/>
      <c r="BT29" s="235"/>
      <c r="BU29" s="226"/>
      <c r="BV29" s="229"/>
      <c r="BW29" s="229" t="s">
        <v>728</v>
      </c>
      <c r="BX29" s="229">
        <v>1</v>
      </c>
      <c r="BY29" s="235" t="s">
        <v>880</v>
      </c>
      <c r="BZ29" s="288" t="s">
        <v>1086</v>
      </c>
    </row>
    <row r="30" spans="1:78" ht="13" customHeight="1" x14ac:dyDescent="0.15">
      <c r="A30" s="226">
        <v>1896</v>
      </c>
      <c r="B30" s="311">
        <v>43657</v>
      </c>
      <c r="C30" s="228" t="s">
        <v>662</v>
      </c>
      <c r="D30" s="226" t="s">
        <v>663</v>
      </c>
      <c r="E30" s="226"/>
      <c r="F30" s="226" t="s">
        <v>664</v>
      </c>
      <c r="G30" s="227">
        <v>43652</v>
      </c>
      <c r="H30" s="229" t="s">
        <v>665</v>
      </c>
      <c r="I30" s="229" t="s">
        <v>666</v>
      </c>
      <c r="J30" s="229"/>
      <c r="K30" s="226" t="s">
        <v>951</v>
      </c>
      <c r="L30" s="226" t="s">
        <v>898</v>
      </c>
      <c r="M30" s="230">
        <v>87.999999999999986</v>
      </c>
      <c r="N30" s="230">
        <v>32.699999999999996</v>
      </c>
      <c r="O30" s="99" t="s">
        <v>875</v>
      </c>
      <c r="P30" s="101">
        <v>1824.9900000000002</v>
      </c>
      <c r="Q30" s="230">
        <v>34.799999999999997</v>
      </c>
      <c r="R30" s="231"/>
      <c r="S30" s="232"/>
      <c r="T30" s="226"/>
      <c r="U30" s="232"/>
      <c r="V30" s="232"/>
      <c r="W30" s="232"/>
      <c r="X30" s="231"/>
      <c r="Y30" s="230"/>
      <c r="Z30" s="230"/>
      <c r="AA30" s="230"/>
      <c r="AB30" s="230"/>
      <c r="AC30" s="230"/>
      <c r="AD30" s="230"/>
      <c r="AE30" s="230">
        <v>19.499999999999996</v>
      </c>
      <c r="AF30" s="231"/>
      <c r="AG30" s="226"/>
      <c r="AH30" s="230"/>
      <c r="AI30" s="226"/>
      <c r="AJ30" s="226"/>
      <c r="AK30" s="230"/>
      <c r="AL30" s="226"/>
      <c r="AM30" s="230"/>
      <c r="AN30" s="230"/>
      <c r="AO30" s="226" t="s">
        <v>764</v>
      </c>
      <c r="AP30" s="229" t="s">
        <v>666</v>
      </c>
      <c r="AQ30" s="229"/>
      <c r="AR30" s="229"/>
      <c r="AS30" s="233"/>
      <c r="AT30" s="229">
        <v>1</v>
      </c>
      <c r="AU30" s="233"/>
      <c r="AV30" s="229"/>
      <c r="AW30" s="233"/>
      <c r="AX30" s="229" t="s">
        <v>673</v>
      </c>
      <c r="AY30" s="229"/>
      <c r="AZ30" s="229">
        <v>0</v>
      </c>
      <c r="BA30" s="229">
        <v>0</v>
      </c>
      <c r="BB30" s="229">
        <v>2</v>
      </c>
      <c r="BC30" s="229">
        <v>0</v>
      </c>
      <c r="BD30" s="229">
        <v>0</v>
      </c>
      <c r="BE30" s="229">
        <v>0</v>
      </c>
      <c r="BF30" s="229">
        <v>0</v>
      </c>
      <c r="BG30" s="229">
        <v>0</v>
      </c>
      <c r="BH30" s="229">
        <v>0</v>
      </c>
      <c r="BI30" s="229">
        <v>0</v>
      </c>
      <c r="BJ30" s="229">
        <v>0</v>
      </c>
      <c r="BK30" s="229">
        <v>0</v>
      </c>
      <c r="BL30" s="229"/>
      <c r="BM30" s="229" t="s">
        <v>666</v>
      </c>
      <c r="BN30" s="229"/>
      <c r="BO30" s="229" t="s">
        <v>666</v>
      </c>
      <c r="BP30" s="302"/>
      <c r="BQ30" s="229"/>
      <c r="BR30" s="229"/>
      <c r="BS30" s="229"/>
      <c r="BT30" s="226"/>
      <c r="BU30" s="235"/>
      <c r="BV30" s="229"/>
      <c r="BW30" s="229" t="s">
        <v>728</v>
      </c>
      <c r="BX30" s="229"/>
      <c r="BY30" s="235"/>
      <c r="BZ30" s="280" t="s">
        <v>1088</v>
      </c>
    </row>
    <row r="31" spans="1:78" ht="13" customHeight="1" x14ac:dyDescent="0.15">
      <c r="A31" s="226">
        <v>575</v>
      </c>
      <c r="B31" s="311">
        <v>43657</v>
      </c>
      <c r="C31" s="228" t="s">
        <v>662</v>
      </c>
      <c r="D31" s="226" t="s">
        <v>663</v>
      </c>
      <c r="E31" s="226"/>
      <c r="F31" s="226" t="s">
        <v>664</v>
      </c>
      <c r="G31" s="236">
        <v>43646</v>
      </c>
      <c r="H31" s="229" t="s">
        <v>665</v>
      </c>
      <c r="I31" s="229" t="s">
        <v>666</v>
      </c>
      <c r="J31" s="229"/>
      <c r="K31" s="226" t="s">
        <v>899</v>
      </c>
      <c r="L31" s="226" t="s">
        <v>1048</v>
      </c>
      <c r="M31" s="230">
        <v>133.66363636363636</v>
      </c>
      <c r="N31" s="230">
        <v>37.418181818181814</v>
      </c>
      <c r="O31" s="235"/>
      <c r="P31" s="231"/>
      <c r="Q31" s="232"/>
      <c r="R31" s="231"/>
      <c r="S31" s="232"/>
      <c r="T31" s="231"/>
      <c r="U31" s="232"/>
      <c r="V31" s="232"/>
      <c r="W31" s="232"/>
      <c r="X31" s="226"/>
      <c r="Y31" s="230"/>
      <c r="Z31" s="230"/>
      <c r="AA31" s="230"/>
      <c r="AB31" s="230"/>
      <c r="AC31" s="230"/>
      <c r="AD31" s="232"/>
      <c r="AE31" s="230">
        <v>24.981818181818181</v>
      </c>
      <c r="AF31" s="231"/>
      <c r="AG31" s="226"/>
      <c r="AH31" s="230"/>
      <c r="AI31" s="226"/>
      <c r="AJ31" s="226"/>
      <c r="AK31" s="230"/>
      <c r="AL31" s="226"/>
      <c r="AM31" s="230"/>
      <c r="AN31" s="230"/>
      <c r="AO31" s="226" t="s">
        <v>764</v>
      </c>
      <c r="AP31" s="229" t="s">
        <v>666</v>
      </c>
      <c r="AQ31" s="229"/>
      <c r="AR31" s="229"/>
      <c r="AS31" s="233"/>
      <c r="AT31" s="229">
        <v>5</v>
      </c>
      <c r="AU31" s="233"/>
      <c r="AV31" s="229"/>
      <c r="AW31" s="233"/>
      <c r="AX31" s="229" t="s">
        <v>666</v>
      </c>
      <c r="AY31" s="229"/>
      <c r="AZ31" s="229">
        <v>0</v>
      </c>
      <c r="BA31" s="229">
        <v>0</v>
      </c>
      <c r="BB31" s="229">
        <v>0</v>
      </c>
      <c r="BC31" s="229">
        <v>0</v>
      </c>
      <c r="BD31" s="229">
        <v>0</v>
      </c>
      <c r="BE31" s="229">
        <v>0</v>
      </c>
      <c r="BF31" s="229">
        <v>0</v>
      </c>
      <c r="BG31" s="229">
        <v>0</v>
      </c>
      <c r="BH31" s="229">
        <v>0</v>
      </c>
      <c r="BI31" s="229">
        <v>0</v>
      </c>
      <c r="BJ31" s="229">
        <v>0</v>
      </c>
      <c r="BK31" s="229">
        <v>0</v>
      </c>
      <c r="BL31" s="229"/>
      <c r="BM31" s="229" t="s">
        <v>666</v>
      </c>
      <c r="BN31" s="229"/>
      <c r="BO31" s="229" t="s">
        <v>666</v>
      </c>
      <c r="BP31" s="302"/>
      <c r="BQ31" s="229"/>
      <c r="BR31" s="229"/>
      <c r="BS31" s="229"/>
      <c r="BT31" s="235"/>
      <c r="BU31" s="235"/>
      <c r="BV31" s="229"/>
      <c r="BW31" s="229" t="s">
        <v>728</v>
      </c>
      <c r="BX31" s="229">
        <v>1</v>
      </c>
      <c r="BY31" s="226" t="s">
        <v>1049</v>
      </c>
      <c r="BZ31" s="269" t="s">
        <v>1090</v>
      </c>
    </row>
    <row r="32" spans="1:78" ht="13" customHeight="1" x14ac:dyDescent="0.15">
      <c r="A32" s="226" t="s">
        <v>1091</v>
      </c>
      <c r="B32" s="311">
        <v>43657</v>
      </c>
      <c r="C32" s="228" t="s">
        <v>662</v>
      </c>
      <c r="D32" s="226" t="s">
        <v>663</v>
      </c>
      <c r="E32" s="226"/>
      <c r="F32" s="226" t="s">
        <v>664</v>
      </c>
      <c r="G32" s="227">
        <v>43646</v>
      </c>
      <c r="H32" s="297" t="s">
        <v>665</v>
      </c>
      <c r="I32" s="297" t="s">
        <v>666</v>
      </c>
      <c r="J32" s="297"/>
      <c r="K32" s="268" t="s">
        <v>1095</v>
      </c>
      <c r="L32" s="226" t="s">
        <v>1097</v>
      </c>
      <c r="M32" s="230">
        <v>157.1</v>
      </c>
      <c r="N32" s="230">
        <v>39.6</v>
      </c>
      <c r="O32" s="235"/>
      <c r="P32" s="231"/>
      <c r="Q32" s="232"/>
      <c r="R32" s="231"/>
      <c r="S32" s="232"/>
      <c r="T32" s="231"/>
      <c r="U32" s="232"/>
      <c r="V32" s="232"/>
      <c r="W32" s="232"/>
      <c r="X32" s="226"/>
      <c r="Y32" s="230"/>
      <c r="Z32" s="230"/>
      <c r="AA32" s="230"/>
      <c r="AB32" s="230"/>
      <c r="AC32" s="230"/>
      <c r="AD32" s="230"/>
      <c r="AE32" s="230">
        <v>16</v>
      </c>
      <c r="AF32" s="231"/>
      <c r="AG32" s="226"/>
      <c r="AH32" s="230"/>
      <c r="AI32" s="226"/>
      <c r="AJ32" s="226"/>
      <c r="AK32" s="230"/>
      <c r="AL32" s="226"/>
      <c r="AM32" s="230"/>
      <c r="AN32" s="230"/>
      <c r="AO32" s="226" t="s">
        <v>764</v>
      </c>
      <c r="AP32" s="297" t="s">
        <v>666</v>
      </c>
      <c r="AQ32" s="297"/>
      <c r="AR32" s="297"/>
      <c r="AS32" s="233"/>
      <c r="AT32" s="229">
        <v>3.5</v>
      </c>
      <c r="AU32" s="298"/>
      <c r="AV32" s="297"/>
      <c r="AW32" s="298"/>
      <c r="AX32" s="299" t="s">
        <v>727</v>
      </c>
      <c r="AY32" s="229"/>
      <c r="AZ32" s="297">
        <v>0</v>
      </c>
      <c r="BA32" s="297">
        <v>0</v>
      </c>
      <c r="BB32" s="297">
        <v>0</v>
      </c>
      <c r="BC32" s="297">
        <v>0</v>
      </c>
      <c r="BD32" s="297">
        <v>0</v>
      </c>
      <c r="BE32" s="297">
        <v>0</v>
      </c>
      <c r="BF32" s="297">
        <v>0</v>
      </c>
      <c r="BG32" s="297">
        <v>0</v>
      </c>
      <c r="BH32" s="297">
        <v>0</v>
      </c>
      <c r="BI32" s="297">
        <v>0</v>
      </c>
      <c r="BJ32" s="297">
        <v>0</v>
      </c>
      <c r="BK32" s="297">
        <v>0</v>
      </c>
      <c r="BL32" s="297"/>
      <c r="BM32" s="297" t="s">
        <v>666</v>
      </c>
      <c r="BN32" s="229"/>
      <c r="BO32" s="297" t="s">
        <v>666</v>
      </c>
      <c r="BP32" s="300"/>
      <c r="BQ32" s="297"/>
      <c r="BR32" s="297"/>
      <c r="BS32" s="297"/>
      <c r="BT32" s="301"/>
      <c r="BU32" s="301"/>
      <c r="BV32" s="297"/>
      <c r="BW32" s="297" t="s">
        <v>728</v>
      </c>
      <c r="BX32" s="297"/>
      <c r="BY32" s="226" t="s">
        <v>1098</v>
      </c>
      <c r="BZ32" s="269" t="s">
        <v>1099</v>
      </c>
    </row>
    <row r="33" spans="1:78" ht="13" customHeight="1" x14ac:dyDescent="0.15">
      <c r="A33" s="226" t="s">
        <v>1091</v>
      </c>
      <c r="B33" s="311">
        <v>43657</v>
      </c>
      <c r="C33" s="228" t="s">
        <v>662</v>
      </c>
      <c r="D33" s="226" t="s">
        <v>663</v>
      </c>
      <c r="E33" s="226"/>
      <c r="F33" s="226" t="s">
        <v>664</v>
      </c>
      <c r="G33" s="227">
        <v>43646</v>
      </c>
      <c r="H33" s="297" t="s">
        <v>665</v>
      </c>
      <c r="I33" s="297" t="s">
        <v>666</v>
      </c>
      <c r="J33" s="297"/>
      <c r="K33" s="268" t="s">
        <v>1100</v>
      </c>
      <c r="L33" s="226" t="s">
        <v>908</v>
      </c>
      <c r="M33" s="230">
        <v>96.5</v>
      </c>
      <c r="N33" s="230">
        <v>31.099999999999998</v>
      </c>
      <c r="O33" s="235"/>
      <c r="P33" s="231"/>
      <c r="Q33" s="232"/>
      <c r="R33" s="231"/>
      <c r="S33" s="232"/>
      <c r="T33" s="231"/>
      <c r="U33" s="232"/>
      <c r="V33" s="232"/>
      <c r="W33" s="232"/>
      <c r="X33" s="226"/>
      <c r="Y33" s="230"/>
      <c r="Z33" s="230"/>
      <c r="AA33" s="230"/>
      <c r="AB33" s="230"/>
      <c r="AC33" s="230"/>
      <c r="AD33" s="230"/>
      <c r="AE33" s="230">
        <v>18.2</v>
      </c>
      <c r="AF33" s="231"/>
      <c r="AG33" s="226"/>
      <c r="AH33" s="230"/>
      <c r="AI33" s="226"/>
      <c r="AJ33" s="226"/>
      <c r="AK33" s="230"/>
      <c r="AL33" s="226"/>
      <c r="AM33" s="230"/>
      <c r="AN33" s="230"/>
      <c r="AO33" s="226" t="s">
        <v>764</v>
      </c>
      <c r="AP33" s="297" t="s">
        <v>666</v>
      </c>
      <c r="AQ33" s="297"/>
      <c r="AR33" s="297"/>
      <c r="AS33" s="233"/>
      <c r="AT33" s="229">
        <v>7</v>
      </c>
      <c r="AU33" s="298"/>
      <c r="AV33" s="297"/>
      <c r="AW33" s="298"/>
      <c r="AX33" s="299" t="s">
        <v>727</v>
      </c>
      <c r="AY33" s="229"/>
      <c r="AZ33" s="297">
        <v>0</v>
      </c>
      <c r="BA33" s="297">
        <v>0</v>
      </c>
      <c r="BB33" s="297">
        <v>0</v>
      </c>
      <c r="BC33" s="297">
        <v>0</v>
      </c>
      <c r="BD33" s="297">
        <v>0</v>
      </c>
      <c r="BE33" s="297">
        <v>0</v>
      </c>
      <c r="BF33" s="297">
        <v>0</v>
      </c>
      <c r="BG33" s="297">
        <v>0</v>
      </c>
      <c r="BH33" s="297">
        <v>0</v>
      </c>
      <c r="BI33" s="297">
        <v>0</v>
      </c>
      <c r="BJ33" s="297">
        <v>0</v>
      </c>
      <c r="BK33" s="297">
        <v>0</v>
      </c>
      <c r="BL33" s="297"/>
      <c r="BM33" s="297" t="s">
        <v>666</v>
      </c>
      <c r="BN33" s="229"/>
      <c r="BO33" s="297" t="s">
        <v>666</v>
      </c>
      <c r="BP33" s="300"/>
      <c r="BQ33" s="297"/>
      <c r="BR33" s="297"/>
      <c r="BS33" s="297"/>
      <c r="BT33" s="316">
        <v>100</v>
      </c>
      <c r="BU33" s="301" t="s">
        <v>1101</v>
      </c>
      <c r="BV33" s="297">
        <v>100</v>
      </c>
      <c r="BW33" s="297" t="s">
        <v>728</v>
      </c>
      <c r="BX33" s="297"/>
      <c r="BY33" s="226" t="s">
        <v>1102</v>
      </c>
      <c r="BZ33" s="269" t="s">
        <v>1104</v>
      </c>
    </row>
    <row r="34" spans="1:78" ht="13" customHeight="1" x14ac:dyDescent="0.15">
      <c r="A34" s="226" t="s">
        <v>1091</v>
      </c>
      <c r="B34" s="311">
        <v>43657</v>
      </c>
      <c r="C34" s="228" t="s">
        <v>662</v>
      </c>
      <c r="D34" s="226" t="s">
        <v>663</v>
      </c>
      <c r="E34" s="226"/>
      <c r="F34" s="226" t="s">
        <v>664</v>
      </c>
      <c r="G34" s="227">
        <v>43655</v>
      </c>
      <c r="H34" s="297" t="s">
        <v>665</v>
      </c>
      <c r="I34" s="297" t="s">
        <v>666</v>
      </c>
      <c r="J34" s="297"/>
      <c r="K34" s="268" t="s">
        <v>1105</v>
      </c>
      <c r="L34" s="226" t="s">
        <v>1106</v>
      </c>
      <c r="M34" s="230">
        <v>105.99999999999999</v>
      </c>
      <c r="N34" s="230">
        <v>42</v>
      </c>
      <c r="O34" s="235"/>
      <c r="P34" s="231"/>
      <c r="Q34" s="232"/>
      <c r="R34" s="231"/>
      <c r="S34" s="232"/>
      <c r="T34" s="231"/>
      <c r="U34" s="232"/>
      <c r="V34" s="232"/>
      <c r="W34" s="232"/>
      <c r="X34" s="226"/>
      <c r="Y34" s="230"/>
      <c r="Z34" s="230"/>
      <c r="AA34" s="230"/>
      <c r="AB34" s="230"/>
      <c r="AC34" s="230"/>
      <c r="AD34" s="230"/>
      <c r="AE34" s="230">
        <v>20.9</v>
      </c>
      <c r="AF34" s="231"/>
      <c r="AG34" s="226"/>
      <c r="AH34" s="230"/>
      <c r="AI34" s="226"/>
      <c r="AJ34" s="226"/>
      <c r="AK34" s="230"/>
      <c r="AL34" s="226"/>
      <c r="AM34" s="230"/>
      <c r="AN34" s="230"/>
      <c r="AO34" s="226" t="s">
        <v>764</v>
      </c>
      <c r="AP34" s="297" t="s">
        <v>666</v>
      </c>
      <c r="AQ34" s="297"/>
      <c r="AR34" s="297"/>
      <c r="AS34" s="233"/>
      <c r="AT34" s="229">
        <v>5</v>
      </c>
      <c r="AU34" s="298"/>
      <c r="AV34" s="297"/>
      <c r="AW34" s="298"/>
      <c r="AX34" s="299" t="s">
        <v>727</v>
      </c>
      <c r="AY34" s="229"/>
      <c r="AZ34" s="297">
        <v>0</v>
      </c>
      <c r="BA34" s="297">
        <v>0</v>
      </c>
      <c r="BB34" s="297">
        <v>0</v>
      </c>
      <c r="BC34" s="297">
        <v>0</v>
      </c>
      <c r="BD34" s="297">
        <v>0</v>
      </c>
      <c r="BE34" s="297">
        <v>0</v>
      </c>
      <c r="BF34" s="297">
        <v>0</v>
      </c>
      <c r="BG34" s="297">
        <v>0</v>
      </c>
      <c r="BH34" s="297">
        <v>0</v>
      </c>
      <c r="BI34" s="297">
        <v>0</v>
      </c>
      <c r="BJ34" s="297">
        <v>0</v>
      </c>
      <c r="BK34" s="297">
        <v>0</v>
      </c>
      <c r="BL34" s="297"/>
      <c r="BM34" s="297" t="s">
        <v>666</v>
      </c>
      <c r="BN34" s="229"/>
      <c r="BO34" s="297" t="s">
        <v>666</v>
      </c>
      <c r="BP34" s="300"/>
      <c r="BQ34" s="297"/>
      <c r="BR34" s="297"/>
      <c r="BS34" s="297"/>
      <c r="BT34" s="316"/>
      <c r="BU34" s="301"/>
      <c r="BV34" s="297"/>
      <c r="BW34" s="297" t="s">
        <v>728</v>
      </c>
      <c r="BX34" s="297">
        <v>1</v>
      </c>
      <c r="BY34" s="226"/>
      <c r="BZ34" s="269" t="s">
        <v>1108</v>
      </c>
    </row>
    <row r="35" spans="1:78" ht="13" customHeight="1" x14ac:dyDescent="0.15">
      <c r="A35" s="226" t="s">
        <v>1091</v>
      </c>
      <c r="B35" s="311">
        <v>43657</v>
      </c>
      <c r="C35" s="228" t="s">
        <v>662</v>
      </c>
      <c r="D35" s="226" t="s">
        <v>663</v>
      </c>
      <c r="E35" s="226"/>
      <c r="F35" s="226" t="s">
        <v>664</v>
      </c>
      <c r="G35" s="311">
        <v>43480</v>
      </c>
      <c r="H35" s="297" t="s">
        <v>665</v>
      </c>
      <c r="I35" s="297" t="s">
        <v>666</v>
      </c>
      <c r="J35" s="297"/>
      <c r="K35" s="268" t="s">
        <v>1092</v>
      </c>
      <c r="L35" s="226" t="s">
        <v>1015</v>
      </c>
      <c r="M35" s="230">
        <v>94.181818181818173</v>
      </c>
      <c r="N35" s="230">
        <v>33.218181818181812</v>
      </c>
      <c r="O35" s="235"/>
      <c r="P35" s="231"/>
      <c r="Q35" s="232"/>
      <c r="R35" s="231"/>
      <c r="S35" s="232"/>
      <c r="T35" s="231"/>
      <c r="U35" s="232"/>
      <c r="V35" s="232"/>
      <c r="W35" s="232"/>
      <c r="X35" s="226"/>
      <c r="Y35" s="230"/>
      <c r="Z35" s="230"/>
      <c r="AA35" s="230"/>
      <c r="AB35" s="230"/>
      <c r="AC35" s="230"/>
      <c r="AD35" s="230"/>
      <c r="AE35" s="230">
        <v>23.563636363636363</v>
      </c>
      <c r="AF35" s="231"/>
      <c r="AG35" s="226"/>
      <c r="AH35" s="230"/>
      <c r="AI35" s="226"/>
      <c r="AJ35" s="226"/>
      <c r="AK35" s="230"/>
      <c r="AL35" s="226"/>
      <c r="AM35" s="230"/>
      <c r="AN35" s="230"/>
      <c r="AO35" s="226" t="s">
        <v>764</v>
      </c>
      <c r="AP35" s="297" t="s">
        <v>666</v>
      </c>
      <c r="AQ35" s="297"/>
      <c r="AR35" s="297"/>
      <c r="AS35" s="233"/>
      <c r="AT35" s="229">
        <v>5.5</v>
      </c>
      <c r="AU35" s="298"/>
      <c r="AV35" s="297"/>
      <c r="AW35" s="298"/>
      <c r="AX35" s="299" t="s">
        <v>727</v>
      </c>
      <c r="AY35" s="229"/>
      <c r="AZ35" s="297">
        <v>0</v>
      </c>
      <c r="BA35" s="297">
        <v>0</v>
      </c>
      <c r="BB35" s="297">
        <v>0</v>
      </c>
      <c r="BC35" s="297">
        <v>0</v>
      </c>
      <c r="BD35" s="297">
        <v>0</v>
      </c>
      <c r="BE35" s="297">
        <v>0</v>
      </c>
      <c r="BF35" s="297">
        <v>0</v>
      </c>
      <c r="BG35" s="297">
        <v>0</v>
      </c>
      <c r="BH35" s="297">
        <v>0</v>
      </c>
      <c r="BI35" s="297">
        <v>0</v>
      </c>
      <c r="BJ35" s="297">
        <v>0</v>
      </c>
      <c r="BK35" s="297">
        <v>0</v>
      </c>
      <c r="BL35" s="297"/>
      <c r="BM35" s="297" t="s">
        <v>666</v>
      </c>
      <c r="BN35" s="229"/>
      <c r="BO35" s="297" t="s">
        <v>666</v>
      </c>
      <c r="BP35" s="300"/>
      <c r="BQ35" s="297"/>
      <c r="BR35" s="297"/>
      <c r="BS35" s="297"/>
      <c r="BT35" s="301"/>
      <c r="BU35" s="301"/>
      <c r="BV35" s="297"/>
      <c r="BW35" s="297" t="s">
        <v>728</v>
      </c>
      <c r="BX35" s="297"/>
      <c r="BY35" s="226"/>
      <c r="BZ35" s="269" t="s">
        <v>1094</v>
      </c>
    </row>
    <row r="36" spans="1:78" x14ac:dyDescent="0.15">
      <c r="L36" s="224"/>
    </row>
  </sheetData>
  <sheetProtection algorithmName="SHA-512" hashValue="9D8mdKzGikYdhvvTgViKoTdOQMm5luXu2ivGyRwo/h54Eqf8ulLzKXMhdqfN1JMYFGVXdKScVt0l62a1ZNNEPQ==" saltValue="+rljEICVBb1+vFC36PDgjg==" spinCount="100000" sheet="1" objects="1" scenarios="1"/>
  <hyperlinks>
    <hyperlink ref="BZ11" r:id="rId1" xr:uid="{6A2E570D-AF23-7447-BC71-4823969A0E6C}"/>
    <hyperlink ref="BZ12" r:id="rId2" xr:uid="{4B020CD2-91AC-7047-9973-3E57589C971F}"/>
  </hyperlinks>
  <pageMargins left="0.75" right="0.75" top="1" bottom="1" header="0.5" footer="0.5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938DE-3699-994E-9E55-A061E04FEAF4}">
  <sheetPr codeName="Sheet24"/>
  <dimension ref="A1:DE36"/>
  <sheetViews>
    <sheetView zoomScale="150" zoomScaleNormal="150" workbookViewId="0">
      <pane xSplit="12" ySplit="1" topLeftCell="M2" activePane="bottomRight" state="frozen"/>
      <selection activeCell="A37" sqref="A37:XFD41"/>
      <selection pane="topRight" activeCell="A37" sqref="A37:XFD41"/>
      <selection pane="bottomLeft" activeCell="A37" sqref="A37:XFD41"/>
      <selection pane="bottomRight" activeCell="A37" sqref="A37:XFD41"/>
    </sheetView>
  </sheetViews>
  <sheetFormatPr baseColWidth="10" defaultRowHeight="13" x14ac:dyDescent="0.15"/>
  <cols>
    <col min="11" max="11" width="17" bestFit="1" customWidth="1"/>
    <col min="12" max="12" width="19" bestFit="1" customWidth="1"/>
    <col min="78" max="78" width="17.33203125" customWidth="1"/>
  </cols>
  <sheetData>
    <row r="1" spans="1:109" ht="84" x14ac:dyDescent="0.15">
      <c r="A1" s="74" t="s">
        <v>265</v>
      </c>
      <c r="B1" s="74" t="s">
        <v>780</v>
      </c>
      <c r="C1" s="75" t="s">
        <v>781</v>
      </c>
      <c r="D1" s="76" t="s">
        <v>782</v>
      </c>
      <c r="E1" s="76" t="s">
        <v>783</v>
      </c>
      <c r="F1" s="76" t="s">
        <v>784</v>
      </c>
      <c r="G1" s="76" t="s">
        <v>785</v>
      </c>
      <c r="H1" s="77" t="s">
        <v>786</v>
      </c>
      <c r="I1" s="77" t="s">
        <v>787</v>
      </c>
      <c r="J1" s="77" t="s">
        <v>788</v>
      </c>
      <c r="K1" s="76" t="s">
        <v>278</v>
      </c>
      <c r="L1" s="78" t="s">
        <v>789</v>
      </c>
      <c r="M1" s="79" t="s">
        <v>280</v>
      </c>
      <c r="N1" s="80" t="s">
        <v>790</v>
      </c>
      <c r="O1" s="80" t="s">
        <v>282</v>
      </c>
      <c r="P1" s="80" t="s">
        <v>791</v>
      </c>
      <c r="Q1" s="80" t="s">
        <v>792</v>
      </c>
      <c r="R1" s="80" t="s">
        <v>793</v>
      </c>
      <c r="S1" s="80" t="s">
        <v>794</v>
      </c>
      <c r="T1" s="80" t="s">
        <v>795</v>
      </c>
      <c r="U1" s="80" t="s">
        <v>796</v>
      </c>
      <c r="V1" s="81" t="s">
        <v>797</v>
      </c>
      <c r="W1" s="82" t="s">
        <v>798</v>
      </c>
      <c r="X1" s="82" t="s">
        <v>799</v>
      </c>
      <c r="Y1" s="82" t="s">
        <v>800</v>
      </c>
      <c r="Z1" s="82" t="s">
        <v>801</v>
      </c>
      <c r="AA1" s="82" t="s">
        <v>802</v>
      </c>
      <c r="AB1" s="82" t="s">
        <v>803</v>
      </c>
      <c r="AC1" s="82" t="s">
        <v>804</v>
      </c>
      <c r="AD1" s="82" t="s">
        <v>805</v>
      </c>
      <c r="AE1" s="83" t="s">
        <v>806</v>
      </c>
      <c r="AF1" s="84" t="s">
        <v>807</v>
      </c>
      <c r="AG1" s="84" t="s">
        <v>808</v>
      </c>
      <c r="AH1" s="85" t="s">
        <v>809</v>
      </c>
      <c r="AI1" s="85" t="s">
        <v>810</v>
      </c>
      <c r="AJ1" s="85" t="s">
        <v>811</v>
      </c>
      <c r="AK1" s="85" t="s">
        <v>812</v>
      </c>
      <c r="AL1" s="193" t="s">
        <v>813</v>
      </c>
      <c r="AM1" s="194" t="s">
        <v>814</v>
      </c>
      <c r="AN1" s="194" t="s">
        <v>815</v>
      </c>
      <c r="AO1" s="86" t="s">
        <v>816</v>
      </c>
      <c r="AP1" s="87" t="s">
        <v>817</v>
      </c>
      <c r="AQ1" s="87" t="s">
        <v>818</v>
      </c>
      <c r="AR1" s="88" t="s">
        <v>819</v>
      </c>
      <c r="AS1" s="195" t="s">
        <v>616</v>
      </c>
      <c r="AT1" s="196" t="s">
        <v>820</v>
      </c>
      <c r="AU1" s="197" t="s">
        <v>821</v>
      </c>
      <c r="AV1" s="197" t="s">
        <v>822</v>
      </c>
      <c r="AW1" s="197" t="s">
        <v>823</v>
      </c>
      <c r="AX1" s="91" t="s">
        <v>824</v>
      </c>
      <c r="AY1" s="92" t="s">
        <v>825</v>
      </c>
      <c r="AZ1" s="93" t="s">
        <v>826</v>
      </c>
      <c r="BA1" s="94" t="s">
        <v>827</v>
      </c>
      <c r="BB1" s="93" t="s">
        <v>828</v>
      </c>
      <c r="BC1" s="94" t="s">
        <v>829</v>
      </c>
      <c r="BD1" s="93" t="s">
        <v>830</v>
      </c>
      <c r="BE1" s="94" t="s">
        <v>831</v>
      </c>
      <c r="BF1" s="93" t="s">
        <v>832</v>
      </c>
      <c r="BG1" s="95" t="s">
        <v>833</v>
      </c>
      <c r="BH1" s="158" t="s">
        <v>617</v>
      </c>
      <c r="BI1" s="159" t="s">
        <v>618</v>
      </c>
      <c r="BJ1" s="93" t="s">
        <v>834</v>
      </c>
      <c r="BK1" s="95" t="s">
        <v>835</v>
      </c>
      <c r="BL1" s="77" t="s">
        <v>836</v>
      </c>
      <c r="BM1" s="77" t="s">
        <v>837</v>
      </c>
      <c r="BN1" s="77" t="s">
        <v>838</v>
      </c>
      <c r="BO1" s="77" t="s">
        <v>839</v>
      </c>
      <c r="BP1" s="77" t="s">
        <v>619</v>
      </c>
      <c r="BQ1" s="77" t="s">
        <v>620</v>
      </c>
      <c r="BR1" s="77" t="s">
        <v>621</v>
      </c>
      <c r="BS1" s="77" t="s">
        <v>622</v>
      </c>
      <c r="BT1" s="75" t="s">
        <v>840</v>
      </c>
      <c r="BU1" s="75" t="s">
        <v>841</v>
      </c>
      <c r="BV1" s="77" t="s">
        <v>842</v>
      </c>
      <c r="BW1" s="77" t="s">
        <v>843</v>
      </c>
      <c r="BX1" s="198" t="s">
        <v>844</v>
      </c>
      <c r="BY1" s="75" t="s">
        <v>845</v>
      </c>
      <c r="BZ1" s="77" t="s">
        <v>846</v>
      </c>
      <c r="CA1" s="74" t="s">
        <v>847</v>
      </c>
    </row>
    <row r="2" spans="1:109" ht="13" customHeight="1" x14ac:dyDescent="0.15">
      <c r="A2" s="226">
        <v>16351</v>
      </c>
      <c r="B2" s="227">
        <v>43290</v>
      </c>
      <c r="C2" s="228" t="s">
        <v>662</v>
      </c>
      <c r="D2" s="226" t="s">
        <v>663</v>
      </c>
      <c r="E2" s="226"/>
      <c r="F2" s="226" t="s">
        <v>716</v>
      </c>
      <c r="G2" s="227">
        <v>43284</v>
      </c>
      <c r="H2" s="297" t="s">
        <v>665</v>
      </c>
      <c r="I2" s="297" t="s">
        <v>666</v>
      </c>
      <c r="J2" s="297"/>
      <c r="K2" s="268" t="s">
        <v>667</v>
      </c>
      <c r="L2" s="226" t="s">
        <v>1027</v>
      </c>
      <c r="M2" s="230">
        <v>88.518181818181816</v>
      </c>
      <c r="N2" s="230">
        <v>31.218181818181819</v>
      </c>
      <c r="O2" s="235"/>
      <c r="P2" s="231"/>
      <c r="Q2" s="232"/>
      <c r="R2" s="231"/>
      <c r="S2" s="232"/>
      <c r="T2" s="231"/>
      <c r="U2" s="232"/>
      <c r="V2" s="232"/>
      <c r="W2" s="232"/>
      <c r="X2" s="226"/>
      <c r="Y2" s="230"/>
      <c r="Z2" s="230"/>
      <c r="AA2" s="230"/>
      <c r="AB2" s="230"/>
      <c r="AC2" s="230"/>
      <c r="AD2" s="230"/>
      <c r="AE2" s="232"/>
      <c r="AF2" s="231"/>
      <c r="AG2" s="226"/>
      <c r="AH2" s="230"/>
      <c r="AI2" s="226"/>
      <c r="AJ2" s="226"/>
      <c r="AK2" s="230"/>
      <c r="AL2" s="226"/>
      <c r="AM2" s="230"/>
      <c r="AN2" s="230"/>
      <c r="AO2" s="269" t="s">
        <v>726</v>
      </c>
      <c r="AP2" s="297" t="s">
        <v>666</v>
      </c>
      <c r="AQ2" s="297"/>
      <c r="AR2" s="297"/>
      <c r="AS2" s="233"/>
      <c r="AT2" s="229">
        <v>5</v>
      </c>
      <c r="AU2" s="298"/>
      <c r="AV2" s="297"/>
      <c r="AW2" s="298"/>
      <c r="AX2" s="299" t="s">
        <v>727</v>
      </c>
      <c r="AY2" s="229"/>
      <c r="AZ2" s="297">
        <v>0</v>
      </c>
      <c r="BA2" s="297">
        <v>0</v>
      </c>
      <c r="BB2" s="297">
        <v>0</v>
      </c>
      <c r="BC2" s="297">
        <v>0</v>
      </c>
      <c r="BD2" s="297">
        <v>0</v>
      </c>
      <c r="BE2" s="297">
        <v>0</v>
      </c>
      <c r="BF2" s="297">
        <v>0</v>
      </c>
      <c r="BG2" s="297">
        <v>0</v>
      </c>
      <c r="BH2" s="297">
        <v>0</v>
      </c>
      <c r="BI2" s="297">
        <v>0</v>
      </c>
      <c r="BJ2" s="297">
        <v>0</v>
      </c>
      <c r="BK2" s="297">
        <v>0</v>
      </c>
      <c r="BL2" s="297"/>
      <c r="BM2" s="297" t="s">
        <v>666</v>
      </c>
      <c r="BN2" s="229">
        <v>12</v>
      </c>
      <c r="BO2" s="297" t="s">
        <v>666</v>
      </c>
      <c r="BP2" s="300"/>
      <c r="BQ2" s="297"/>
      <c r="BR2" s="297"/>
      <c r="BS2" s="297"/>
      <c r="BT2" s="301"/>
      <c r="BU2" s="301"/>
      <c r="BV2" s="297"/>
      <c r="BW2" s="297" t="s">
        <v>728</v>
      </c>
      <c r="BX2" s="297"/>
      <c r="BY2" s="226" t="s">
        <v>1028</v>
      </c>
      <c r="BZ2" s="269" t="s">
        <v>570</v>
      </c>
      <c r="CA2" s="226" t="s">
        <v>426</v>
      </c>
    </row>
    <row r="3" spans="1:109" ht="13" customHeight="1" x14ac:dyDescent="0.15">
      <c r="A3" s="226"/>
      <c r="B3" s="227">
        <v>43309</v>
      </c>
      <c r="C3" s="228" t="s">
        <v>662</v>
      </c>
      <c r="D3" s="226" t="s">
        <v>663</v>
      </c>
      <c r="E3" s="226"/>
      <c r="F3" s="226" t="s">
        <v>716</v>
      </c>
      <c r="G3" s="236">
        <v>43299</v>
      </c>
      <c r="H3" s="229" t="s">
        <v>665</v>
      </c>
      <c r="I3" s="229" t="s">
        <v>666</v>
      </c>
      <c r="J3" s="229"/>
      <c r="K3" s="226" t="s">
        <v>669</v>
      </c>
      <c r="L3" s="226" t="s">
        <v>960</v>
      </c>
      <c r="M3" s="230">
        <v>90.690909090909088</v>
      </c>
      <c r="N3" s="230">
        <v>32.672727272727265</v>
      </c>
      <c r="O3" s="235"/>
      <c r="P3" s="231"/>
      <c r="Q3" s="232"/>
      <c r="R3" s="231"/>
      <c r="S3" s="232"/>
      <c r="T3" s="226"/>
      <c r="U3" s="232"/>
      <c r="V3" s="232"/>
      <c r="W3" s="232"/>
      <c r="X3" s="226"/>
      <c r="Y3" s="230"/>
      <c r="Z3" s="230"/>
      <c r="AA3" s="230"/>
      <c r="AB3" s="230"/>
      <c r="AC3" s="230"/>
      <c r="AD3" s="232"/>
      <c r="AE3" s="232"/>
      <c r="AF3" s="231"/>
      <c r="AG3" s="226"/>
      <c r="AH3" s="230"/>
      <c r="AI3" s="226"/>
      <c r="AJ3" s="226"/>
      <c r="AK3" s="230"/>
      <c r="AL3" s="226"/>
      <c r="AM3" s="230"/>
      <c r="AN3" s="230"/>
      <c r="AO3" s="226" t="s">
        <v>726</v>
      </c>
      <c r="AP3" s="229" t="s">
        <v>666</v>
      </c>
      <c r="AQ3" s="229"/>
      <c r="AR3" s="229"/>
      <c r="AS3" s="233"/>
      <c r="AT3" s="229">
        <v>8</v>
      </c>
      <c r="AU3" s="233"/>
      <c r="AV3" s="229"/>
      <c r="AW3" s="233"/>
      <c r="AX3" s="229" t="s">
        <v>666</v>
      </c>
      <c r="AY3" s="229"/>
      <c r="AZ3" s="229">
        <v>0</v>
      </c>
      <c r="BA3" s="229">
        <v>0</v>
      </c>
      <c r="BB3" s="229">
        <v>0</v>
      </c>
      <c r="BC3" s="229">
        <v>0</v>
      </c>
      <c r="BD3" s="229">
        <v>0</v>
      </c>
      <c r="BE3" s="229">
        <v>0</v>
      </c>
      <c r="BF3" s="229">
        <v>0</v>
      </c>
      <c r="BG3" s="229">
        <v>0</v>
      </c>
      <c r="BH3" s="229">
        <v>0</v>
      </c>
      <c r="BI3" s="229">
        <v>0</v>
      </c>
      <c r="BJ3" s="229">
        <v>0</v>
      </c>
      <c r="BK3" s="229">
        <v>0</v>
      </c>
      <c r="BL3" s="229"/>
      <c r="BM3" s="229" t="s">
        <v>666</v>
      </c>
      <c r="BN3" s="229"/>
      <c r="BO3" s="229" t="s">
        <v>666</v>
      </c>
      <c r="BP3" s="302"/>
      <c r="BQ3" s="229"/>
      <c r="BR3" s="229"/>
      <c r="BS3" s="229"/>
      <c r="BT3" s="226"/>
      <c r="BU3" s="226"/>
      <c r="BV3" s="229"/>
      <c r="BW3" s="229" t="s">
        <v>728</v>
      </c>
      <c r="BX3" s="229">
        <v>1</v>
      </c>
      <c r="BY3" s="226"/>
      <c r="BZ3" s="269" t="s">
        <v>1029</v>
      </c>
      <c r="CA3" s="226" t="s">
        <v>729</v>
      </c>
    </row>
    <row r="4" spans="1:109" ht="13" customHeight="1" x14ac:dyDescent="0.15">
      <c r="A4" s="226">
        <v>11132</v>
      </c>
      <c r="B4" s="227">
        <v>43291</v>
      </c>
      <c r="C4" s="228" t="s">
        <v>662</v>
      </c>
      <c r="D4" s="226" t="s">
        <v>663</v>
      </c>
      <c r="E4" s="226"/>
      <c r="F4" s="226" t="s">
        <v>716</v>
      </c>
      <c r="G4" s="236">
        <v>43281</v>
      </c>
      <c r="H4" s="229" t="s">
        <v>665</v>
      </c>
      <c r="I4" s="229" t="s">
        <v>666</v>
      </c>
      <c r="J4" s="229"/>
      <c r="K4" s="226" t="s">
        <v>949</v>
      </c>
      <c r="L4" s="226" t="s">
        <v>1030</v>
      </c>
      <c r="M4" s="230">
        <v>80</v>
      </c>
      <c r="N4" s="230">
        <v>32.999999999999993</v>
      </c>
      <c r="O4" s="99" t="s">
        <v>875</v>
      </c>
      <c r="P4" s="101">
        <v>300</v>
      </c>
      <c r="Q4" s="230">
        <v>35.154545454545456</v>
      </c>
      <c r="R4" s="231">
        <v>700</v>
      </c>
      <c r="S4" s="230">
        <v>40</v>
      </c>
      <c r="T4" s="231">
        <v>1500</v>
      </c>
      <c r="U4" s="230">
        <v>42</v>
      </c>
      <c r="V4" s="232"/>
      <c r="W4" s="232"/>
      <c r="X4" s="226"/>
      <c r="Y4" s="230"/>
      <c r="Z4" s="230"/>
      <c r="AA4" s="230"/>
      <c r="AB4" s="230"/>
      <c r="AC4" s="230"/>
      <c r="AD4" s="230"/>
      <c r="AE4" s="232"/>
      <c r="AF4" s="231"/>
      <c r="AG4" s="226"/>
      <c r="AH4" s="230"/>
      <c r="AI4" s="226"/>
      <c r="AJ4" s="226"/>
      <c r="AK4" s="230"/>
      <c r="AL4" s="226"/>
      <c r="AM4" s="230"/>
      <c r="AN4" s="230"/>
      <c r="AO4" s="226" t="s">
        <v>726</v>
      </c>
      <c r="AP4" s="229" t="s">
        <v>666</v>
      </c>
      <c r="AQ4" s="229"/>
      <c r="AR4" s="229"/>
      <c r="AS4" s="229">
        <v>10</v>
      </c>
      <c r="AT4" s="229">
        <v>5.2</v>
      </c>
      <c r="AU4" s="233"/>
      <c r="AV4" s="229"/>
      <c r="AW4" s="233"/>
      <c r="AX4" s="229" t="s">
        <v>727</v>
      </c>
      <c r="AY4" s="273"/>
      <c r="AZ4" s="229">
        <v>0</v>
      </c>
      <c r="BA4" s="229">
        <v>0</v>
      </c>
      <c r="BB4" s="229">
        <v>2</v>
      </c>
      <c r="BC4" s="229">
        <v>0</v>
      </c>
      <c r="BD4" s="229">
        <v>0</v>
      </c>
      <c r="BE4" s="229">
        <v>0</v>
      </c>
      <c r="BF4" s="229">
        <v>0</v>
      </c>
      <c r="BG4" s="229">
        <v>0</v>
      </c>
      <c r="BH4" s="229">
        <v>0</v>
      </c>
      <c r="BI4" s="229">
        <v>0</v>
      </c>
      <c r="BJ4" s="229">
        <v>0</v>
      </c>
      <c r="BK4" s="229">
        <v>0</v>
      </c>
      <c r="BL4" s="229"/>
      <c r="BM4" s="229" t="s">
        <v>666</v>
      </c>
      <c r="BN4" s="229"/>
      <c r="BO4" s="229" t="s">
        <v>666</v>
      </c>
      <c r="BP4" s="302"/>
      <c r="BQ4" s="229"/>
      <c r="BR4" s="229"/>
      <c r="BS4" s="229"/>
      <c r="BT4" s="226"/>
      <c r="BU4" s="226"/>
      <c r="BV4" s="229"/>
      <c r="BW4" s="229" t="s">
        <v>728</v>
      </c>
      <c r="BX4" s="229"/>
      <c r="BY4" s="272"/>
      <c r="BZ4" s="289" t="s">
        <v>931</v>
      </c>
      <c r="CA4" s="235" t="s">
        <v>426</v>
      </c>
      <c r="CB4" s="156"/>
    </row>
    <row r="5" spans="1:109" ht="13" customHeight="1" x14ac:dyDescent="0.15">
      <c r="A5" s="226">
        <v>1159</v>
      </c>
      <c r="B5" s="227">
        <v>43291</v>
      </c>
      <c r="C5" s="228" t="s">
        <v>662</v>
      </c>
      <c r="D5" s="226" t="s">
        <v>663</v>
      </c>
      <c r="E5" s="226"/>
      <c r="F5" s="226" t="s">
        <v>716</v>
      </c>
      <c r="G5" s="227">
        <v>43281</v>
      </c>
      <c r="H5" s="229" t="s">
        <v>665</v>
      </c>
      <c r="I5" s="229" t="s">
        <v>666</v>
      </c>
      <c r="J5" s="229"/>
      <c r="K5" s="226" t="s">
        <v>1031</v>
      </c>
      <c r="L5" s="226" t="s">
        <v>1032</v>
      </c>
      <c r="M5" s="230">
        <v>84.5</v>
      </c>
      <c r="N5" s="230">
        <v>34.109090909090909</v>
      </c>
      <c r="O5" s="99"/>
      <c r="P5" s="101"/>
      <c r="Q5" s="232"/>
      <c r="R5" s="231"/>
      <c r="S5" s="232"/>
      <c r="T5" s="231"/>
      <c r="U5" s="232"/>
      <c r="V5" s="232"/>
      <c r="W5" s="232"/>
      <c r="X5" s="231"/>
      <c r="Y5" s="230"/>
      <c r="Z5" s="230"/>
      <c r="AA5" s="230"/>
      <c r="AB5" s="230"/>
      <c r="AC5" s="230"/>
      <c r="AD5" s="230"/>
      <c r="AE5" s="232"/>
      <c r="AF5" s="231"/>
      <c r="AG5" s="226"/>
      <c r="AH5" s="230"/>
      <c r="AI5" s="226"/>
      <c r="AJ5" s="226"/>
      <c r="AK5" s="230"/>
      <c r="AL5" s="226"/>
      <c r="AM5" s="230"/>
      <c r="AN5" s="230"/>
      <c r="AO5" s="226" t="s">
        <v>726</v>
      </c>
      <c r="AP5" s="229" t="s">
        <v>666</v>
      </c>
      <c r="AQ5" s="229"/>
      <c r="AR5" s="229"/>
      <c r="AS5" s="233"/>
      <c r="AT5" s="229">
        <v>8.5</v>
      </c>
      <c r="AU5" s="233"/>
      <c r="AV5" s="229"/>
      <c r="AW5" s="233"/>
      <c r="AX5" s="229" t="s">
        <v>727</v>
      </c>
      <c r="AY5" s="229"/>
      <c r="AZ5" s="229">
        <v>0</v>
      </c>
      <c r="BA5" s="229">
        <v>0</v>
      </c>
      <c r="BB5" s="229">
        <v>0</v>
      </c>
      <c r="BC5" s="229">
        <v>0</v>
      </c>
      <c r="BD5" s="229">
        <v>0</v>
      </c>
      <c r="BE5" s="229">
        <v>0</v>
      </c>
      <c r="BF5" s="229">
        <v>0</v>
      </c>
      <c r="BG5" s="229">
        <v>0</v>
      </c>
      <c r="BH5" s="229">
        <v>0</v>
      </c>
      <c r="BI5" s="229">
        <v>0</v>
      </c>
      <c r="BJ5" s="229">
        <v>0</v>
      </c>
      <c r="BK5" s="229">
        <v>0</v>
      </c>
      <c r="BL5" s="229"/>
      <c r="BM5" s="229" t="s">
        <v>666</v>
      </c>
      <c r="BN5" s="229">
        <v>12</v>
      </c>
      <c r="BO5" s="229" t="s">
        <v>666</v>
      </c>
      <c r="BP5" s="302"/>
      <c r="BQ5" s="229"/>
      <c r="BR5" s="229"/>
      <c r="BS5" s="229"/>
      <c r="BT5" s="226" t="s">
        <v>1033</v>
      </c>
      <c r="BU5" s="235" t="s">
        <v>64</v>
      </c>
      <c r="BV5" s="229">
        <v>25</v>
      </c>
      <c r="BW5" s="229" t="s">
        <v>728</v>
      </c>
      <c r="BX5" s="229"/>
      <c r="BY5" s="226" t="s">
        <v>1034</v>
      </c>
      <c r="BZ5" s="269" t="s">
        <v>570</v>
      </c>
      <c r="CA5" s="226" t="s">
        <v>426</v>
      </c>
    </row>
    <row r="6" spans="1:109" ht="13" customHeight="1" x14ac:dyDescent="0.15">
      <c r="A6" s="226">
        <v>11895</v>
      </c>
      <c r="B6" s="227">
        <v>43309</v>
      </c>
      <c r="C6" s="228" t="s">
        <v>662</v>
      </c>
      <c r="D6" s="226" t="s">
        <v>663</v>
      </c>
      <c r="E6" s="226"/>
      <c r="F6" s="226" t="s">
        <v>716</v>
      </c>
      <c r="G6" s="227">
        <v>43302</v>
      </c>
      <c r="H6" s="229" t="s">
        <v>665</v>
      </c>
      <c r="I6" s="229" t="s">
        <v>666</v>
      </c>
      <c r="J6" s="229"/>
      <c r="K6" s="226" t="s">
        <v>1035</v>
      </c>
      <c r="L6" s="226" t="s">
        <v>901</v>
      </c>
      <c r="M6" s="230">
        <v>84.154545454545442</v>
      </c>
      <c r="N6" s="230">
        <v>32.981818181818177</v>
      </c>
      <c r="O6" s="99"/>
      <c r="P6" s="101"/>
      <c r="Q6" s="232"/>
      <c r="R6" s="231"/>
      <c r="S6" s="232"/>
      <c r="T6" s="231"/>
      <c r="U6" s="232"/>
      <c r="V6" s="232"/>
      <c r="W6" s="232"/>
      <c r="X6" s="226"/>
      <c r="Y6" s="230"/>
      <c r="Z6" s="230"/>
      <c r="AA6" s="230"/>
      <c r="AB6" s="230"/>
      <c r="AC6" s="230"/>
      <c r="AD6" s="230"/>
      <c r="AE6" s="232"/>
      <c r="AF6" s="231"/>
      <c r="AG6" s="226"/>
      <c r="AH6" s="230"/>
      <c r="AI6" s="226"/>
      <c r="AJ6" s="226"/>
      <c r="AK6" s="230"/>
      <c r="AL6" s="226"/>
      <c r="AM6" s="230"/>
      <c r="AN6" s="230"/>
      <c r="AO6" s="226" t="s">
        <v>726</v>
      </c>
      <c r="AP6" s="229" t="s">
        <v>666</v>
      </c>
      <c r="AQ6" s="229"/>
      <c r="AR6" s="229"/>
      <c r="AS6" s="233"/>
      <c r="AT6" s="229">
        <v>3</v>
      </c>
      <c r="AU6" s="233"/>
      <c r="AV6" s="229"/>
      <c r="AW6" s="233"/>
      <c r="AX6" s="229" t="s">
        <v>638</v>
      </c>
      <c r="AY6" s="229"/>
      <c r="AZ6" s="229">
        <v>0</v>
      </c>
      <c r="BA6" s="229">
        <v>0</v>
      </c>
      <c r="BB6" s="229">
        <v>0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666</v>
      </c>
      <c r="BN6" s="229"/>
      <c r="BO6" s="229" t="s">
        <v>666</v>
      </c>
      <c r="BP6" s="302"/>
      <c r="BQ6" s="229"/>
      <c r="BR6" s="229"/>
      <c r="BS6" s="229"/>
      <c r="BT6" s="226" t="s">
        <v>1036</v>
      </c>
      <c r="BU6" s="226"/>
      <c r="BV6" s="229"/>
      <c r="BW6" s="229" t="s">
        <v>728</v>
      </c>
      <c r="BX6" s="229"/>
      <c r="BY6" s="235"/>
      <c r="BZ6" s="269" t="s">
        <v>570</v>
      </c>
      <c r="CA6" s="235" t="s">
        <v>426</v>
      </c>
    </row>
    <row r="7" spans="1:109" ht="13" customHeight="1" x14ac:dyDescent="0.15">
      <c r="A7" s="226">
        <v>766</v>
      </c>
      <c r="B7" s="227">
        <v>43291</v>
      </c>
      <c r="C7" s="228" t="s">
        <v>662</v>
      </c>
      <c r="D7" s="226" t="s">
        <v>663</v>
      </c>
      <c r="E7" s="226"/>
      <c r="F7" s="226" t="s">
        <v>716</v>
      </c>
      <c r="G7" s="227">
        <v>43287</v>
      </c>
      <c r="H7" s="229" t="s">
        <v>665</v>
      </c>
      <c r="I7" s="229" t="s">
        <v>666</v>
      </c>
      <c r="J7" s="229"/>
      <c r="K7" s="226" t="s">
        <v>702</v>
      </c>
      <c r="L7" s="226" t="s">
        <v>967</v>
      </c>
      <c r="M7" s="230">
        <v>80.763636363636365</v>
      </c>
      <c r="N7" s="230">
        <v>31.09090909090909</v>
      </c>
      <c r="O7" s="99" t="s">
        <v>875</v>
      </c>
      <c r="P7" s="101">
        <v>1000</v>
      </c>
      <c r="Q7" s="230">
        <v>33.609090909090902</v>
      </c>
      <c r="R7" s="231"/>
      <c r="S7" s="232"/>
      <c r="T7" s="231"/>
      <c r="U7" s="232"/>
      <c r="V7" s="232"/>
      <c r="W7" s="232"/>
      <c r="X7" s="226"/>
      <c r="Y7" s="230"/>
      <c r="Z7" s="230"/>
      <c r="AA7" s="230"/>
      <c r="AB7" s="230"/>
      <c r="AC7" s="230"/>
      <c r="AD7" s="232"/>
      <c r="AE7" s="232"/>
      <c r="AF7" s="231"/>
      <c r="AG7" s="226"/>
      <c r="AH7" s="230"/>
      <c r="AI7" s="226"/>
      <c r="AJ7" s="226"/>
      <c r="AK7" s="230"/>
      <c r="AL7" s="226"/>
      <c r="AM7" s="230"/>
      <c r="AN7" s="230"/>
      <c r="AO7" s="226" t="s">
        <v>726</v>
      </c>
      <c r="AP7" s="229" t="s">
        <v>666</v>
      </c>
      <c r="AQ7" s="229"/>
      <c r="AR7" s="229"/>
      <c r="AS7" s="233"/>
      <c r="AT7" s="229">
        <v>5</v>
      </c>
      <c r="AU7" s="233"/>
      <c r="AV7" s="229"/>
      <c r="AW7" s="233"/>
      <c r="AX7" s="229" t="s">
        <v>638</v>
      </c>
      <c r="AY7" s="229"/>
      <c r="AZ7" s="229">
        <v>0</v>
      </c>
      <c r="BA7" s="229">
        <v>0</v>
      </c>
      <c r="BB7" s="229">
        <v>0</v>
      </c>
      <c r="BC7" s="229">
        <v>0</v>
      </c>
      <c r="BD7" s="229">
        <v>0</v>
      </c>
      <c r="BE7" s="229">
        <v>0</v>
      </c>
      <c r="BF7" s="229">
        <v>0</v>
      </c>
      <c r="BG7" s="229">
        <v>0</v>
      </c>
      <c r="BH7" s="229">
        <v>0</v>
      </c>
      <c r="BI7" s="229">
        <v>0</v>
      </c>
      <c r="BJ7" s="229">
        <v>0</v>
      </c>
      <c r="BK7" s="229">
        <v>0</v>
      </c>
      <c r="BL7" s="229"/>
      <c r="BM7" s="229" t="s">
        <v>666</v>
      </c>
      <c r="BN7" s="229">
        <v>12</v>
      </c>
      <c r="BO7" s="229" t="s">
        <v>666</v>
      </c>
      <c r="BP7" s="302"/>
      <c r="BQ7" s="229"/>
      <c r="BR7" s="229"/>
      <c r="BS7" s="229"/>
      <c r="BT7" s="235"/>
      <c r="BU7" s="235"/>
      <c r="BV7" s="229"/>
      <c r="BW7" s="229" t="s">
        <v>728</v>
      </c>
      <c r="BX7" s="229"/>
      <c r="BY7" s="226" t="s">
        <v>1037</v>
      </c>
      <c r="BZ7" s="235" t="s">
        <v>570</v>
      </c>
      <c r="CA7" s="235" t="s">
        <v>426</v>
      </c>
    </row>
    <row r="8" spans="1:109" ht="13" customHeight="1" x14ac:dyDescent="0.15">
      <c r="A8" s="226">
        <v>11320</v>
      </c>
      <c r="B8" s="227">
        <v>43292</v>
      </c>
      <c r="C8" s="228" t="s">
        <v>662</v>
      </c>
      <c r="D8" s="226" t="s">
        <v>663</v>
      </c>
      <c r="E8" s="226"/>
      <c r="F8" s="226" t="s">
        <v>716</v>
      </c>
      <c r="G8" s="236">
        <v>43281</v>
      </c>
      <c r="H8" s="229" t="s">
        <v>665</v>
      </c>
      <c r="I8" s="229" t="s">
        <v>666</v>
      </c>
      <c r="J8" s="229"/>
      <c r="K8" s="226" t="s">
        <v>1038</v>
      </c>
      <c r="L8" s="226" t="s">
        <v>919</v>
      </c>
      <c r="M8" s="230">
        <v>82</v>
      </c>
      <c r="N8" s="230">
        <v>31.099999999999998</v>
      </c>
      <c r="O8" s="99"/>
      <c r="P8" s="101"/>
      <c r="Q8" s="232"/>
      <c r="R8" s="231"/>
      <c r="S8" s="232"/>
      <c r="T8" s="226"/>
      <c r="U8" s="232"/>
      <c r="V8" s="232"/>
      <c r="W8" s="232"/>
      <c r="X8" s="231"/>
      <c r="Y8" s="230"/>
      <c r="Z8" s="230"/>
      <c r="AA8" s="230"/>
      <c r="AB8" s="230"/>
      <c r="AC8" s="230"/>
      <c r="AD8" s="230"/>
      <c r="AE8" s="232"/>
      <c r="AF8" s="231"/>
      <c r="AG8" s="226"/>
      <c r="AH8" s="230"/>
      <c r="AI8" s="226"/>
      <c r="AJ8" s="226"/>
      <c r="AK8" s="230"/>
      <c r="AL8" s="226"/>
      <c r="AM8" s="230"/>
      <c r="AN8" s="230"/>
      <c r="AO8" s="226" t="s">
        <v>726</v>
      </c>
      <c r="AP8" s="229" t="s">
        <v>666</v>
      </c>
      <c r="AQ8" s="229"/>
      <c r="AR8" s="229"/>
      <c r="AS8" s="233"/>
      <c r="AT8" s="229">
        <v>3</v>
      </c>
      <c r="AU8" s="233"/>
      <c r="AV8" s="229"/>
      <c r="AW8" s="233"/>
      <c r="AX8" s="229" t="s">
        <v>727</v>
      </c>
      <c r="AY8" s="229"/>
      <c r="AZ8" s="229">
        <v>0</v>
      </c>
      <c r="BA8" s="229">
        <v>0</v>
      </c>
      <c r="BB8" s="229">
        <v>0</v>
      </c>
      <c r="BC8" s="229">
        <v>0</v>
      </c>
      <c r="BD8" s="229">
        <v>0</v>
      </c>
      <c r="BE8" s="229">
        <v>0</v>
      </c>
      <c r="BF8" s="229">
        <v>0</v>
      </c>
      <c r="BG8" s="229">
        <v>0</v>
      </c>
      <c r="BH8" s="229">
        <v>0</v>
      </c>
      <c r="BI8" s="229">
        <v>0</v>
      </c>
      <c r="BJ8" s="229">
        <v>0</v>
      </c>
      <c r="BK8" s="229">
        <v>0</v>
      </c>
      <c r="BL8" s="229"/>
      <c r="BM8" s="229" t="s">
        <v>666</v>
      </c>
      <c r="BN8" s="229"/>
      <c r="BO8" s="229" t="s">
        <v>666</v>
      </c>
      <c r="BP8" s="302"/>
      <c r="BQ8" s="229"/>
      <c r="BR8" s="229"/>
      <c r="BS8" s="229"/>
      <c r="BT8" s="235"/>
      <c r="BU8" s="235"/>
      <c r="BV8" s="229"/>
      <c r="BW8" s="229" t="s">
        <v>728</v>
      </c>
      <c r="BX8" s="229"/>
      <c r="BY8" s="235"/>
      <c r="BZ8" s="99" t="s">
        <v>570</v>
      </c>
      <c r="CA8" s="226" t="s">
        <v>426</v>
      </c>
    </row>
    <row r="9" spans="1:109" ht="13" customHeight="1" x14ac:dyDescent="0.15">
      <c r="A9" s="226">
        <v>13693</v>
      </c>
      <c r="B9" s="227">
        <v>43308</v>
      </c>
      <c r="C9" s="228" t="s">
        <v>662</v>
      </c>
      <c r="D9" s="226" t="s">
        <v>663</v>
      </c>
      <c r="E9" s="226"/>
      <c r="F9" s="226" t="s">
        <v>716</v>
      </c>
      <c r="G9" s="227">
        <v>43299</v>
      </c>
      <c r="H9" s="229" t="s">
        <v>665</v>
      </c>
      <c r="I9" s="229" t="s">
        <v>666</v>
      </c>
      <c r="J9" s="229"/>
      <c r="K9" s="226" t="s">
        <v>708</v>
      </c>
      <c r="L9" s="226" t="s">
        <v>1039</v>
      </c>
      <c r="M9" s="230">
        <v>72.999999999999986</v>
      </c>
      <c r="N9" s="230">
        <v>28.999999999999996</v>
      </c>
      <c r="O9" s="99"/>
      <c r="P9" s="101"/>
      <c r="Q9" s="232"/>
      <c r="R9" s="231"/>
      <c r="S9" s="232"/>
      <c r="T9" s="226"/>
      <c r="U9" s="232"/>
      <c r="V9" s="232"/>
      <c r="W9" s="232"/>
      <c r="X9" s="226"/>
      <c r="Y9" s="230"/>
      <c r="Z9" s="230"/>
      <c r="AA9" s="230"/>
      <c r="AB9" s="230"/>
      <c r="AC9" s="230"/>
      <c r="AD9" s="230"/>
      <c r="AE9" s="232"/>
      <c r="AF9" s="231"/>
      <c r="AG9" s="226"/>
      <c r="AH9" s="230"/>
      <c r="AI9" s="226"/>
      <c r="AJ9" s="226"/>
      <c r="AK9" s="232"/>
      <c r="AL9" s="226"/>
      <c r="AM9" s="230"/>
      <c r="AN9" s="230"/>
      <c r="AO9" s="226" t="s">
        <v>726</v>
      </c>
      <c r="AP9" s="229" t="s">
        <v>666</v>
      </c>
      <c r="AQ9" s="229"/>
      <c r="AR9" s="229"/>
      <c r="AS9" s="233"/>
      <c r="AT9" s="229">
        <v>9</v>
      </c>
      <c r="AU9" s="233">
        <v>910</v>
      </c>
      <c r="AV9" s="229"/>
      <c r="AW9" s="233">
        <v>6.5</v>
      </c>
      <c r="AX9" s="229" t="s">
        <v>727</v>
      </c>
      <c r="AY9" s="229"/>
      <c r="AZ9" s="229">
        <v>0</v>
      </c>
      <c r="BA9" s="229">
        <v>0</v>
      </c>
      <c r="BB9" s="229">
        <v>0</v>
      </c>
      <c r="BC9" s="229">
        <v>0</v>
      </c>
      <c r="BD9" s="229">
        <v>0</v>
      </c>
      <c r="BE9" s="229">
        <v>0</v>
      </c>
      <c r="BF9" s="229">
        <v>0</v>
      </c>
      <c r="BG9" s="229">
        <v>0</v>
      </c>
      <c r="BH9" s="229">
        <v>0</v>
      </c>
      <c r="BI9" s="229">
        <v>0</v>
      </c>
      <c r="BJ9" s="229">
        <v>0</v>
      </c>
      <c r="BK9" s="229">
        <v>0</v>
      </c>
      <c r="BL9" s="229"/>
      <c r="BM9" s="229" t="s">
        <v>666</v>
      </c>
      <c r="BN9" s="229"/>
      <c r="BO9" s="229" t="s">
        <v>666</v>
      </c>
      <c r="BP9" s="234">
        <v>141.70909090909089</v>
      </c>
      <c r="BQ9" s="229"/>
      <c r="BR9" s="229"/>
      <c r="BS9" s="279"/>
      <c r="BT9" s="182"/>
      <c r="BU9" s="235"/>
      <c r="BV9" s="229"/>
      <c r="BW9" s="229" t="s">
        <v>728</v>
      </c>
      <c r="BX9" s="229"/>
      <c r="BY9" s="235"/>
      <c r="BZ9" s="226" t="s">
        <v>570</v>
      </c>
      <c r="CA9" s="235" t="s">
        <v>426</v>
      </c>
    </row>
    <row r="10" spans="1:109" ht="13" customHeight="1" x14ac:dyDescent="0.15">
      <c r="A10" s="226">
        <v>3061</v>
      </c>
      <c r="B10" s="227">
        <v>43292</v>
      </c>
      <c r="C10" s="228" t="s">
        <v>662</v>
      </c>
      <c r="D10" s="226" t="s">
        <v>663</v>
      </c>
      <c r="E10" s="226"/>
      <c r="F10" s="226" t="s">
        <v>716</v>
      </c>
      <c r="G10" s="227">
        <v>43281</v>
      </c>
      <c r="H10" s="229" t="s">
        <v>665</v>
      </c>
      <c r="I10" s="229" t="s">
        <v>666</v>
      </c>
      <c r="J10" s="229"/>
      <c r="K10" s="226" t="s">
        <v>1040</v>
      </c>
      <c r="L10" s="226" t="s">
        <v>1041</v>
      </c>
      <c r="M10" s="230">
        <v>99.809090909090912</v>
      </c>
      <c r="N10" s="230">
        <v>32.709090909090904</v>
      </c>
      <c r="O10" s="99" t="s">
        <v>875</v>
      </c>
      <c r="P10" s="101">
        <v>1000</v>
      </c>
      <c r="Q10" s="230">
        <v>34.209090909090911</v>
      </c>
      <c r="R10" s="231"/>
      <c r="S10" s="232"/>
      <c r="T10" s="231"/>
      <c r="U10" s="232"/>
      <c r="V10" s="232"/>
      <c r="W10" s="232"/>
      <c r="X10" s="226"/>
      <c r="Y10" s="230"/>
      <c r="Z10" s="230"/>
      <c r="AA10" s="230"/>
      <c r="AB10" s="230"/>
      <c r="AC10" s="230"/>
      <c r="AD10" s="232"/>
      <c r="AE10" s="232"/>
      <c r="AF10" s="226"/>
      <c r="AG10" s="226"/>
      <c r="AH10" s="230"/>
      <c r="AI10" s="226"/>
      <c r="AJ10" s="226"/>
      <c r="AK10" s="230"/>
      <c r="AL10" s="226"/>
      <c r="AM10" s="230"/>
      <c r="AN10" s="230"/>
      <c r="AO10" s="226" t="s">
        <v>726</v>
      </c>
      <c r="AP10" s="229" t="s">
        <v>666</v>
      </c>
      <c r="AQ10" s="229"/>
      <c r="AR10" s="229"/>
      <c r="AS10" s="233"/>
      <c r="AT10" s="229">
        <v>6</v>
      </c>
      <c r="AU10" s="233"/>
      <c r="AV10" s="229"/>
      <c r="AW10" s="233"/>
      <c r="AX10" s="229" t="s">
        <v>666</v>
      </c>
      <c r="AY10" s="229"/>
      <c r="AZ10" s="229">
        <v>1</v>
      </c>
      <c r="BA10" s="229">
        <v>0</v>
      </c>
      <c r="BB10" s="229">
        <v>0</v>
      </c>
      <c r="BC10" s="229">
        <v>0</v>
      </c>
      <c r="BD10" s="229">
        <v>0</v>
      </c>
      <c r="BE10" s="229">
        <v>0</v>
      </c>
      <c r="BF10" s="229">
        <v>0</v>
      </c>
      <c r="BG10" s="229">
        <v>0</v>
      </c>
      <c r="BH10" s="229">
        <v>0</v>
      </c>
      <c r="BI10" s="229">
        <v>0</v>
      </c>
      <c r="BJ10" s="229">
        <v>0</v>
      </c>
      <c r="BK10" s="229">
        <v>0</v>
      </c>
      <c r="BL10" s="229"/>
      <c r="BM10" s="229" t="s">
        <v>666</v>
      </c>
      <c r="BN10" s="229"/>
      <c r="BO10" s="229" t="s">
        <v>666</v>
      </c>
      <c r="BP10" s="302"/>
      <c r="BQ10" s="229"/>
      <c r="BR10" s="229"/>
      <c r="BS10" s="229"/>
      <c r="BT10" s="226"/>
      <c r="BU10" s="226"/>
      <c r="BV10" s="229"/>
      <c r="BW10" s="229" t="s">
        <v>728</v>
      </c>
      <c r="BX10" s="229"/>
      <c r="BY10" s="226" t="s">
        <v>1042</v>
      </c>
      <c r="BZ10" s="282" t="s">
        <v>1043</v>
      </c>
      <c r="CA10" s="226" t="s">
        <v>426</v>
      </c>
    </row>
    <row r="11" spans="1:109" ht="13" customHeight="1" x14ac:dyDescent="0.15">
      <c r="A11" s="226">
        <v>15304</v>
      </c>
      <c r="B11" s="227">
        <v>43308</v>
      </c>
      <c r="C11" s="228" t="s">
        <v>662</v>
      </c>
      <c r="D11" s="226" t="s">
        <v>663</v>
      </c>
      <c r="E11" s="226"/>
      <c r="F11" s="226" t="s">
        <v>716</v>
      </c>
      <c r="G11" s="227">
        <v>43266</v>
      </c>
      <c r="H11" s="229" t="s">
        <v>665</v>
      </c>
      <c r="I11" s="229" t="s">
        <v>666</v>
      </c>
      <c r="J11" s="229"/>
      <c r="K11" s="226" t="s">
        <v>714</v>
      </c>
      <c r="L11" s="226" t="s">
        <v>973</v>
      </c>
      <c r="M11" s="230">
        <v>115.76363636363635</v>
      </c>
      <c r="N11" s="230">
        <v>30.327272727272724</v>
      </c>
      <c r="O11" s="99"/>
      <c r="P11" s="101"/>
      <c r="Q11" s="232"/>
      <c r="R11" s="231"/>
      <c r="S11" s="232"/>
      <c r="T11" s="231"/>
      <c r="U11" s="232"/>
      <c r="V11" s="232"/>
      <c r="W11" s="232"/>
      <c r="X11" s="226"/>
      <c r="Y11" s="230"/>
      <c r="Z11" s="230"/>
      <c r="AA11" s="230"/>
      <c r="AB11" s="230"/>
      <c r="AC11" s="230"/>
      <c r="AD11" s="232"/>
      <c r="AE11" s="232"/>
      <c r="AF11" s="231"/>
      <c r="AG11" s="226"/>
      <c r="AH11" s="230"/>
      <c r="AI11" s="226"/>
      <c r="AJ11" s="226"/>
      <c r="AK11" s="230"/>
      <c r="AL11" s="226"/>
      <c r="AM11" s="230"/>
      <c r="AN11" s="230"/>
      <c r="AO11" s="226" t="s">
        <v>726</v>
      </c>
      <c r="AP11" s="229" t="s">
        <v>666</v>
      </c>
      <c r="AQ11" s="229"/>
      <c r="AR11" s="229"/>
      <c r="AS11" s="233"/>
      <c r="AT11" s="229">
        <v>3</v>
      </c>
      <c r="AU11" s="233"/>
      <c r="AV11" s="229"/>
      <c r="AW11" s="233"/>
      <c r="AX11" s="229" t="s">
        <v>727</v>
      </c>
      <c r="AY11" s="229"/>
      <c r="AZ11" s="229">
        <v>0</v>
      </c>
      <c r="BA11" s="229">
        <v>0</v>
      </c>
      <c r="BB11" s="229">
        <v>0</v>
      </c>
      <c r="BC11" s="229">
        <v>0</v>
      </c>
      <c r="BD11" s="229">
        <v>0</v>
      </c>
      <c r="BE11" s="229">
        <v>0</v>
      </c>
      <c r="BF11" s="229">
        <v>0</v>
      </c>
      <c r="BG11" s="229">
        <v>0</v>
      </c>
      <c r="BH11" s="229">
        <v>0</v>
      </c>
      <c r="BI11" s="229">
        <v>0</v>
      </c>
      <c r="BJ11" s="229">
        <v>0</v>
      </c>
      <c r="BK11" s="229">
        <v>0</v>
      </c>
      <c r="BL11" s="229"/>
      <c r="BM11" s="229" t="s">
        <v>666</v>
      </c>
      <c r="BN11" s="229"/>
      <c r="BO11" s="229" t="s">
        <v>666</v>
      </c>
      <c r="BP11" s="302"/>
      <c r="BQ11" s="229"/>
      <c r="BR11" s="229"/>
      <c r="BS11" s="229"/>
      <c r="BT11" s="235"/>
      <c r="BU11" s="235"/>
      <c r="BV11" s="229"/>
      <c r="BW11" s="229" t="s">
        <v>728</v>
      </c>
      <c r="BX11" s="229">
        <v>1</v>
      </c>
      <c r="BY11" s="226"/>
      <c r="BZ11" s="226" t="s">
        <v>1044</v>
      </c>
      <c r="CA11" s="226" t="s">
        <v>588</v>
      </c>
    </row>
    <row r="12" spans="1:109" ht="13" customHeight="1" x14ac:dyDescent="0.15">
      <c r="A12" s="226">
        <v>13469</v>
      </c>
      <c r="B12" s="227">
        <v>43290</v>
      </c>
      <c r="C12" s="228" t="s">
        <v>662</v>
      </c>
      <c r="D12" s="226" t="s">
        <v>663</v>
      </c>
      <c r="E12" s="226"/>
      <c r="F12" s="226" t="s">
        <v>716</v>
      </c>
      <c r="G12" s="236">
        <v>43281</v>
      </c>
      <c r="H12" s="229" t="s">
        <v>672</v>
      </c>
      <c r="I12" s="229" t="s">
        <v>666</v>
      </c>
      <c r="J12" s="229"/>
      <c r="K12" s="226" t="s">
        <v>720</v>
      </c>
      <c r="L12" s="226" t="s">
        <v>1045</v>
      </c>
      <c r="M12" s="230">
        <v>104.0090909090909</v>
      </c>
      <c r="N12" s="230">
        <v>37.236363636363635</v>
      </c>
      <c r="O12" s="99" t="s">
        <v>875</v>
      </c>
      <c r="P12" s="101">
        <v>2000</v>
      </c>
      <c r="Q12" s="230">
        <v>44.236363636363627</v>
      </c>
      <c r="R12" s="231"/>
      <c r="S12" s="232"/>
      <c r="T12" s="231"/>
      <c r="U12" s="232"/>
      <c r="V12" s="232"/>
      <c r="W12" s="232"/>
      <c r="X12" s="226"/>
      <c r="Y12" s="230"/>
      <c r="Z12" s="230"/>
      <c r="AA12" s="230"/>
      <c r="AB12" s="230"/>
      <c r="AC12" s="230"/>
      <c r="AD12" s="230"/>
      <c r="AE12" s="232"/>
      <c r="AF12" s="231"/>
      <c r="AG12" s="226"/>
      <c r="AH12" s="230"/>
      <c r="AI12" s="226"/>
      <c r="AJ12" s="226"/>
      <c r="AK12" s="230"/>
      <c r="AL12" s="226"/>
      <c r="AM12" s="230"/>
      <c r="AN12" s="230"/>
      <c r="AO12" s="226" t="s">
        <v>726</v>
      </c>
      <c r="AP12" s="229" t="s">
        <v>666</v>
      </c>
      <c r="AQ12" s="229"/>
      <c r="AR12" s="229"/>
      <c r="AS12" s="233"/>
      <c r="AT12" s="229"/>
      <c r="AU12" s="233"/>
      <c r="AV12" s="229"/>
      <c r="AW12" s="233"/>
      <c r="AX12" s="229" t="s">
        <v>727</v>
      </c>
      <c r="AY12" s="229"/>
      <c r="AZ12" s="229">
        <v>0</v>
      </c>
      <c r="BA12" s="229">
        <v>0</v>
      </c>
      <c r="BB12" s="229">
        <v>0</v>
      </c>
      <c r="BC12" s="229">
        <v>0</v>
      </c>
      <c r="BD12" s="229">
        <v>0</v>
      </c>
      <c r="BE12" s="229">
        <v>0</v>
      </c>
      <c r="BF12" s="229">
        <v>0</v>
      </c>
      <c r="BG12" s="229">
        <v>0</v>
      </c>
      <c r="BH12" s="229">
        <v>0</v>
      </c>
      <c r="BI12" s="229">
        <v>0</v>
      </c>
      <c r="BJ12" s="229">
        <v>0</v>
      </c>
      <c r="BK12" s="229">
        <v>0</v>
      </c>
      <c r="BL12" s="229"/>
      <c r="BM12" s="229" t="s">
        <v>666</v>
      </c>
      <c r="BN12" s="229"/>
      <c r="BO12" s="229" t="s">
        <v>666</v>
      </c>
      <c r="BP12" s="234">
        <v>163.63636363636363</v>
      </c>
      <c r="BQ12" s="229"/>
      <c r="BR12" s="229"/>
      <c r="BS12" s="229"/>
      <c r="BT12" s="235"/>
      <c r="BU12" s="226"/>
      <c r="BV12" s="229"/>
      <c r="BW12" s="229" t="s">
        <v>728</v>
      </c>
      <c r="BX12" s="229">
        <v>1</v>
      </c>
      <c r="BY12" s="235" t="s">
        <v>880</v>
      </c>
      <c r="BZ12" s="289" t="s">
        <v>1046</v>
      </c>
      <c r="CA12" s="226" t="s">
        <v>426</v>
      </c>
    </row>
    <row r="13" spans="1:109" ht="13" customHeight="1" x14ac:dyDescent="0.15">
      <c r="A13" s="226">
        <v>1895</v>
      </c>
      <c r="B13" s="227">
        <v>43292</v>
      </c>
      <c r="C13" s="228" t="s">
        <v>662</v>
      </c>
      <c r="D13" s="226" t="s">
        <v>663</v>
      </c>
      <c r="E13" s="226"/>
      <c r="F13" s="226" t="s">
        <v>716</v>
      </c>
      <c r="G13" s="227">
        <v>43252</v>
      </c>
      <c r="H13" s="229" t="s">
        <v>665</v>
      </c>
      <c r="I13" s="229" t="s">
        <v>666</v>
      </c>
      <c r="J13" s="229"/>
      <c r="K13" s="226" t="s">
        <v>951</v>
      </c>
      <c r="L13" s="226" t="s">
        <v>898</v>
      </c>
      <c r="M13" s="230">
        <v>89.999999999999986</v>
      </c>
      <c r="N13" s="230">
        <v>48.999999999999993</v>
      </c>
      <c r="O13" s="99" t="s">
        <v>875</v>
      </c>
      <c r="P13" s="101">
        <v>1824.9900000000002</v>
      </c>
      <c r="Q13" s="230">
        <v>52.999999999999993</v>
      </c>
      <c r="R13" s="231"/>
      <c r="S13" s="232"/>
      <c r="T13" s="226"/>
      <c r="U13" s="232"/>
      <c r="V13" s="232"/>
      <c r="W13" s="232"/>
      <c r="X13" s="231"/>
      <c r="Y13" s="230"/>
      <c r="Z13" s="230"/>
      <c r="AA13" s="230"/>
      <c r="AB13" s="230"/>
      <c r="AC13" s="230"/>
      <c r="AD13" s="230"/>
      <c r="AE13" s="232"/>
      <c r="AF13" s="231"/>
      <c r="AG13" s="226"/>
      <c r="AH13" s="230"/>
      <c r="AI13" s="226"/>
      <c r="AJ13" s="226"/>
      <c r="AK13" s="230"/>
      <c r="AL13" s="226"/>
      <c r="AM13" s="230"/>
      <c r="AN13" s="230"/>
      <c r="AO13" s="226" t="s">
        <v>726</v>
      </c>
      <c r="AP13" s="229" t="s">
        <v>666</v>
      </c>
      <c r="AQ13" s="229"/>
      <c r="AR13" s="229"/>
      <c r="AS13" s="233"/>
      <c r="AT13" s="229">
        <v>1</v>
      </c>
      <c r="AU13" s="233"/>
      <c r="AV13" s="229"/>
      <c r="AW13" s="233"/>
      <c r="AX13" s="229" t="s">
        <v>673</v>
      </c>
      <c r="AY13" s="229"/>
      <c r="AZ13" s="229">
        <v>0</v>
      </c>
      <c r="BA13" s="229">
        <v>0</v>
      </c>
      <c r="BB13" s="229">
        <v>0</v>
      </c>
      <c r="BC13" s="229">
        <v>0</v>
      </c>
      <c r="BD13" s="229">
        <v>0</v>
      </c>
      <c r="BE13" s="229">
        <v>0</v>
      </c>
      <c r="BF13" s="229">
        <v>0</v>
      </c>
      <c r="BG13" s="229">
        <v>0</v>
      </c>
      <c r="BH13" s="229">
        <v>0</v>
      </c>
      <c r="BI13" s="229">
        <v>0</v>
      </c>
      <c r="BJ13" s="229">
        <v>0</v>
      </c>
      <c r="BK13" s="229">
        <v>0</v>
      </c>
      <c r="BL13" s="229"/>
      <c r="BM13" s="229" t="s">
        <v>666</v>
      </c>
      <c r="BN13" s="229"/>
      <c r="BO13" s="229" t="s">
        <v>666</v>
      </c>
      <c r="BP13" s="302"/>
      <c r="BQ13" s="229"/>
      <c r="BR13" s="229"/>
      <c r="BS13" s="229"/>
      <c r="BT13" s="226"/>
      <c r="BU13" s="235"/>
      <c r="BV13" s="229"/>
      <c r="BW13" s="229" t="s">
        <v>728</v>
      </c>
      <c r="BX13" s="229"/>
      <c r="BY13" s="235"/>
      <c r="BZ13" s="235" t="s">
        <v>1047</v>
      </c>
      <c r="CA13" s="226" t="s">
        <v>588</v>
      </c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</row>
    <row r="14" spans="1:109" ht="13" customHeight="1" x14ac:dyDescent="0.15">
      <c r="A14" s="226">
        <v>574</v>
      </c>
      <c r="B14" s="227">
        <v>43309</v>
      </c>
      <c r="C14" s="228" t="s">
        <v>662</v>
      </c>
      <c r="D14" s="226" t="s">
        <v>663</v>
      </c>
      <c r="E14" s="226"/>
      <c r="F14" s="226" t="s">
        <v>716</v>
      </c>
      <c r="G14" s="227">
        <v>43266</v>
      </c>
      <c r="H14" s="229" t="s">
        <v>665</v>
      </c>
      <c r="I14" s="229" t="s">
        <v>666</v>
      </c>
      <c r="J14" s="229"/>
      <c r="K14" s="226" t="s">
        <v>899</v>
      </c>
      <c r="L14" s="226" t="s">
        <v>1048</v>
      </c>
      <c r="M14" s="230">
        <v>110.6</v>
      </c>
      <c r="N14" s="230">
        <v>31.127272727272725</v>
      </c>
      <c r="O14" s="99"/>
      <c r="P14" s="101"/>
      <c r="Q14" s="232"/>
      <c r="R14" s="231"/>
      <c r="S14" s="232"/>
      <c r="T14" s="231"/>
      <c r="U14" s="232"/>
      <c r="V14" s="232"/>
      <c r="W14" s="232"/>
      <c r="X14" s="226"/>
      <c r="Y14" s="230"/>
      <c r="Z14" s="230"/>
      <c r="AA14" s="230"/>
      <c r="AB14" s="230"/>
      <c r="AC14" s="230"/>
      <c r="AD14" s="232"/>
      <c r="AE14" s="232"/>
      <c r="AF14" s="231"/>
      <c r="AG14" s="226"/>
      <c r="AH14" s="230"/>
      <c r="AI14" s="226"/>
      <c r="AJ14" s="226"/>
      <c r="AK14" s="230"/>
      <c r="AL14" s="226"/>
      <c r="AM14" s="230"/>
      <c r="AN14" s="230"/>
      <c r="AO14" s="226" t="s">
        <v>726</v>
      </c>
      <c r="AP14" s="229" t="s">
        <v>666</v>
      </c>
      <c r="AQ14" s="229"/>
      <c r="AR14" s="229"/>
      <c r="AS14" s="233"/>
      <c r="AT14" s="229">
        <v>2.06</v>
      </c>
      <c r="AU14" s="233"/>
      <c r="AV14" s="229"/>
      <c r="AW14" s="233"/>
      <c r="AX14" s="229" t="s">
        <v>666</v>
      </c>
      <c r="AY14" s="229"/>
      <c r="AZ14" s="229">
        <v>0</v>
      </c>
      <c r="BA14" s="229">
        <v>0</v>
      </c>
      <c r="BB14" s="229">
        <v>0</v>
      </c>
      <c r="BC14" s="229">
        <v>0</v>
      </c>
      <c r="BD14" s="229">
        <v>0</v>
      </c>
      <c r="BE14" s="229">
        <v>0</v>
      </c>
      <c r="BF14" s="229">
        <v>0</v>
      </c>
      <c r="BG14" s="229">
        <v>0</v>
      </c>
      <c r="BH14" s="229">
        <v>0</v>
      </c>
      <c r="BI14" s="229">
        <v>0</v>
      </c>
      <c r="BJ14" s="229">
        <v>0</v>
      </c>
      <c r="BK14" s="229">
        <v>0</v>
      </c>
      <c r="BL14" s="229"/>
      <c r="BM14" s="229" t="s">
        <v>666</v>
      </c>
      <c r="BN14" s="229"/>
      <c r="BO14" s="229" t="s">
        <v>666</v>
      </c>
      <c r="BP14" s="302"/>
      <c r="BQ14" s="229"/>
      <c r="BR14" s="229"/>
      <c r="BS14" s="229"/>
      <c r="BT14" s="235"/>
      <c r="BU14" s="235"/>
      <c r="BV14" s="229"/>
      <c r="BW14" s="229" t="s">
        <v>728</v>
      </c>
      <c r="BX14" s="229">
        <v>1</v>
      </c>
      <c r="BY14" s="226" t="s">
        <v>1049</v>
      </c>
      <c r="BZ14" s="226" t="s">
        <v>1050</v>
      </c>
      <c r="CA14" s="226" t="s">
        <v>588</v>
      </c>
    </row>
    <row r="15" spans="1:109" ht="13" customHeight="1" x14ac:dyDescent="0.15">
      <c r="A15" s="226">
        <v>16564</v>
      </c>
      <c r="B15" s="227">
        <v>43294</v>
      </c>
      <c r="C15" s="228" t="s">
        <v>662</v>
      </c>
      <c r="D15" s="226" t="s">
        <v>663</v>
      </c>
      <c r="E15" s="226"/>
      <c r="F15" s="226" t="s">
        <v>716</v>
      </c>
      <c r="G15" s="227">
        <v>43273</v>
      </c>
      <c r="H15" s="229" t="s">
        <v>665</v>
      </c>
      <c r="I15" s="229" t="s">
        <v>666</v>
      </c>
      <c r="J15" s="229"/>
      <c r="K15" s="226" t="s">
        <v>918</v>
      </c>
      <c r="L15" s="226" t="s">
        <v>986</v>
      </c>
      <c r="M15" s="230">
        <v>103.39090909090909</v>
      </c>
      <c r="N15" s="230">
        <v>39.772727272727266</v>
      </c>
      <c r="O15" s="99"/>
      <c r="P15" s="101"/>
      <c r="Q15" s="232"/>
      <c r="R15" s="231"/>
      <c r="S15" s="232"/>
      <c r="T15" s="231"/>
      <c r="U15" s="232"/>
      <c r="V15" s="232"/>
      <c r="W15" s="232"/>
      <c r="X15" s="226"/>
      <c r="Y15" s="230"/>
      <c r="Z15" s="230"/>
      <c r="AA15" s="230"/>
      <c r="AB15" s="230"/>
      <c r="AC15" s="230"/>
      <c r="AD15" s="232"/>
      <c r="AE15" s="232"/>
      <c r="AF15" s="231"/>
      <c r="AG15" s="226"/>
      <c r="AH15" s="230"/>
      <c r="AI15" s="226"/>
      <c r="AJ15" s="226"/>
      <c r="AK15" s="230"/>
      <c r="AL15" s="226"/>
      <c r="AM15" s="230"/>
      <c r="AN15" s="230"/>
      <c r="AO15" s="226" t="s">
        <v>726</v>
      </c>
      <c r="AP15" s="229" t="s">
        <v>666</v>
      </c>
      <c r="AQ15" s="229"/>
      <c r="AR15" s="229"/>
      <c r="AS15" s="233"/>
      <c r="AT15" s="229"/>
      <c r="AU15" s="233"/>
      <c r="AV15" s="229"/>
      <c r="AW15" s="233"/>
      <c r="AX15" s="229" t="s">
        <v>727</v>
      </c>
      <c r="AY15" s="229"/>
      <c r="AZ15" s="229">
        <v>0</v>
      </c>
      <c r="BA15" s="229">
        <v>0</v>
      </c>
      <c r="BB15" s="229">
        <v>0</v>
      </c>
      <c r="BC15" s="229">
        <v>0</v>
      </c>
      <c r="BD15" s="229">
        <v>0</v>
      </c>
      <c r="BE15" s="229">
        <v>0</v>
      </c>
      <c r="BF15" s="229">
        <v>0</v>
      </c>
      <c r="BG15" s="229">
        <v>0</v>
      </c>
      <c r="BH15" s="229">
        <v>0</v>
      </c>
      <c r="BI15" s="229">
        <v>0</v>
      </c>
      <c r="BJ15" s="229">
        <v>0</v>
      </c>
      <c r="BK15" s="229">
        <v>0</v>
      </c>
      <c r="BL15" s="229"/>
      <c r="BM15" s="229" t="s">
        <v>666</v>
      </c>
      <c r="BN15" s="229"/>
      <c r="BO15" s="229" t="s">
        <v>666</v>
      </c>
      <c r="BP15" s="302"/>
      <c r="BQ15" s="229"/>
      <c r="BR15" s="229"/>
      <c r="BS15" s="229"/>
      <c r="BT15" s="235"/>
      <c r="BU15" s="235"/>
      <c r="BV15" s="229"/>
      <c r="BW15" s="229" t="s">
        <v>728</v>
      </c>
      <c r="BX15" s="229">
        <v>0.5</v>
      </c>
      <c r="BY15" s="226" t="s">
        <v>1051</v>
      </c>
      <c r="BZ15" s="235" t="s">
        <v>1052</v>
      </c>
      <c r="CA15" s="226" t="s">
        <v>729</v>
      </c>
    </row>
    <row r="16" spans="1:109" ht="13" customHeight="1" x14ac:dyDescent="0.15">
      <c r="A16" s="226">
        <v>15770</v>
      </c>
      <c r="B16" s="227">
        <v>43292</v>
      </c>
      <c r="C16" s="228" t="s">
        <v>662</v>
      </c>
      <c r="D16" s="226" t="s">
        <v>663</v>
      </c>
      <c r="E16" s="226"/>
      <c r="F16" s="226" t="s">
        <v>716</v>
      </c>
      <c r="G16" s="227">
        <v>43281</v>
      </c>
      <c r="H16" s="229" t="s">
        <v>665</v>
      </c>
      <c r="I16" s="229" t="s">
        <v>666</v>
      </c>
      <c r="J16" s="229"/>
      <c r="K16" s="226" t="s">
        <v>1053</v>
      </c>
      <c r="L16" s="226" t="s">
        <v>1054</v>
      </c>
      <c r="M16" s="230">
        <v>99.999999999999986</v>
      </c>
      <c r="N16" s="230">
        <v>32.690909090909088</v>
      </c>
      <c r="O16" s="99"/>
      <c r="P16" s="101"/>
      <c r="Q16" s="232"/>
      <c r="R16" s="231"/>
      <c r="S16" s="232"/>
      <c r="T16" s="231"/>
      <c r="U16" s="232"/>
      <c r="V16" s="232"/>
      <c r="W16" s="232"/>
      <c r="X16" s="226"/>
      <c r="Y16" s="230"/>
      <c r="Z16" s="230"/>
      <c r="AA16" s="230"/>
      <c r="AB16" s="230"/>
      <c r="AC16" s="230"/>
      <c r="AD16" s="232"/>
      <c r="AE16" s="232"/>
      <c r="AF16" s="226"/>
      <c r="AG16" s="226"/>
      <c r="AH16" s="230"/>
      <c r="AI16" s="226"/>
      <c r="AJ16" s="226"/>
      <c r="AK16" s="230"/>
      <c r="AL16" s="226"/>
      <c r="AM16" s="230"/>
      <c r="AN16" s="230"/>
      <c r="AO16" s="226" t="s">
        <v>726</v>
      </c>
      <c r="AP16" s="229" t="s">
        <v>666</v>
      </c>
      <c r="AQ16" s="229"/>
      <c r="AR16" s="229"/>
      <c r="AS16" s="233"/>
      <c r="AT16" s="229">
        <v>7</v>
      </c>
      <c r="AU16" s="233"/>
      <c r="AV16" s="229"/>
      <c r="AW16" s="233"/>
      <c r="AX16" s="229" t="s">
        <v>666</v>
      </c>
      <c r="AY16" s="229"/>
      <c r="AZ16" s="229">
        <v>0</v>
      </c>
      <c r="BA16" s="229">
        <v>0</v>
      </c>
      <c r="BB16" s="229">
        <v>0</v>
      </c>
      <c r="BC16" s="229">
        <v>0</v>
      </c>
      <c r="BD16" s="229">
        <v>0</v>
      </c>
      <c r="BE16" s="229">
        <v>0</v>
      </c>
      <c r="BF16" s="229">
        <v>0</v>
      </c>
      <c r="BG16" s="229">
        <v>0</v>
      </c>
      <c r="BH16" s="229">
        <v>0</v>
      </c>
      <c r="BI16" s="229">
        <v>0</v>
      </c>
      <c r="BJ16" s="229">
        <v>0</v>
      </c>
      <c r="BK16" s="229">
        <v>0</v>
      </c>
      <c r="BL16" s="229"/>
      <c r="BM16" s="229" t="s">
        <v>666</v>
      </c>
      <c r="BN16" s="229"/>
      <c r="BO16" s="229" t="s">
        <v>666</v>
      </c>
      <c r="BP16" s="234">
        <v>47.236363636363635</v>
      </c>
      <c r="BQ16" s="229"/>
      <c r="BR16" s="229"/>
      <c r="BS16" s="229"/>
      <c r="BT16" s="226"/>
      <c r="BU16" s="226"/>
      <c r="BV16" s="229"/>
      <c r="BW16" s="229" t="s">
        <v>728</v>
      </c>
      <c r="BX16" s="229">
        <v>1</v>
      </c>
      <c r="BY16" s="235"/>
      <c r="BZ16" s="281" t="s">
        <v>1055</v>
      </c>
      <c r="CA16" s="226" t="s">
        <v>426</v>
      </c>
    </row>
    <row r="17" spans="1:79" ht="13" customHeight="1" x14ac:dyDescent="0.15">
      <c r="A17" s="226">
        <v>16350</v>
      </c>
      <c r="B17" s="227">
        <v>43290</v>
      </c>
      <c r="C17" s="228" t="s">
        <v>662</v>
      </c>
      <c r="D17" s="226" t="s">
        <v>663</v>
      </c>
      <c r="E17" s="226"/>
      <c r="F17" s="226" t="s">
        <v>664</v>
      </c>
      <c r="G17" s="227">
        <v>43284</v>
      </c>
      <c r="H17" s="229" t="s">
        <v>665</v>
      </c>
      <c r="I17" s="229" t="s">
        <v>666</v>
      </c>
      <c r="J17" s="229"/>
      <c r="K17" s="226" t="s">
        <v>667</v>
      </c>
      <c r="L17" s="226" t="s">
        <v>1027</v>
      </c>
      <c r="M17" s="230">
        <v>88.518181818181816</v>
      </c>
      <c r="N17" s="230">
        <v>31.218181818181819</v>
      </c>
      <c r="O17" s="99"/>
      <c r="P17" s="101"/>
      <c r="Q17" s="232"/>
      <c r="R17" s="231"/>
      <c r="S17" s="232"/>
      <c r="T17" s="231"/>
      <c r="U17" s="232"/>
      <c r="V17" s="232"/>
      <c r="W17" s="232"/>
      <c r="X17" s="226"/>
      <c r="Y17" s="230"/>
      <c r="Z17" s="230"/>
      <c r="AA17" s="230"/>
      <c r="AB17" s="230"/>
      <c r="AC17" s="230"/>
      <c r="AD17" s="230"/>
      <c r="AE17" s="230">
        <v>17.172727272727272</v>
      </c>
      <c r="AF17" s="231"/>
      <c r="AG17" s="226"/>
      <c r="AH17" s="230"/>
      <c r="AI17" s="226"/>
      <c r="AJ17" s="226"/>
      <c r="AK17" s="230"/>
      <c r="AL17" s="226"/>
      <c r="AM17" s="230"/>
      <c r="AN17" s="230"/>
      <c r="AO17" s="226" t="s">
        <v>764</v>
      </c>
      <c r="AP17" s="229" t="s">
        <v>666</v>
      </c>
      <c r="AQ17" s="229"/>
      <c r="AR17" s="229"/>
      <c r="AS17" s="233"/>
      <c r="AT17" s="229">
        <v>5</v>
      </c>
      <c r="AU17" s="233"/>
      <c r="AV17" s="229"/>
      <c r="AW17" s="233"/>
      <c r="AX17" s="299" t="s">
        <v>727</v>
      </c>
      <c r="AY17" s="299"/>
      <c r="AZ17" s="229">
        <v>0</v>
      </c>
      <c r="BA17" s="229">
        <v>0</v>
      </c>
      <c r="BB17" s="229">
        <v>0</v>
      </c>
      <c r="BC17" s="229">
        <v>0</v>
      </c>
      <c r="BD17" s="229">
        <v>0</v>
      </c>
      <c r="BE17" s="229">
        <v>0</v>
      </c>
      <c r="BF17" s="229">
        <v>0</v>
      </c>
      <c r="BG17" s="229">
        <v>0</v>
      </c>
      <c r="BH17" s="229">
        <v>0</v>
      </c>
      <c r="BI17" s="229">
        <v>0</v>
      </c>
      <c r="BJ17" s="229">
        <v>0</v>
      </c>
      <c r="BK17" s="229">
        <v>0</v>
      </c>
      <c r="BL17" s="229"/>
      <c r="BM17" s="229" t="s">
        <v>666</v>
      </c>
      <c r="BN17" s="229">
        <v>12</v>
      </c>
      <c r="BO17" s="229" t="s">
        <v>666</v>
      </c>
      <c r="BP17" s="302"/>
      <c r="BQ17" s="229"/>
      <c r="BR17" s="229"/>
      <c r="BS17" s="229"/>
      <c r="BT17" s="303"/>
      <c r="BU17" s="303"/>
      <c r="BV17" s="299"/>
      <c r="BW17" s="229" t="s">
        <v>728</v>
      </c>
      <c r="BX17" s="229"/>
      <c r="BY17" s="226" t="s">
        <v>1028</v>
      </c>
      <c r="BZ17" s="269" t="s">
        <v>570</v>
      </c>
      <c r="CA17" s="226" t="s">
        <v>426</v>
      </c>
    </row>
    <row r="18" spans="1:79" ht="13" customHeight="1" x14ac:dyDescent="0.15">
      <c r="A18" s="226"/>
      <c r="B18" s="227">
        <v>43309</v>
      </c>
      <c r="C18" s="228" t="s">
        <v>662</v>
      </c>
      <c r="D18" s="226" t="s">
        <v>663</v>
      </c>
      <c r="E18" s="226"/>
      <c r="F18" s="226" t="s">
        <v>664</v>
      </c>
      <c r="G18" s="236">
        <v>43299</v>
      </c>
      <c r="H18" s="229" t="s">
        <v>665</v>
      </c>
      <c r="I18" s="229" t="s">
        <v>666</v>
      </c>
      <c r="J18" s="229"/>
      <c r="K18" s="226" t="s">
        <v>669</v>
      </c>
      <c r="L18" s="226" t="s">
        <v>960</v>
      </c>
      <c r="M18" s="230">
        <v>90.690909090909088</v>
      </c>
      <c r="N18" s="230">
        <v>32.672727272727265</v>
      </c>
      <c r="O18" s="99"/>
      <c r="P18" s="101"/>
      <c r="Q18" s="232"/>
      <c r="R18" s="231"/>
      <c r="S18" s="232"/>
      <c r="T18" s="226"/>
      <c r="U18" s="232"/>
      <c r="V18" s="232"/>
      <c r="W18" s="232"/>
      <c r="X18" s="226"/>
      <c r="Y18" s="230"/>
      <c r="Z18" s="230"/>
      <c r="AA18" s="230"/>
      <c r="AB18" s="230"/>
      <c r="AC18" s="230"/>
      <c r="AD18" s="232"/>
      <c r="AE18" s="230">
        <v>17.890909090909091</v>
      </c>
      <c r="AF18" s="231"/>
      <c r="AG18" s="226"/>
      <c r="AH18" s="230"/>
      <c r="AI18" s="226"/>
      <c r="AJ18" s="226"/>
      <c r="AK18" s="230"/>
      <c r="AL18" s="226"/>
      <c r="AM18" s="230"/>
      <c r="AN18" s="230"/>
      <c r="AO18" s="226" t="s">
        <v>764</v>
      </c>
      <c r="AP18" s="229" t="s">
        <v>666</v>
      </c>
      <c r="AQ18" s="229"/>
      <c r="AR18" s="229"/>
      <c r="AS18" s="233"/>
      <c r="AT18" s="229">
        <v>8</v>
      </c>
      <c r="AU18" s="233"/>
      <c r="AV18" s="229"/>
      <c r="AW18" s="233"/>
      <c r="AX18" s="299" t="s">
        <v>666</v>
      </c>
      <c r="AY18" s="299"/>
      <c r="AZ18" s="229">
        <v>0</v>
      </c>
      <c r="BA18" s="229">
        <v>0</v>
      </c>
      <c r="BB18" s="229">
        <v>0</v>
      </c>
      <c r="BC18" s="229">
        <v>0</v>
      </c>
      <c r="BD18" s="229">
        <v>0</v>
      </c>
      <c r="BE18" s="229">
        <v>0</v>
      </c>
      <c r="BF18" s="229">
        <v>0</v>
      </c>
      <c r="BG18" s="229">
        <v>0</v>
      </c>
      <c r="BH18" s="229">
        <v>0</v>
      </c>
      <c r="BI18" s="229">
        <v>0</v>
      </c>
      <c r="BJ18" s="229">
        <v>0</v>
      </c>
      <c r="BK18" s="229">
        <v>0</v>
      </c>
      <c r="BL18" s="229"/>
      <c r="BM18" s="229" t="s">
        <v>666</v>
      </c>
      <c r="BN18" s="229"/>
      <c r="BO18" s="229" t="s">
        <v>666</v>
      </c>
      <c r="BP18" s="302"/>
      <c r="BQ18" s="229"/>
      <c r="BR18" s="229"/>
      <c r="BS18" s="229"/>
      <c r="BT18" s="304"/>
      <c r="BU18" s="304"/>
      <c r="BV18" s="299"/>
      <c r="BW18" s="229" t="s">
        <v>728</v>
      </c>
      <c r="BX18" s="229">
        <v>1</v>
      </c>
      <c r="BY18" s="226"/>
      <c r="BZ18" s="226" t="s">
        <v>570</v>
      </c>
      <c r="CA18" s="226" t="s">
        <v>729</v>
      </c>
    </row>
    <row r="19" spans="1:79" ht="13" customHeight="1" x14ac:dyDescent="0.15">
      <c r="A19" s="226">
        <v>11133</v>
      </c>
      <c r="B19" s="227">
        <v>43291</v>
      </c>
      <c r="C19" s="228" t="s">
        <v>662</v>
      </c>
      <c r="D19" s="226" t="s">
        <v>663</v>
      </c>
      <c r="E19" s="226"/>
      <c r="F19" s="226" t="s">
        <v>664</v>
      </c>
      <c r="G19" s="236">
        <v>43281</v>
      </c>
      <c r="H19" s="229" t="s">
        <v>665</v>
      </c>
      <c r="I19" s="229" t="s">
        <v>666</v>
      </c>
      <c r="J19" s="229"/>
      <c r="K19" s="226" t="s">
        <v>949</v>
      </c>
      <c r="L19" s="226" t="s">
        <v>1030</v>
      </c>
      <c r="M19" s="230">
        <v>80</v>
      </c>
      <c r="N19" s="230">
        <v>32.999999999999993</v>
      </c>
      <c r="O19" s="99" t="s">
        <v>875</v>
      </c>
      <c r="P19" s="101">
        <v>300</v>
      </c>
      <c r="Q19" s="230">
        <v>35.154545454545456</v>
      </c>
      <c r="R19" s="231">
        <v>700</v>
      </c>
      <c r="S19" s="230">
        <v>40</v>
      </c>
      <c r="T19" s="231">
        <v>1500</v>
      </c>
      <c r="U19" s="230">
        <v>42</v>
      </c>
      <c r="V19" s="232"/>
      <c r="W19" s="232"/>
      <c r="X19" s="226"/>
      <c r="Y19" s="230"/>
      <c r="Z19" s="230"/>
      <c r="AA19" s="230"/>
      <c r="AB19" s="230"/>
      <c r="AC19" s="230"/>
      <c r="AD19" s="230"/>
      <c r="AE19" s="230">
        <v>17.536363636363635</v>
      </c>
      <c r="AF19" s="231"/>
      <c r="AG19" s="226"/>
      <c r="AH19" s="230"/>
      <c r="AI19" s="226"/>
      <c r="AJ19" s="226"/>
      <c r="AK19" s="230"/>
      <c r="AL19" s="226"/>
      <c r="AM19" s="230"/>
      <c r="AN19" s="230"/>
      <c r="AO19" s="226" t="s">
        <v>764</v>
      </c>
      <c r="AP19" s="229" t="s">
        <v>666</v>
      </c>
      <c r="AQ19" s="229"/>
      <c r="AR19" s="229"/>
      <c r="AS19" s="229">
        <v>10</v>
      </c>
      <c r="AT19" s="229">
        <v>5.2</v>
      </c>
      <c r="AU19" s="233"/>
      <c r="AV19" s="229"/>
      <c r="AW19" s="233"/>
      <c r="AX19" s="229" t="s">
        <v>727</v>
      </c>
      <c r="AY19" s="273"/>
      <c r="AZ19" s="229">
        <v>0</v>
      </c>
      <c r="BA19" s="229">
        <v>0</v>
      </c>
      <c r="BB19" s="229">
        <v>2</v>
      </c>
      <c r="BC19" s="229">
        <v>0</v>
      </c>
      <c r="BD19" s="229">
        <v>0</v>
      </c>
      <c r="BE19" s="229">
        <v>0</v>
      </c>
      <c r="BF19" s="229">
        <v>0</v>
      </c>
      <c r="BG19" s="229">
        <v>0</v>
      </c>
      <c r="BH19" s="229">
        <v>0</v>
      </c>
      <c r="BI19" s="229">
        <v>0</v>
      </c>
      <c r="BJ19" s="229">
        <v>0</v>
      </c>
      <c r="BK19" s="229">
        <v>0</v>
      </c>
      <c r="BL19" s="229"/>
      <c r="BM19" s="229" t="s">
        <v>666</v>
      </c>
      <c r="BN19" s="229"/>
      <c r="BO19" s="229" t="s">
        <v>666</v>
      </c>
      <c r="BP19" s="302"/>
      <c r="BQ19" s="229"/>
      <c r="BR19" s="229"/>
      <c r="BS19" s="229"/>
      <c r="BT19" s="304"/>
      <c r="BU19" s="304"/>
      <c r="BV19" s="299"/>
      <c r="BW19" s="229" t="s">
        <v>728</v>
      </c>
      <c r="BX19" s="229"/>
      <c r="BY19" s="272"/>
      <c r="BZ19" s="288" t="s">
        <v>931</v>
      </c>
      <c r="CA19" s="235" t="s">
        <v>426</v>
      </c>
    </row>
    <row r="20" spans="1:79" ht="13" customHeight="1" x14ac:dyDescent="0.15">
      <c r="A20" s="226">
        <v>1158</v>
      </c>
      <c r="B20" s="227">
        <v>43291</v>
      </c>
      <c r="C20" s="228" t="s">
        <v>662</v>
      </c>
      <c r="D20" s="226" t="s">
        <v>663</v>
      </c>
      <c r="E20" s="226"/>
      <c r="F20" s="226" t="s">
        <v>664</v>
      </c>
      <c r="G20" s="227">
        <v>43281</v>
      </c>
      <c r="H20" s="229" t="s">
        <v>665</v>
      </c>
      <c r="I20" s="229" t="s">
        <v>666</v>
      </c>
      <c r="J20" s="229"/>
      <c r="K20" s="226" t="s">
        <v>1031</v>
      </c>
      <c r="L20" s="226" t="s">
        <v>1032</v>
      </c>
      <c r="M20" s="230">
        <v>84.5</v>
      </c>
      <c r="N20" s="230">
        <v>34.109090909090909</v>
      </c>
      <c r="O20" s="99"/>
      <c r="P20" s="101"/>
      <c r="Q20" s="232"/>
      <c r="R20" s="231"/>
      <c r="S20" s="232"/>
      <c r="T20" s="231"/>
      <c r="U20" s="232"/>
      <c r="V20" s="232"/>
      <c r="W20" s="232"/>
      <c r="X20" s="231"/>
      <c r="Y20" s="230"/>
      <c r="Z20" s="230"/>
      <c r="AA20" s="230"/>
      <c r="AB20" s="230"/>
      <c r="AC20" s="230"/>
      <c r="AD20" s="230"/>
      <c r="AE20" s="230">
        <v>18.18181818181818</v>
      </c>
      <c r="AF20" s="231"/>
      <c r="AG20" s="226"/>
      <c r="AH20" s="230"/>
      <c r="AI20" s="226"/>
      <c r="AJ20" s="226"/>
      <c r="AK20" s="230"/>
      <c r="AL20" s="226"/>
      <c r="AM20" s="230"/>
      <c r="AN20" s="230"/>
      <c r="AO20" s="226" t="s">
        <v>764</v>
      </c>
      <c r="AP20" s="229" t="s">
        <v>666</v>
      </c>
      <c r="AQ20" s="229"/>
      <c r="AR20" s="229"/>
      <c r="AS20" s="233"/>
      <c r="AT20" s="229">
        <v>8.5</v>
      </c>
      <c r="AU20" s="233"/>
      <c r="AV20" s="229"/>
      <c r="AW20" s="233"/>
      <c r="AX20" s="229" t="s">
        <v>727</v>
      </c>
      <c r="AY20" s="229"/>
      <c r="AZ20" s="229">
        <v>0</v>
      </c>
      <c r="BA20" s="229">
        <v>0</v>
      </c>
      <c r="BB20" s="229">
        <v>0</v>
      </c>
      <c r="BC20" s="229">
        <v>0</v>
      </c>
      <c r="BD20" s="229">
        <v>0</v>
      </c>
      <c r="BE20" s="229">
        <v>0</v>
      </c>
      <c r="BF20" s="229">
        <v>0</v>
      </c>
      <c r="BG20" s="229">
        <v>0</v>
      </c>
      <c r="BH20" s="229">
        <v>0</v>
      </c>
      <c r="BI20" s="229">
        <v>0</v>
      </c>
      <c r="BJ20" s="229">
        <v>0</v>
      </c>
      <c r="BK20" s="229">
        <v>0</v>
      </c>
      <c r="BL20" s="229"/>
      <c r="BM20" s="229" t="s">
        <v>666</v>
      </c>
      <c r="BN20" s="229">
        <v>12</v>
      </c>
      <c r="BO20" s="229" t="s">
        <v>666</v>
      </c>
      <c r="BP20" s="302"/>
      <c r="BQ20" s="229"/>
      <c r="BR20" s="229"/>
      <c r="BS20" s="229"/>
      <c r="BT20" s="304" t="s">
        <v>1033</v>
      </c>
      <c r="BU20" s="303" t="s">
        <v>64</v>
      </c>
      <c r="BV20" s="299">
        <v>25</v>
      </c>
      <c r="BW20" s="229" t="s">
        <v>728</v>
      </c>
      <c r="BX20" s="229"/>
      <c r="BY20" s="226" t="s">
        <v>1034</v>
      </c>
      <c r="BZ20" s="269" t="s">
        <v>1056</v>
      </c>
      <c r="CA20" s="226" t="s">
        <v>426</v>
      </c>
    </row>
    <row r="21" spans="1:79" ht="13" customHeight="1" x14ac:dyDescent="0.15">
      <c r="A21" s="226">
        <v>11894</v>
      </c>
      <c r="B21" s="227">
        <v>43309</v>
      </c>
      <c r="C21" s="228" t="s">
        <v>662</v>
      </c>
      <c r="D21" s="226" t="s">
        <v>663</v>
      </c>
      <c r="E21" s="226"/>
      <c r="F21" s="226" t="s">
        <v>664</v>
      </c>
      <c r="G21" s="227">
        <v>43302</v>
      </c>
      <c r="H21" s="229" t="s">
        <v>665</v>
      </c>
      <c r="I21" s="229" t="s">
        <v>666</v>
      </c>
      <c r="J21" s="229"/>
      <c r="K21" s="226" t="s">
        <v>1035</v>
      </c>
      <c r="L21" s="226" t="s">
        <v>901</v>
      </c>
      <c r="M21" s="230">
        <v>84.154545454545442</v>
      </c>
      <c r="N21" s="230">
        <v>32.981818181818177</v>
      </c>
      <c r="O21" s="99"/>
      <c r="P21" s="101"/>
      <c r="Q21" s="232"/>
      <c r="R21" s="231"/>
      <c r="S21" s="232"/>
      <c r="T21" s="231"/>
      <c r="U21" s="232"/>
      <c r="V21" s="232"/>
      <c r="W21" s="232"/>
      <c r="X21" s="226"/>
      <c r="Y21" s="230"/>
      <c r="Z21" s="230"/>
      <c r="AA21" s="230"/>
      <c r="AB21" s="230"/>
      <c r="AC21" s="230"/>
      <c r="AD21" s="230"/>
      <c r="AE21" s="230">
        <v>18</v>
      </c>
      <c r="AF21" s="231"/>
      <c r="AG21" s="226"/>
      <c r="AH21" s="230"/>
      <c r="AI21" s="226"/>
      <c r="AJ21" s="226"/>
      <c r="AK21" s="230"/>
      <c r="AL21" s="226"/>
      <c r="AM21" s="230"/>
      <c r="AN21" s="230"/>
      <c r="AO21" s="226" t="s">
        <v>764</v>
      </c>
      <c r="AP21" s="229" t="s">
        <v>666</v>
      </c>
      <c r="AQ21" s="229"/>
      <c r="AR21" s="229"/>
      <c r="AS21" s="233"/>
      <c r="AT21" s="229">
        <v>3</v>
      </c>
      <c r="AU21" s="233"/>
      <c r="AV21" s="229"/>
      <c r="AW21" s="233"/>
      <c r="AX21" s="229" t="s">
        <v>638</v>
      </c>
      <c r="AY21" s="229"/>
      <c r="AZ21" s="229">
        <v>0</v>
      </c>
      <c r="BA21" s="229">
        <v>0</v>
      </c>
      <c r="BB21" s="229">
        <v>0</v>
      </c>
      <c r="BC21" s="229">
        <v>0</v>
      </c>
      <c r="BD21" s="229">
        <v>0</v>
      </c>
      <c r="BE21" s="229">
        <v>0</v>
      </c>
      <c r="BF21" s="229">
        <v>0</v>
      </c>
      <c r="BG21" s="229">
        <v>0</v>
      </c>
      <c r="BH21" s="229">
        <v>0</v>
      </c>
      <c r="BI21" s="229">
        <v>0</v>
      </c>
      <c r="BJ21" s="229">
        <v>0</v>
      </c>
      <c r="BK21" s="229">
        <v>0</v>
      </c>
      <c r="BL21" s="229"/>
      <c r="BM21" s="229" t="s">
        <v>666</v>
      </c>
      <c r="BN21" s="229"/>
      <c r="BO21" s="229" t="s">
        <v>666</v>
      </c>
      <c r="BP21" s="302"/>
      <c r="BQ21" s="229"/>
      <c r="BR21" s="229"/>
      <c r="BS21" s="229"/>
      <c r="BT21" s="304" t="s">
        <v>1036</v>
      </c>
      <c r="BU21" s="304"/>
      <c r="BV21" s="299"/>
      <c r="BW21" s="229" t="s">
        <v>728</v>
      </c>
      <c r="BX21" s="229"/>
      <c r="BY21" s="235"/>
      <c r="BZ21" s="269" t="s">
        <v>999</v>
      </c>
      <c r="CA21" s="235" t="s">
        <v>426</v>
      </c>
    </row>
    <row r="22" spans="1:79" ht="13" customHeight="1" x14ac:dyDescent="0.15">
      <c r="A22" s="226">
        <v>767</v>
      </c>
      <c r="B22" s="227">
        <v>43291</v>
      </c>
      <c r="C22" s="228" t="s">
        <v>662</v>
      </c>
      <c r="D22" s="226" t="s">
        <v>663</v>
      </c>
      <c r="E22" s="226"/>
      <c r="F22" s="226" t="s">
        <v>664</v>
      </c>
      <c r="G22" s="227">
        <v>43287</v>
      </c>
      <c r="H22" s="229" t="s">
        <v>665</v>
      </c>
      <c r="I22" s="229" t="s">
        <v>666</v>
      </c>
      <c r="J22" s="229"/>
      <c r="K22" s="226" t="s">
        <v>702</v>
      </c>
      <c r="L22" s="226" t="s">
        <v>967</v>
      </c>
      <c r="M22" s="230">
        <v>80.763636363636365</v>
      </c>
      <c r="N22" s="230">
        <v>31.09090909090909</v>
      </c>
      <c r="O22" s="99" t="s">
        <v>875</v>
      </c>
      <c r="P22" s="101">
        <v>1000</v>
      </c>
      <c r="Q22" s="230">
        <v>33.609090909090902</v>
      </c>
      <c r="R22" s="231"/>
      <c r="S22" s="232"/>
      <c r="T22" s="231"/>
      <c r="U22" s="232"/>
      <c r="V22" s="232"/>
      <c r="W22" s="232"/>
      <c r="X22" s="226"/>
      <c r="Y22" s="230"/>
      <c r="Z22" s="230"/>
      <c r="AA22" s="230"/>
      <c r="AB22" s="230"/>
      <c r="AC22" s="230"/>
      <c r="AD22" s="232"/>
      <c r="AE22" s="230">
        <v>16.463636363636361</v>
      </c>
      <c r="AF22" s="231"/>
      <c r="AG22" s="226"/>
      <c r="AH22" s="230"/>
      <c r="AI22" s="226"/>
      <c r="AJ22" s="226"/>
      <c r="AK22" s="230"/>
      <c r="AL22" s="226"/>
      <c r="AM22" s="230"/>
      <c r="AN22" s="230"/>
      <c r="AO22" s="226" t="s">
        <v>764</v>
      </c>
      <c r="AP22" s="229" t="s">
        <v>666</v>
      </c>
      <c r="AQ22" s="229"/>
      <c r="AR22" s="229"/>
      <c r="AS22" s="233"/>
      <c r="AT22" s="229">
        <v>5</v>
      </c>
      <c r="AU22" s="233"/>
      <c r="AV22" s="229"/>
      <c r="AW22" s="233"/>
      <c r="AX22" s="229" t="s">
        <v>638</v>
      </c>
      <c r="AY22" s="229"/>
      <c r="AZ22" s="229">
        <v>0</v>
      </c>
      <c r="BA22" s="229">
        <v>0</v>
      </c>
      <c r="BB22" s="229"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/>
      <c r="BM22" s="229" t="s">
        <v>666</v>
      </c>
      <c r="BN22" s="229">
        <v>12</v>
      </c>
      <c r="BO22" s="229" t="s">
        <v>666</v>
      </c>
      <c r="BP22" s="302"/>
      <c r="BQ22" s="229"/>
      <c r="BR22" s="229"/>
      <c r="BS22" s="229"/>
      <c r="BT22" s="235"/>
      <c r="BU22" s="235"/>
      <c r="BV22" s="229"/>
      <c r="BW22" s="229" t="s">
        <v>728</v>
      </c>
      <c r="BX22" s="229"/>
      <c r="BY22" s="226" t="s">
        <v>1037</v>
      </c>
      <c r="BZ22" s="280" t="s">
        <v>570</v>
      </c>
      <c r="CA22" s="235" t="s">
        <v>426</v>
      </c>
    </row>
    <row r="23" spans="1:79" ht="13" customHeight="1" x14ac:dyDescent="0.15">
      <c r="A23" s="226">
        <v>11319</v>
      </c>
      <c r="B23" s="227">
        <v>43292</v>
      </c>
      <c r="C23" s="228" t="s">
        <v>662</v>
      </c>
      <c r="D23" s="226" t="s">
        <v>663</v>
      </c>
      <c r="E23" s="226"/>
      <c r="F23" s="226" t="s">
        <v>664</v>
      </c>
      <c r="G23" s="236">
        <v>43281</v>
      </c>
      <c r="H23" s="229" t="s">
        <v>665</v>
      </c>
      <c r="I23" s="229" t="s">
        <v>666</v>
      </c>
      <c r="J23" s="229"/>
      <c r="K23" s="226" t="s">
        <v>1038</v>
      </c>
      <c r="L23" s="226" t="s">
        <v>919</v>
      </c>
      <c r="M23" s="230">
        <v>82</v>
      </c>
      <c r="N23" s="230">
        <v>31.099999999999998</v>
      </c>
      <c r="O23" s="99"/>
      <c r="P23" s="101"/>
      <c r="Q23" s="232"/>
      <c r="R23" s="231"/>
      <c r="S23" s="232"/>
      <c r="T23" s="226"/>
      <c r="U23" s="232"/>
      <c r="V23" s="232"/>
      <c r="W23" s="232"/>
      <c r="X23" s="231"/>
      <c r="Y23" s="230"/>
      <c r="Z23" s="230"/>
      <c r="AA23" s="230"/>
      <c r="AB23" s="230"/>
      <c r="AC23" s="230"/>
      <c r="AD23" s="230"/>
      <c r="AE23" s="230">
        <v>15.518181818181818</v>
      </c>
      <c r="AF23" s="231"/>
      <c r="AG23" s="226"/>
      <c r="AH23" s="230"/>
      <c r="AI23" s="226"/>
      <c r="AJ23" s="226"/>
      <c r="AK23" s="230"/>
      <c r="AL23" s="226"/>
      <c r="AM23" s="230"/>
      <c r="AN23" s="230"/>
      <c r="AO23" s="226" t="s">
        <v>764</v>
      </c>
      <c r="AP23" s="229" t="s">
        <v>666</v>
      </c>
      <c r="AQ23" s="229"/>
      <c r="AR23" s="229"/>
      <c r="AS23" s="233"/>
      <c r="AT23" s="229">
        <v>3</v>
      </c>
      <c r="AU23" s="233"/>
      <c r="AV23" s="229"/>
      <c r="AW23" s="233"/>
      <c r="AX23" s="229" t="s">
        <v>727</v>
      </c>
      <c r="AY23" s="229"/>
      <c r="AZ23" s="229">
        <v>0</v>
      </c>
      <c r="BA23" s="229">
        <v>0</v>
      </c>
      <c r="BB23" s="229"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/>
      <c r="BM23" s="229" t="s">
        <v>666</v>
      </c>
      <c r="BN23" s="229"/>
      <c r="BO23" s="229" t="s">
        <v>666</v>
      </c>
      <c r="BP23" s="302"/>
      <c r="BQ23" s="229"/>
      <c r="BR23" s="229"/>
      <c r="BS23" s="229"/>
      <c r="BT23" s="235"/>
      <c r="BU23" s="235"/>
      <c r="BV23" s="229"/>
      <c r="BW23" s="229" t="s">
        <v>728</v>
      </c>
      <c r="BX23" s="229"/>
      <c r="BY23" s="235"/>
      <c r="BZ23" t="s">
        <v>570</v>
      </c>
      <c r="CA23" s="226" t="s">
        <v>426</v>
      </c>
    </row>
    <row r="24" spans="1:79" ht="13" customHeight="1" x14ac:dyDescent="0.15">
      <c r="A24" s="226">
        <v>13690</v>
      </c>
      <c r="B24" s="227">
        <v>43308</v>
      </c>
      <c r="C24" s="228" t="s">
        <v>662</v>
      </c>
      <c r="D24" s="226" t="s">
        <v>663</v>
      </c>
      <c r="E24" s="226"/>
      <c r="F24" s="226" t="s">
        <v>664</v>
      </c>
      <c r="G24" s="227">
        <v>43299</v>
      </c>
      <c r="H24" s="229" t="s">
        <v>665</v>
      </c>
      <c r="I24" s="229" t="s">
        <v>666</v>
      </c>
      <c r="J24" s="229"/>
      <c r="K24" s="226" t="s">
        <v>708</v>
      </c>
      <c r="L24" s="226" t="s">
        <v>1039</v>
      </c>
      <c r="M24" s="230">
        <v>72.999999999999986</v>
      </c>
      <c r="N24" s="230">
        <v>28.999999999999996</v>
      </c>
      <c r="O24" s="99"/>
      <c r="P24" s="101"/>
      <c r="Q24" s="232"/>
      <c r="R24" s="231"/>
      <c r="S24" s="232"/>
      <c r="T24" s="226"/>
      <c r="U24" s="232"/>
      <c r="V24" s="232"/>
      <c r="W24" s="232"/>
      <c r="X24" s="226"/>
      <c r="Y24" s="230"/>
      <c r="Z24" s="230"/>
      <c r="AA24" s="230"/>
      <c r="AB24" s="230"/>
      <c r="AC24" s="230"/>
      <c r="AD24" s="230"/>
      <c r="AE24" s="230">
        <v>21.499999999999996</v>
      </c>
      <c r="AF24" s="231"/>
      <c r="AG24" s="226"/>
      <c r="AH24" s="230"/>
      <c r="AI24" s="226"/>
      <c r="AJ24" s="226"/>
      <c r="AK24" s="232"/>
      <c r="AL24" s="226"/>
      <c r="AM24" s="230"/>
      <c r="AN24" s="230"/>
      <c r="AO24" s="226" t="s">
        <v>764</v>
      </c>
      <c r="AP24" s="229" t="s">
        <v>666</v>
      </c>
      <c r="AQ24" s="229"/>
      <c r="AR24" s="229"/>
      <c r="AS24" s="233"/>
      <c r="AT24" s="229">
        <v>9</v>
      </c>
      <c r="AU24" s="233">
        <v>910</v>
      </c>
      <c r="AV24" s="229"/>
      <c r="AW24" s="233">
        <v>6.5</v>
      </c>
      <c r="AX24" s="229" t="s">
        <v>727</v>
      </c>
      <c r="AY24" s="229"/>
      <c r="AZ24" s="229">
        <v>0</v>
      </c>
      <c r="BA24" s="229">
        <v>0</v>
      </c>
      <c r="BB24" s="229">
        <v>0</v>
      </c>
      <c r="BC24" s="229">
        <v>0</v>
      </c>
      <c r="BD24" s="229">
        <v>0</v>
      </c>
      <c r="BE24" s="229">
        <v>0</v>
      </c>
      <c r="BF24" s="229">
        <v>0</v>
      </c>
      <c r="BG24" s="229">
        <v>0</v>
      </c>
      <c r="BH24" s="229">
        <v>0</v>
      </c>
      <c r="BI24" s="229">
        <v>0</v>
      </c>
      <c r="BJ24" s="229">
        <v>0</v>
      </c>
      <c r="BK24" s="229">
        <v>0</v>
      </c>
      <c r="BL24" s="229"/>
      <c r="BM24" s="229" t="s">
        <v>666</v>
      </c>
      <c r="BN24" s="229"/>
      <c r="BO24" s="229" t="s">
        <v>666</v>
      </c>
      <c r="BP24" s="234">
        <v>141.70909090909089</v>
      </c>
      <c r="BQ24" s="229"/>
      <c r="BR24" s="229"/>
      <c r="BS24" s="279"/>
      <c r="BT24" s="182"/>
      <c r="BU24" s="235"/>
      <c r="BV24" s="229"/>
      <c r="BW24" s="229" t="s">
        <v>728</v>
      </c>
      <c r="BX24" s="229"/>
      <c r="BY24" s="235"/>
      <c r="BZ24" s="269" t="s">
        <v>570</v>
      </c>
      <c r="CA24" s="235" t="s">
        <v>426</v>
      </c>
    </row>
    <row r="25" spans="1:79" ht="13" customHeight="1" x14ac:dyDescent="0.15">
      <c r="A25" s="226">
        <v>3062</v>
      </c>
      <c r="B25" s="227">
        <v>43292</v>
      </c>
      <c r="C25" s="228" t="s">
        <v>662</v>
      </c>
      <c r="D25" s="226" t="s">
        <v>663</v>
      </c>
      <c r="E25" s="226"/>
      <c r="F25" s="226" t="s">
        <v>664</v>
      </c>
      <c r="G25" s="227">
        <v>43281</v>
      </c>
      <c r="H25" s="229" t="s">
        <v>665</v>
      </c>
      <c r="I25" s="229" t="s">
        <v>666</v>
      </c>
      <c r="J25" s="229"/>
      <c r="K25" s="226" t="s">
        <v>1040</v>
      </c>
      <c r="L25" s="226" t="s">
        <v>1041</v>
      </c>
      <c r="M25" s="230">
        <v>99.809090909090912</v>
      </c>
      <c r="N25" s="230">
        <v>32.709090909090904</v>
      </c>
      <c r="O25" s="99" t="s">
        <v>875</v>
      </c>
      <c r="P25" s="101">
        <v>1000</v>
      </c>
      <c r="Q25" s="230">
        <v>34.209090909090911</v>
      </c>
      <c r="R25" s="231"/>
      <c r="S25" s="232"/>
      <c r="T25" s="231"/>
      <c r="U25" s="232"/>
      <c r="V25" s="232"/>
      <c r="W25" s="232"/>
      <c r="X25" s="226"/>
      <c r="Y25" s="230"/>
      <c r="Z25" s="230"/>
      <c r="AA25" s="230"/>
      <c r="AB25" s="230"/>
      <c r="AC25" s="230"/>
      <c r="AD25" s="230"/>
      <c r="AE25" s="230">
        <v>18.18181818181818</v>
      </c>
      <c r="AF25" s="231"/>
      <c r="AG25" s="226"/>
      <c r="AH25" s="230"/>
      <c r="AI25" s="226"/>
      <c r="AJ25" s="226"/>
      <c r="AK25" s="230"/>
      <c r="AL25" s="226"/>
      <c r="AM25" s="230"/>
      <c r="AN25" s="230"/>
      <c r="AO25" s="226" t="s">
        <v>764</v>
      </c>
      <c r="AP25" s="229" t="s">
        <v>666</v>
      </c>
      <c r="AQ25" s="229"/>
      <c r="AR25" s="229"/>
      <c r="AS25" s="233"/>
      <c r="AT25" s="229">
        <v>6</v>
      </c>
      <c r="AU25" s="233"/>
      <c r="AV25" s="229"/>
      <c r="AW25" s="233"/>
      <c r="AX25" s="229" t="s">
        <v>666</v>
      </c>
      <c r="AY25" s="229"/>
      <c r="AZ25" s="229">
        <v>1</v>
      </c>
      <c r="BA25" s="229">
        <v>0</v>
      </c>
      <c r="BB25" s="229">
        <v>0</v>
      </c>
      <c r="BC25" s="229">
        <v>0</v>
      </c>
      <c r="BD25" s="229">
        <v>0</v>
      </c>
      <c r="BE25" s="229">
        <v>0</v>
      </c>
      <c r="BF25" s="229">
        <v>0</v>
      </c>
      <c r="BG25" s="229">
        <v>0</v>
      </c>
      <c r="BH25" s="229">
        <v>0</v>
      </c>
      <c r="BI25" s="229">
        <v>0</v>
      </c>
      <c r="BJ25" s="229">
        <v>0</v>
      </c>
      <c r="BK25" s="229">
        <v>0</v>
      </c>
      <c r="BL25" s="229"/>
      <c r="BM25" s="229" t="s">
        <v>666</v>
      </c>
      <c r="BN25" s="229"/>
      <c r="BO25" s="229" t="s">
        <v>666</v>
      </c>
      <c r="BP25" s="302"/>
      <c r="BQ25" s="229"/>
      <c r="BR25" s="229"/>
      <c r="BS25" s="229"/>
      <c r="BT25" s="226"/>
      <c r="BU25" s="226"/>
      <c r="BV25" s="229"/>
      <c r="BW25" s="229" t="s">
        <v>728</v>
      </c>
      <c r="BX25" s="229"/>
      <c r="BY25" s="226" t="s">
        <v>1042</v>
      </c>
      <c r="BZ25" s="281" t="s">
        <v>570</v>
      </c>
      <c r="CA25" s="226" t="s">
        <v>426</v>
      </c>
    </row>
    <row r="26" spans="1:79" ht="13" customHeight="1" x14ac:dyDescent="0.15">
      <c r="A26" s="226">
        <v>15305</v>
      </c>
      <c r="B26" s="227">
        <v>43308</v>
      </c>
      <c r="C26" s="228" t="s">
        <v>662</v>
      </c>
      <c r="D26" s="226" t="s">
        <v>663</v>
      </c>
      <c r="E26" s="226"/>
      <c r="F26" s="226" t="s">
        <v>664</v>
      </c>
      <c r="G26" s="227">
        <v>43266</v>
      </c>
      <c r="H26" s="229" t="s">
        <v>665</v>
      </c>
      <c r="I26" s="229" t="s">
        <v>666</v>
      </c>
      <c r="J26" s="229"/>
      <c r="K26" s="226" t="s">
        <v>714</v>
      </c>
      <c r="L26" s="226" t="s">
        <v>973</v>
      </c>
      <c r="M26" s="230">
        <v>115.76363636363635</v>
      </c>
      <c r="N26" s="230">
        <v>30.327272727272724</v>
      </c>
      <c r="O26" s="99"/>
      <c r="P26" s="101"/>
      <c r="Q26" s="232"/>
      <c r="R26" s="231"/>
      <c r="S26" s="232"/>
      <c r="T26" s="231"/>
      <c r="U26" s="232"/>
      <c r="V26" s="232"/>
      <c r="W26" s="232"/>
      <c r="X26" s="226"/>
      <c r="Y26" s="230"/>
      <c r="Z26" s="230"/>
      <c r="AA26" s="230"/>
      <c r="AB26" s="230"/>
      <c r="AC26" s="230"/>
      <c r="AD26" s="232"/>
      <c r="AE26" s="230">
        <v>18.454545454545453</v>
      </c>
      <c r="AF26" s="231"/>
      <c r="AG26" s="226"/>
      <c r="AH26" s="230"/>
      <c r="AI26" s="226"/>
      <c r="AJ26" s="226"/>
      <c r="AK26" s="230"/>
      <c r="AL26" s="226"/>
      <c r="AM26" s="230"/>
      <c r="AN26" s="230"/>
      <c r="AO26" s="226" t="s">
        <v>764</v>
      </c>
      <c r="AP26" s="229" t="s">
        <v>666</v>
      </c>
      <c r="AQ26" s="229"/>
      <c r="AR26" s="229"/>
      <c r="AS26" s="233"/>
      <c r="AT26" s="229">
        <v>3</v>
      </c>
      <c r="AU26" s="233"/>
      <c r="AV26" s="229"/>
      <c r="AW26" s="233"/>
      <c r="AX26" s="229" t="s">
        <v>727</v>
      </c>
      <c r="AY26" s="229"/>
      <c r="AZ26" s="229">
        <v>0</v>
      </c>
      <c r="BA26" s="229">
        <v>0</v>
      </c>
      <c r="BB26" s="229"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/>
      <c r="BM26" s="229" t="s">
        <v>666</v>
      </c>
      <c r="BN26" s="229"/>
      <c r="BO26" s="229" t="s">
        <v>666</v>
      </c>
      <c r="BP26" s="302"/>
      <c r="BQ26" s="229"/>
      <c r="BR26" s="229"/>
      <c r="BS26" s="229"/>
      <c r="BT26" s="235"/>
      <c r="BU26" s="235"/>
      <c r="BV26" s="229"/>
      <c r="BW26" s="229" t="s">
        <v>728</v>
      </c>
      <c r="BX26" s="229">
        <v>1</v>
      </c>
      <c r="BY26" s="226"/>
      <c r="BZ26" s="269" t="s">
        <v>570</v>
      </c>
      <c r="CA26" s="226" t="s">
        <v>588</v>
      </c>
    </row>
    <row r="27" spans="1:79" ht="13" customHeight="1" x14ac:dyDescent="0.15">
      <c r="A27" s="226">
        <v>13470</v>
      </c>
      <c r="B27" s="227">
        <v>43290</v>
      </c>
      <c r="C27" s="228" t="s">
        <v>662</v>
      </c>
      <c r="D27" s="226" t="s">
        <v>663</v>
      </c>
      <c r="E27" s="226"/>
      <c r="F27" s="226" t="s">
        <v>923</v>
      </c>
      <c r="G27" s="236">
        <v>43281</v>
      </c>
      <c r="H27" s="229" t="s">
        <v>672</v>
      </c>
      <c r="I27" s="229" t="s">
        <v>666</v>
      </c>
      <c r="J27" s="229"/>
      <c r="K27" s="226" t="s">
        <v>720</v>
      </c>
      <c r="L27" s="226" t="s">
        <v>1045</v>
      </c>
      <c r="M27" s="230">
        <v>104.0090909090909</v>
      </c>
      <c r="N27" s="230">
        <v>37.236363636363635</v>
      </c>
      <c r="O27" s="99" t="s">
        <v>875</v>
      </c>
      <c r="P27" s="101">
        <v>2000</v>
      </c>
      <c r="Q27" s="230">
        <v>44.236363636363627</v>
      </c>
      <c r="R27" s="231"/>
      <c r="S27" s="232"/>
      <c r="T27" s="231"/>
      <c r="U27" s="232"/>
      <c r="V27" s="232"/>
      <c r="W27" s="232"/>
      <c r="X27" s="226"/>
      <c r="Y27" s="230"/>
      <c r="Z27" s="230"/>
      <c r="AA27" s="230"/>
      <c r="AB27" s="230"/>
      <c r="AC27" s="230"/>
      <c r="AD27" s="230"/>
      <c r="AE27" s="230">
        <v>26.59090909090909</v>
      </c>
      <c r="AF27" s="231"/>
      <c r="AG27" s="226"/>
      <c r="AH27" s="230"/>
      <c r="AI27" s="226"/>
      <c r="AJ27" s="226"/>
      <c r="AK27" s="230"/>
      <c r="AL27" s="226"/>
      <c r="AM27" s="230"/>
      <c r="AN27" s="230"/>
      <c r="AO27" s="226" t="s">
        <v>924</v>
      </c>
      <c r="AP27" s="229" t="s">
        <v>666</v>
      </c>
      <c r="AQ27" s="229"/>
      <c r="AR27" s="229"/>
      <c r="AS27" s="233"/>
      <c r="AT27" s="229"/>
      <c r="AU27" s="233"/>
      <c r="AV27" s="229"/>
      <c r="AW27" s="233"/>
      <c r="AX27" s="229" t="s">
        <v>727</v>
      </c>
      <c r="AY27" s="229"/>
      <c r="AZ27" s="229">
        <v>0</v>
      </c>
      <c r="BA27" s="229">
        <v>0</v>
      </c>
      <c r="BB27" s="229"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/>
      <c r="BM27" s="229" t="s">
        <v>666</v>
      </c>
      <c r="BN27" s="229"/>
      <c r="BO27" s="229" t="s">
        <v>666</v>
      </c>
      <c r="BP27" s="234">
        <v>163.63636363636363</v>
      </c>
      <c r="BQ27" s="229"/>
      <c r="BR27" s="229"/>
      <c r="BS27" s="229"/>
      <c r="BT27" s="235"/>
      <c r="BU27" s="226"/>
      <c r="BV27" s="229"/>
      <c r="BW27" s="229" t="s">
        <v>728</v>
      </c>
      <c r="BX27" s="229">
        <v>1</v>
      </c>
      <c r="BY27" s="235" t="s">
        <v>880</v>
      </c>
      <c r="BZ27" s="288" t="s">
        <v>1046</v>
      </c>
      <c r="CA27" s="226" t="s">
        <v>426</v>
      </c>
    </row>
    <row r="28" spans="1:79" ht="13" customHeight="1" x14ac:dyDescent="0.15">
      <c r="A28" s="226">
        <v>1896</v>
      </c>
      <c r="B28" s="227">
        <v>43292</v>
      </c>
      <c r="C28" s="228" t="s">
        <v>662</v>
      </c>
      <c r="D28" s="226" t="s">
        <v>663</v>
      </c>
      <c r="E28" s="226"/>
      <c r="F28" s="226" t="s">
        <v>664</v>
      </c>
      <c r="G28" s="227">
        <v>43252</v>
      </c>
      <c r="H28" s="229" t="s">
        <v>665</v>
      </c>
      <c r="I28" s="229" t="s">
        <v>666</v>
      </c>
      <c r="J28" s="229"/>
      <c r="K28" s="226" t="s">
        <v>951</v>
      </c>
      <c r="L28" s="226" t="s">
        <v>898</v>
      </c>
      <c r="M28" s="230">
        <v>89.999999999999986</v>
      </c>
      <c r="N28" s="230">
        <v>48.999999999999993</v>
      </c>
      <c r="O28" s="99" t="s">
        <v>875</v>
      </c>
      <c r="P28" s="101">
        <v>1824.9900000000002</v>
      </c>
      <c r="Q28" s="230">
        <v>52.999999999999993</v>
      </c>
      <c r="R28" s="231"/>
      <c r="S28" s="232"/>
      <c r="T28" s="226"/>
      <c r="U28" s="232"/>
      <c r="V28" s="232"/>
      <c r="W28" s="232"/>
      <c r="X28" s="231"/>
      <c r="Y28" s="230"/>
      <c r="Z28" s="230"/>
      <c r="AA28" s="230"/>
      <c r="AB28" s="230"/>
      <c r="AC28" s="230"/>
      <c r="AD28" s="230"/>
      <c r="AE28" s="230">
        <v>42</v>
      </c>
      <c r="AF28" s="231"/>
      <c r="AG28" s="226"/>
      <c r="AH28" s="230"/>
      <c r="AI28" s="226"/>
      <c r="AJ28" s="226"/>
      <c r="AK28" s="230"/>
      <c r="AL28" s="226"/>
      <c r="AM28" s="230"/>
      <c r="AN28" s="230"/>
      <c r="AO28" s="226" t="s">
        <v>764</v>
      </c>
      <c r="AP28" s="229" t="s">
        <v>666</v>
      </c>
      <c r="AQ28" s="229"/>
      <c r="AR28" s="229"/>
      <c r="AS28" s="233"/>
      <c r="AT28" s="229">
        <v>1</v>
      </c>
      <c r="AU28" s="233"/>
      <c r="AV28" s="229"/>
      <c r="AW28" s="233"/>
      <c r="AX28" s="229" t="s">
        <v>673</v>
      </c>
      <c r="AY28" s="229"/>
      <c r="AZ28" s="229">
        <v>0</v>
      </c>
      <c r="BA28" s="229">
        <v>0</v>
      </c>
      <c r="BB28" s="229"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/>
      <c r="BM28" s="229" t="s">
        <v>666</v>
      </c>
      <c r="BN28" s="229"/>
      <c r="BO28" s="229" t="s">
        <v>666</v>
      </c>
      <c r="BP28" s="302"/>
      <c r="BQ28" s="229"/>
      <c r="BR28" s="229"/>
      <c r="BS28" s="229"/>
      <c r="BT28" s="226"/>
      <c r="BU28" s="235"/>
      <c r="BV28" s="229"/>
      <c r="BW28" s="229" t="s">
        <v>728</v>
      </c>
      <c r="BX28" s="229"/>
      <c r="BY28" s="235"/>
      <c r="BZ28" s="280" t="s">
        <v>570</v>
      </c>
      <c r="CA28" s="226" t="s">
        <v>588</v>
      </c>
    </row>
    <row r="29" spans="1:79" ht="13" customHeight="1" x14ac:dyDescent="0.15">
      <c r="A29" s="226">
        <v>575</v>
      </c>
      <c r="B29" s="227">
        <v>43309</v>
      </c>
      <c r="C29" s="228" t="s">
        <v>662</v>
      </c>
      <c r="D29" s="226" t="s">
        <v>663</v>
      </c>
      <c r="E29" s="226"/>
      <c r="F29" s="226" t="s">
        <v>664</v>
      </c>
      <c r="G29" s="227">
        <v>43266</v>
      </c>
      <c r="H29" s="229" t="s">
        <v>665</v>
      </c>
      <c r="I29" s="229" t="s">
        <v>666</v>
      </c>
      <c r="J29" s="229"/>
      <c r="K29" s="226" t="s">
        <v>899</v>
      </c>
      <c r="L29" s="226" t="s">
        <v>1048</v>
      </c>
      <c r="M29" s="230">
        <v>110.6</v>
      </c>
      <c r="N29" s="230">
        <v>31.127272727272725</v>
      </c>
      <c r="O29" s="235"/>
      <c r="P29" s="231"/>
      <c r="Q29" s="232"/>
      <c r="R29" s="231"/>
      <c r="S29" s="232"/>
      <c r="T29" s="231"/>
      <c r="U29" s="232"/>
      <c r="V29" s="232"/>
      <c r="W29" s="232"/>
      <c r="X29" s="226"/>
      <c r="Y29" s="230"/>
      <c r="Z29" s="230"/>
      <c r="AA29" s="230"/>
      <c r="AB29" s="230"/>
      <c r="AC29" s="230"/>
      <c r="AD29" s="232"/>
      <c r="AE29" s="230">
        <v>24.418181818181814</v>
      </c>
      <c r="AF29" s="231"/>
      <c r="AG29" s="226"/>
      <c r="AH29" s="230"/>
      <c r="AI29" s="226"/>
      <c r="AJ29" s="226"/>
      <c r="AK29" s="230"/>
      <c r="AL29" s="226"/>
      <c r="AM29" s="230"/>
      <c r="AN29" s="230"/>
      <c r="AO29" s="226" t="s">
        <v>764</v>
      </c>
      <c r="AP29" s="229" t="s">
        <v>666</v>
      </c>
      <c r="AQ29" s="229"/>
      <c r="AR29" s="229"/>
      <c r="AS29" s="233"/>
      <c r="AT29" s="229">
        <v>2.06</v>
      </c>
      <c r="AU29" s="233"/>
      <c r="AV29" s="229"/>
      <c r="AW29" s="233"/>
      <c r="AX29" s="229" t="s">
        <v>666</v>
      </c>
      <c r="AY29" s="229"/>
      <c r="AZ29" s="229">
        <v>0</v>
      </c>
      <c r="BA29" s="229">
        <v>0</v>
      </c>
      <c r="BB29" s="229">
        <v>0</v>
      </c>
      <c r="BC29" s="229">
        <v>0</v>
      </c>
      <c r="BD29" s="229">
        <v>0</v>
      </c>
      <c r="BE29" s="229">
        <v>0</v>
      </c>
      <c r="BF29" s="229">
        <v>0</v>
      </c>
      <c r="BG29" s="229">
        <v>0</v>
      </c>
      <c r="BH29" s="229">
        <v>0</v>
      </c>
      <c r="BI29" s="229">
        <v>0</v>
      </c>
      <c r="BJ29" s="229">
        <v>0</v>
      </c>
      <c r="BK29" s="229">
        <v>0</v>
      </c>
      <c r="BL29" s="229"/>
      <c r="BM29" s="229" t="s">
        <v>666</v>
      </c>
      <c r="BN29" s="229"/>
      <c r="BO29" s="229" t="s">
        <v>666</v>
      </c>
      <c r="BP29" s="302"/>
      <c r="BQ29" s="229"/>
      <c r="BR29" s="229"/>
      <c r="BS29" s="229"/>
      <c r="BT29" s="235"/>
      <c r="BU29" s="235"/>
      <c r="BV29" s="229"/>
      <c r="BW29" s="229" t="s">
        <v>728</v>
      </c>
      <c r="BX29" s="229">
        <v>1</v>
      </c>
      <c r="BY29" s="226" t="s">
        <v>1049</v>
      </c>
      <c r="BZ29" s="269" t="s">
        <v>570</v>
      </c>
      <c r="CA29" s="226" t="s">
        <v>588</v>
      </c>
    </row>
    <row r="30" spans="1:79" ht="13" customHeight="1" x14ac:dyDescent="0.15">
      <c r="A30" s="226">
        <v>16563</v>
      </c>
      <c r="B30" s="227">
        <v>43294</v>
      </c>
      <c r="C30" s="228" t="s">
        <v>662</v>
      </c>
      <c r="D30" s="226" t="s">
        <v>663</v>
      </c>
      <c r="E30" s="226"/>
      <c r="F30" s="226" t="s">
        <v>664</v>
      </c>
      <c r="G30" s="227">
        <v>43273</v>
      </c>
      <c r="H30" s="229" t="s">
        <v>665</v>
      </c>
      <c r="I30" s="229" t="s">
        <v>666</v>
      </c>
      <c r="J30" s="229"/>
      <c r="K30" s="226" t="s">
        <v>918</v>
      </c>
      <c r="L30" s="226" t="s">
        <v>986</v>
      </c>
      <c r="M30" s="230">
        <v>103.39090909090909</v>
      </c>
      <c r="N30" s="230">
        <v>39.772727272727266</v>
      </c>
      <c r="O30" s="235"/>
      <c r="P30" s="231"/>
      <c r="Q30" s="232"/>
      <c r="R30" s="231"/>
      <c r="S30" s="232"/>
      <c r="T30" s="231"/>
      <c r="U30" s="232"/>
      <c r="V30" s="232"/>
      <c r="W30" s="232"/>
      <c r="X30" s="226"/>
      <c r="Y30" s="230"/>
      <c r="Z30" s="230"/>
      <c r="AA30" s="230"/>
      <c r="AB30" s="230"/>
      <c r="AC30" s="230"/>
      <c r="AD30" s="232"/>
      <c r="AE30" s="230">
        <v>32.372727272727268</v>
      </c>
      <c r="AF30" s="231"/>
      <c r="AG30" s="226"/>
      <c r="AH30" s="230"/>
      <c r="AI30" s="226"/>
      <c r="AJ30" s="226"/>
      <c r="AK30" s="230"/>
      <c r="AL30" s="226"/>
      <c r="AM30" s="230"/>
      <c r="AN30" s="230"/>
      <c r="AO30" s="226" t="s">
        <v>764</v>
      </c>
      <c r="AP30" s="229" t="s">
        <v>666</v>
      </c>
      <c r="AQ30" s="229"/>
      <c r="AR30" s="229"/>
      <c r="AS30" s="233"/>
      <c r="AT30" s="229"/>
      <c r="AU30" s="233"/>
      <c r="AV30" s="229"/>
      <c r="AW30" s="233"/>
      <c r="AX30" s="229" t="s">
        <v>727</v>
      </c>
      <c r="AY30" s="229"/>
      <c r="AZ30" s="229">
        <v>0</v>
      </c>
      <c r="BA30" s="229">
        <v>0</v>
      </c>
      <c r="BB30" s="229">
        <v>0</v>
      </c>
      <c r="BC30" s="229">
        <v>0</v>
      </c>
      <c r="BD30" s="229">
        <v>0</v>
      </c>
      <c r="BE30" s="229">
        <v>0</v>
      </c>
      <c r="BF30" s="229">
        <v>0</v>
      </c>
      <c r="BG30" s="229">
        <v>0</v>
      </c>
      <c r="BH30" s="229">
        <v>0</v>
      </c>
      <c r="BI30" s="229">
        <v>0</v>
      </c>
      <c r="BJ30" s="229">
        <v>0</v>
      </c>
      <c r="BK30" s="229">
        <v>0</v>
      </c>
      <c r="BL30" s="229"/>
      <c r="BM30" s="229" t="s">
        <v>666</v>
      </c>
      <c r="BN30" s="229"/>
      <c r="BO30" s="229" t="s">
        <v>666</v>
      </c>
      <c r="BP30" s="302"/>
      <c r="BQ30" s="229"/>
      <c r="BR30" s="229"/>
      <c r="BS30" s="229"/>
      <c r="BT30" s="235"/>
      <c r="BU30" s="235"/>
      <c r="BV30" s="229"/>
      <c r="BW30" s="229" t="s">
        <v>728</v>
      </c>
      <c r="BX30" s="229">
        <v>0.5</v>
      </c>
      <c r="BY30" s="226" t="s">
        <v>1051</v>
      </c>
      <c r="BZ30" s="280" t="s">
        <v>1057</v>
      </c>
      <c r="CA30" s="226" t="s">
        <v>729</v>
      </c>
    </row>
    <row r="31" spans="1:79" ht="13" customHeight="1" x14ac:dyDescent="0.15">
      <c r="A31" s="226">
        <v>15771</v>
      </c>
      <c r="B31" s="227">
        <v>43292</v>
      </c>
      <c r="C31" s="228" t="s">
        <v>662</v>
      </c>
      <c r="D31" s="226" t="s">
        <v>663</v>
      </c>
      <c r="E31" s="226"/>
      <c r="F31" s="226" t="s">
        <v>664</v>
      </c>
      <c r="G31" s="227">
        <v>43281</v>
      </c>
      <c r="H31" s="299" t="s">
        <v>665</v>
      </c>
      <c r="I31" s="299" t="s">
        <v>666</v>
      </c>
      <c r="J31" s="299"/>
      <c r="K31" s="304" t="s">
        <v>1053</v>
      </c>
      <c r="L31" s="226" t="s">
        <v>1054</v>
      </c>
      <c r="M31" s="230">
        <v>99.999999999999986</v>
      </c>
      <c r="N31" s="230">
        <v>32.690909090909088</v>
      </c>
      <c r="O31" s="235"/>
      <c r="P31" s="231"/>
      <c r="Q31" s="232"/>
      <c r="R31" s="231"/>
      <c r="S31" s="232"/>
      <c r="T31" s="231"/>
      <c r="U31" s="232"/>
      <c r="V31" s="232"/>
      <c r="W31" s="232"/>
      <c r="X31" s="226"/>
      <c r="Y31" s="230"/>
      <c r="Z31" s="230"/>
      <c r="AA31" s="230"/>
      <c r="AB31" s="230"/>
      <c r="AC31" s="230"/>
      <c r="AD31" s="230"/>
      <c r="AE31" s="230">
        <v>18.318181818181817</v>
      </c>
      <c r="AF31" s="305"/>
      <c r="AG31" s="226"/>
      <c r="AH31" s="230"/>
      <c r="AI31" s="226"/>
      <c r="AJ31" s="226"/>
      <c r="AK31" s="230"/>
      <c r="AL31" s="226"/>
      <c r="AM31" s="230"/>
      <c r="AN31" s="230"/>
      <c r="AO31" s="226" t="s">
        <v>764</v>
      </c>
      <c r="AP31" s="299" t="s">
        <v>666</v>
      </c>
      <c r="AQ31" s="299"/>
      <c r="AR31" s="299"/>
      <c r="AS31" s="233"/>
      <c r="AT31" s="229">
        <v>7</v>
      </c>
      <c r="AU31" s="298"/>
      <c r="AV31" s="299"/>
      <c r="AW31" s="298"/>
      <c r="AX31" s="299" t="s">
        <v>666</v>
      </c>
      <c r="AY31" s="229"/>
      <c r="AZ31" s="297">
        <v>0</v>
      </c>
      <c r="BA31" s="299">
        <v>0</v>
      </c>
      <c r="BB31" s="299">
        <v>0</v>
      </c>
      <c r="BC31" s="299">
        <v>0</v>
      </c>
      <c r="BD31" s="299">
        <v>0</v>
      </c>
      <c r="BE31" s="299">
        <v>0</v>
      </c>
      <c r="BF31" s="299">
        <v>0</v>
      </c>
      <c r="BG31" s="299">
        <v>0</v>
      </c>
      <c r="BH31" s="299">
        <v>0</v>
      </c>
      <c r="BI31" s="299">
        <v>0</v>
      </c>
      <c r="BJ31" s="299">
        <v>0</v>
      </c>
      <c r="BK31" s="299">
        <v>0</v>
      </c>
      <c r="BL31" s="299"/>
      <c r="BM31" s="299" t="s">
        <v>666</v>
      </c>
      <c r="BN31" s="229"/>
      <c r="BO31" s="299" t="s">
        <v>666</v>
      </c>
      <c r="BP31" s="234">
        <v>47.236363636363635</v>
      </c>
      <c r="BQ31" s="299"/>
      <c r="BR31" s="299"/>
      <c r="BS31" s="299"/>
      <c r="BT31" s="268"/>
      <c r="BU31" s="268"/>
      <c r="BV31" s="297"/>
      <c r="BW31" s="299" t="s">
        <v>728</v>
      </c>
      <c r="BX31" s="299">
        <v>1</v>
      </c>
      <c r="BY31" s="235"/>
      <c r="BZ31" s="281" t="s">
        <v>570</v>
      </c>
      <c r="CA31" s="226" t="s">
        <v>426</v>
      </c>
    </row>
    <row r="32" spans="1:79" x14ac:dyDescent="0.15">
      <c r="L32" s="224"/>
    </row>
    <row r="36" spans="12:12" x14ac:dyDescent="0.15">
      <c r="L36" s="224"/>
    </row>
  </sheetData>
  <sheetProtection algorithmName="SHA-512" hashValue="Kx3YIFjG7Ts5XGpJk3vpMYqlVTkg7CvpWqqVIdbSF6C+ArIKXKtbWv+CFR5lW1ln3OdB8igj4qjjzseOfxgbWQ==" saltValue="H/GPty7p/btPSFXkFdiAPw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64495-293F-AE42-B9AA-67EB892BC16C}">
  <sheetPr codeName="Sheet23"/>
  <dimension ref="A1:DQ57"/>
  <sheetViews>
    <sheetView topLeftCell="G1" workbookViewId="0">
      <selection activeCell="A37" sqref="A37:XFD41"/>
    </sheetView>
  </sheetViews>
  <sheetFormatPr baseColWidth="10" defaultRowHeight="13" x14ac:dyDescent="0.15"/>
  <cols>
    <col min="11" max="11" width="17" bestFit="1" customWidth="1"/>
    <col min="12" max="12" width="19" bestFit="1" customWidth="1"/>
    <col min="78" max="78" width="17.33203125" customWidth="1"/>
  </cols>
  <sheetData>
    <row r="1" spans="1:121" ht="84" x14ac:dyDescent="0.15">
      <c r="A1" s="74" t="s">
        <v>265</v>
      </c>
      <c r="B1" s="74" t="s">
        <v>780</v>
      </c>
      <c r="C1" s="75" t="s">
        <v>781</v>
      </c>
      <c r="D1" s="76" t="s">
        <v>782</v>
      </c>
      <c r="E1" s="76" t="s">
        <v>783</v>
      </c>
      <c r="F1" s="76" t="s">
        <v>784</v>
      </c>
      <c r="G1" s="76" t="s">
        <v>785</v>
      </c>
      <c r="H1" s="77" t="s">
        <v>786</v>
      </c>
      <c r="I1" s="77" t="s">
        <v>787</v>
      </c>
      <c r="J1" s="77" t="s">
        <v>788</v>
      </c>
      <c r="K1" s="76" t="s">
        <v>278</v>
      </c>
      <c r="L1" s="78" t="s">
        <v>789</v>
      </c>
      <c r="M1" s="79" t="s">
        <v>280</v>
      </c>
      <c r="N1" s="80" t="s">
        <v>790</v>
      </c>
      <c r="O1" s="80" t="s">
        <v>282</v>
      </c>
      <c r="P1" s="80" t="s">
        <v>791</v>
      </c>
      <c r="Q1" s="80" t="s">
        <v>792</v>
      </c>
      <c r="R1" s="80" t="s">
        <v>793</v>
      </c>
      <c r="S1" s="80" t="s">
        <v>794</v>
      </c>
      <c r="T1" s="80" t="s">
        <v>795</v>
      </c>
      <c r="U1" s="80" t="s">
        <v>796</v>
      </c>
      <c r="V1" s="81" t="s">
        <v>797</v>
      </c>
      <c r="W1" s="82" t="s">
        <v>798</v>
      </c>
      <c r="X1" s="82" t="s">
        <v>799</v>
      </c>
      <c r="Y1" s="82" t="s">
        <v>800</v>
      </c>
      <c r="Z1" s="82" t="s">
        <v>801</v>
      </c>
      <c r="AA1" s="82" t="s">
        <v>802</v>
      </c>
      <c r="AB1" s="82" t="s">
        <v>803</v>
      </c>
      <c r="AC1" s="82" t="s">
        <v>804</v>
      </c>
      <c r="AD1" s="82" t="s">
        <v>805</v>
      </c>
      <c r="AE1" s="83" t="s">
        <v>806</v>
      </c>
      <c r="AF1" s="84" t="s">
        <v>807</v>
      </c>
      <c r="AG1" s="84" t="s">
        <v>808</v>
      </c>
      <c r="AH1" s="85" t="s">
        <v>809</v>
      </c>
      <c r="AI1" s="85" t="s">
        <v>810</v>
      </c>
      <c r="AJ1" s="85" t="s">
        <v>811</v>
      </c>
      <c r="AK1" s="85" t="s">
        <v>812</v>
      </c>
      <c r="AL1" s="193" t="s">
        <v>813</v>
      </c>
      <c r="AM1" s="194" t="s">
        <v>814</v>
      </c>
      <c r="AN1" s="194" t="s">
        <v>815</v>
      </c>
      <c r="AO1" s="86" t="s">
        <v>816</v>
      </c>
      <c r="AP1" s="87" t="s">
        <v>817</v>
      </c>
      <c r="AQ1" s="87" t="s">
        <v>818</v>
      </c>
      <c r="AR1" s="88" t="s">
        <v>819</v>
      </c>
      <c r="AS1" s="195" t="s">
        <v>616</v>
      </c>
      <c r="AT1" s="196" t="s">
        <v>820</v>
      </c>
      <c r="AU1" s="197" t="s">
        <v>821</v>
      </c>
      <c r="AV1" s="197" t="s">
        <v>822</v>
      </c>
      <c r="AW1" s="197" t="s">
        <v>823</v>
      </c>
      <c r="AX1" s="91" t="s">
        <v>824</v>
      </c>
      <c r="AY1" s="92" t="s">
        <v>825</v>
      </c>
      <c r="AZ1" s="93" t="s">
        <v>826</v>
      </c>
      <c r="BA1" s="94" t="s">
        <v>827</v>
      </c>
      <c r="BB1" s="93" t="s">
        <v>828</v>
      </c>
      <c r="BC1" s="94" t="s">
        <v>829</v>
      </c>
      <c r="BD1" s="93" t="s">
        <v>830</v>
      </c>
      <c r="BE1" s="94" t="s">
        <v>831</v>
      </c>
      <c r="BF1" s="93" t="s">
        <v>832</v>
      </c>
      <c r="BG1" s="95" t="s">
        <v>833</v>
      </c>
      <c r="BH1" s="158" t="s">
        <v>617</v>
      </c>
      <c r="BI1" s="159" t="s">
        <v>618</v>
      </c>
      <c r="BJ1" s="93" t="s">
        <v>834</v>
      </c>
      <c r="BK1" s="95" t="s">
        <v>835</v>
      </c>
      <c r="BL1" s="77" t="s">
        <v>836</v>
      </c>
      <c r="BM1" s="77" t="s">
        <v>837</v>
      </c>
      <c r="BN1" s="77" t="s">
        <v>838</v>
      </c>
      <c r="BO1" s="77" t="s">
        <v>839</v>
      </c>
      <c r="BP1" s="77" t="s">
        <v>619</v>
      </c>
      <c r="BQ1" s="77" t="s">
        <v>620</v>
      </c>
      <c r="BR1" s="77" t="s">
        <v>621</v>
      </c>
      <c r="BS1" s="77" t="s">
        <v>622</v>
      </c>
      <c r="BT1" s="75" t="s">
        <v>840</v>
      </c>
      <c r="BU1" s="75" t="s">
        <v>841</v>
      </c>
      <c r="BV1" s="77" t="s">
        <v>842</v>
      </c>
      <c r="BW1" s="77" t="s">
        <v>843</v>
      </c>
      <c r="BX1" s="198" t="s">
        <v>844</v>
      </c>
      <c r="BY1" s="75" t="s">
        <v>845</v>
      </c>
      <c r="BZ1" s="77" t="s">
        <v>846</v>
      </c>
      <c r="CA1" s="74" t="s">
        <v>847</v>
      </c>
    </row>
    <row r="2" spans="1:121" ht="13" customHeight="1" x14ac:dyDescent="0.2">
      <c r="A2" s="264">
        <v>15318</v>
      </c>
      <c r="B2" s="227">
        <v>42925</v>
      </c>
      <c r="C2" s="228" t="s">
        <v>868</v>
      </c>
      <c r="D2" s="226" t="s">
        <v>663</v>
      </c>
      <c r="E2" s="226"/>
      <c r="F2" s="226" t="s">
        <v>869</v>
      </c>
      <c r="G2" s="227">
        <v>42922</v>
      </c>
      <c r="H2" s="229" t="s">
        <v>672</v>
      </c>
      <c r="I2" s="229" t="s">
        <v>673</v>
      </c>
      <c r="J2" s="229"/>
      <c r="K2" s="226" t="s">
        <v>492</v>
      </c>
      <c r="L2" s="226" t="s">
        <v>959</v>
      </c>
      <c r="M2" s="230">
        <v>85.354545454545445</v>
      </c>
      <c r="N2" s="230">
        <v>29.963636363636361</v>
      </c>
      <c r="O2" s="226"/>
      <c r="P2" s="231"/>
      <c r="Q2" s="226"/>
      <c r="R2" s="231"/>
      <c r="S2" s="230"/>
      <c r="T2" s="231"/>
      <c r="U2" s="230"/>
      <c r="V2" s="230"/>
      <c r="W2" s="230"/>
      <c r="X2" s="226"/>
      <c r="Y2" s="230"/>
      <c r="Z2" s="230"/>
      <c r="AA2" s="230"/>
      <c r="AB2" s="230"/>
      <c r="AC2" s="230"/>
      <c r="AD2" s="230"/>
      <c r="AE2" s="230"/>
      <c r="AF2" s="231"/>
      <c r="AG2" s="226"/>
      <c r="AH2" s="230"/>
      <c r="AI2" s="226"/>
      <c r="AJ2" s="226"/>
      <c r="AK2" s="230"/>
      <c r="AL2" s="226"/>
      <c r="AM2" s="230"/>
      <c r="AN2" s="230"/>
      <c r="AO2" s="226" t="s">
        <v>872</v>
      </c>
      <c r="AP2" s="229" t="s">
        <v>673</v>
      </c>
      <c r="AQ2" s="229"/>
      <c r="AR2" s="229"/>
      <c r="AS2" s="233"/>
      <c r="AT2" s="229"/>
      <c r="AU2" s="229"/>
      <c r="AV2" s="229"/>
      <c r="AW2" s="229"/>
      <c r="AX2" s="229" t="s">
        <v>638</v>
      </c>
      <c r="AY2" s="226"/>
      <c r="AZ2" s="229">
        <v>0</v>
      </c>
      <c r="BA2" s="229">
        <v>0</v>
      </c>
      <c r="BB2" s="229">
        <v>0</v>
      </c>
      <c r="BC2" s="229">
        <v>0</v>
      </c>
      <c r="BD2" s="229">
        <v>0</v>
      </c>
      <c r="BE2" s="229">
        <v>0</v>
      </c>
      <c r="BF2" s="229">
        <v>0</v>
      </c>
      <c r="BG2" s="229">
        <v>0</v>
      </c>
      <c r="BH2" s="229">
        <v>0</v>
      </c>
      <c r="BI2" s="229">
        <v>0</v>
      </c>
      <c r="BJ2" s="229">
        <v>0</v>
      </c>
      <c r="BK2" s="229">
        <v>0</v>
      </c>
      <c r="BL2" s="229"/>
      <c r="BM2" s="229" t="s">
        <v>673</v>
      </c>
      <c r="BN2" s="229"/>
      <c r="BO2" s="229" t="s">
        <v>673</v>
      </c>
      <c r="BP2" s="234"/>
      <c r="BQ2" s="229"/>
      <c r="BR2" s="229"/>
      <c r="BS2" s="229"/>
      <c r="BT2" s="235"/>
      <c r="BU2" s="235"/>
      <c r="BV2" s="229"/>
      <c r="BW2" s="229" t="s">
        <v>873</v>
      </c>
      <c r="BX2" s="229"/>
      <c r="BY2" s="235"/>
      <c r="BZ2" s="265" t="s">
        <v>874</v>
      </c>
      <c r="CA2" s="235" t="s">
        <v>729</v>
      </c>
    </row>
    <row r="3" spans="1:121" ht="13" customHeight="1" x14ac:dyDescent="0.15">
      <c r="A3" s="264">
        <v>14769</v>
      </c>
      <c r="B3" s="227">
        <v>42925</v>
      </c>
      <c r="C3" s="228" t="s">
        <v>868</v>
      </c>
      <c r="D3" s="226" t="s">
        <v>663</v>
      </c>
      <c r="E3" s="226"/>
      <c r="F3" s="226" t="s">
        <v>869</v>
      </c>
      <c r="G3" s="236">
        <v>42916</v>
      </c>
      <c r="H3" s="229" t="s">
        <v>672</v>
      </c>
      <c r="I3" s="229" t="s">
        <v>673</v>
      </c>
      <c r="J3" s="229"/>
      <c r="K3" s="226" t="s">
        <v>131</v>
      </c>
      <c r="L3" s="226" t="s">
        <v>960</v>
      </c>
      <c r="M3" s="230">
        <v>83</v>
      </c>
      <c r="N3" s="230">
        <v>24.063636363636359</v>
      </c>
      <c r="O3" s="226" t="s">
        <v>875</v>
      </c>
      <c r="P3" s="231">
        <v>300</v>
      </c>
      <c r="Q3" s="230">
        <v>26.799999999999997</v>
      </c>
      <c r="R3" s="231"/>
      <c r="S3" s="230"/>
      <c r="T3" s="226"/>
      <c r="U3" s="230"/>
      <c r="V3" s="230"/>
      <c r="W3" s="230"/>
      <c r="X3" s="226"/>
      <c r="Y3" s="230"/>
      <c r="Z3" s="230"/>
      <c r="AA3" s="230"/>
      <c r="AB3" s="230"/>
      <c r="AC3" s="230"/>
      <c r="AD3" s="230"/>
      <c r="AE3" s="230"/>
      <c r="AF3" s="231"/>
      <c r="AG3" s="226"/>
      <c r="AH3" s="230"/>
      <c r="AI3" s="226"/>
      <c r="AJ3" s="226"/>
      <c r="AK3" s="230"/>
      <c r="AL3" s="226"/>
      <c r="AM3" s="230"/>
      <c r="AN3" s="230"/>
      <c r="AO3" s="226" t="s">
        <v>872</v>
      </c>
      <c r="AP3" s="229" t="s">
        <v>673</v>
      </c>
      <c r="AQ3" s="229"/>
      <c r="AR3" s="229"/>
      <c r="AS3" s="233"/>
      <c r="AT3" s="229">
        <v>9.5</v>
      </c>
      <c r="AU3" s="229"/>
      <c r="AV3" s="229"/>
      <c r="AW3" s="229"/>
      <c r="AX3" s="229" t="s">
        <v>673</v>
      </c>
      <c r="AY3" s="226"/>
      <c r="AZ3" s="229">
        <v>0</v>
      </c>
      <c r="BA3" s="229">
        <v>0</v>
      </c>
      <c r="BB3" s="229">
        <v>0</v>
      </c>
      <c r="BC3" s="229">
        <v>0</v>
      </c>
      <c r="BD3" s="229">
        <v>0</v>
      </c>
      <c r="BE3" s="229">
        <v>0</v>
      </c>
      <c r="BF3" s="229">
        <v>0</v>
      </c>
      <c r="BG3" s="229">
        <v>0</v>
      </c>
      <c r="BH3" s="229">
        <v>0</v>
      </c>
      <c r="BI3" s="229">
        <v>0</v>
      </c>
      <c r="BJ3" s="229">
        <v>0</v>
      </c>
      <c r="BK3" s="229">
        <v>0</v>
      </c>
      <c r="BL3" s="229"/>
      <c r="BM3" s="229" t="s">
        <v>673</v>
      </c>
      <c r="BN3" s="229"/>
      <c r="BO3" s="229" t="s">
        <v>673</v>
      </c>
      <c r="BP3" s="234"/>
      <c r="BQ3" s="229"/>
      <c r="BR3" s="229"/>
      <c r="BS3" s="229"/>
      <c r="BT3" s="226"/>
      <c r="BU3" s="226"/>
      <c r="BV3" s="229"/>
      <c r="BW3" s="229" t="s">
        <v>873</v>
      </c>
      <c r="BX3" s="229">
        <v>1</v>
      </c>
      <c r="BY3" s="226"/>
      <c r="BZ3" s="288" t="s">
        <v>961</v>
      </c>
      <c r="CA3" s="226" t="s">
        <v>426</v>
      </c>
    </row>
    <row r="4" spans="1:121" ht="13" customHeight="1" x14ac:dyDescent="0.2">
      <c r="A4" s="264">
        <v>11132</v>
      </c>
      <c r="B4" s="227">
        <v>42928</v>
      </c>
      <c r="C4" s="228" t="s">
        <v>868</v>
      </c>
      <c r="D4" s="226" t="s">
        <v>663</v>
      </c>
      <c r="E4" s="226"/>
      <c r="F4" s="226" t="s">
        <v>869</v>
      </c>
      <c r="G4" s="236">
        <v>42643</v>
      </c>
      <c r="H4" s="229" t="s">
        <v>672</v>
      </c>
      <c r="I4" s="229" t="s">
        <v>673</v>
      </c>
      <c r="J4" s="229"/>
      <c r="K4" s="226" t="s">
        <v>134</v>
      </c>
      <c r="L4" s="226" t="s">
        <v>945</v>
      </c>
      <c r="M4" s="230">
        <v>86.95</v>
      </c>
      <c r="N4" s="230">
        <v>33.26</v>
      </c>
      <c r="O4" s="226" t="s">
        <v>875</v>
      </c>
      <c r="P4" s="231">
        <v>300</v>
      </c>
      <c r="Q4" s="230">
        <v>35.89</v>
      </c>
      <c r="R4" s="231">
        <v>700</v>
      </c>
      <c r="S4" s="230">
        <v>38.950000000000003</v>
      </c>
      <c r="T4" s="231">
        <v>1500</v>
      </c>
      <c r="U4" s="230">
        <v>39.869999999999997</v>
      </c>
      <c r="V4" s="230"/>
      <c r="W4" s="230"/>
      <c r="X4" s="226"/>
      <c r="Y4" s="230"/>
      <c r="Z4" s="230"/>
      <c r="AA4" s="230"/>
      <c r="AB4" s="230"/>
      <c r="AC4" s="230"/>
      <c r="AD4" s="230"/>
      <c r="AE4" s="230"/>
      <c r="AF4" s="231"/>
      <c r="AG4" s="226"/>
      <c r="AH4" s="230"/>
      <c r="AI4" s="226"/>
      <c r="AJ4" s="226"/>
      <c r="AK4" s="230"/>
      <c r="AL4" s="226"/>
      <c r="AM4" s="230"/>
      <c r="AN4" s="230"/>
      <c r="AO4" s="226" t="s">
        <v>872</v>
      </c>
      <c r="AP4" s="229" t="s">
        <v>673</v>
      </c>
      <c r="AQ4" s="229"/>
      <c r="AR4" s="229"/>
      <c r="AS4" s="229">
        <v>10</v>
      </c>
      <c r="AT4" s="229">
        <v>10.199999999999999</v>
      </c>
      <c r="AU4" s="229"/>
      <c r="AV4" s="229"/>
      <c r="AW4" s="229"/>
      <c r="AX4" s="229" t="s">
        <v>638</v>
      </c>
      <c r="AY4" s="226"/>
      <c r="AZ4" s="229">
        <v>0</v>
      </c>
      <c r="BA4" s="229">
        <v>0</v>
      </c>
      <c r="BB4" s="229">
        <v>7</v>
      </c>
      <c r="BC4" s="229">
        <v>0</v>
      </c>
      <c r="BD4" s="229">
        <v>0</v>
      </c>
      <c r="BE4" s="229">
        <v>0</v>
      </c>
      <c r="BF4" s="229">
        <v>0</v>
      </c>
      <c r="BG4" s="229">
        <v>0</v>
      </c>
      <c r="BH4" s="229">
        <v>0</v>
      </c>
      <c r="BI4" s="229">
        <v>0</v>
      </c>
      <c r="BJ4" s="229">
        <v>0</v>
      </c>
      <c r="BK4" s="229">
        <v>0</v>
      </c>
      <c r="BL4" s="229"/>
      <c r="BM4" s="229" t="s">
        <v>673</v>
      </c>
      <c r="BN4" s="229"/>
      <c r="BO4" s="229" t="s">
        <v>673</v>
      </c>
      <c r="BP4" s="234"/>
      <c r="BQ4" s="229"/>
      <c r="BR4" s="229"/>
      <c r="BS4" s="229"/>
      <c r="BT4" s="226"/>
      <c r="BU4" s="226"/>
      <c r="BV4" s="229"/>
      <c r="BW4" s="229" t="s">
        <v>873</v>
      </c>
      <c r="BX4" s="229"/>
      <c r="BY4" s="226"/>
      <c r="BZ4" s="265" t="s">
        <v>962</v>
      </c>
      <c r="CA4" s="235" t="s">
        <v>588</v>
      </c>
      <c r="CB4" s="156"/>
    </row>
    <row r="5" spans="1:121" ht="13" customHeight="1" x14ac:dyDescent="0.15">
      <c r="A5" s="264">
        <v>962</v>
      </c>
      <c r="B5" s="227">
        <v>42928</v>
      </c>
      <c r="C5" s="228" t="s">
        <v>868</v>
      </c>
      <c r="D5" s="226" t="s">
        <v>663</v>
      </c>
      <c r="E5" s="226"/>
      <c r="F5" s="226" t="s">
        <v>869</v>
      </c>
      <c r="G5" s="227">
        <v>42916</v>
      </c>
      <c r="H5" s="229" t="s">
        <v>672</v>
      </c>
      <c r="I5" s="229" t="s">
        <v>673</v>
      </c>
      <c r="J5" s="229"/>
      <c r="K5" s="226" t="s">
        <v>135</v>
      </c>
      <c r="L5" s="226" t="s">
        <v>721</v>
      </c>
      <c r="M5" s="230">
        <v>94.636363636363626</v>
      </c>
      <c r="N5" s="230">
        <v>29.345454545454544</v>
      </c>
      <c r="O5" s="226"/>
      <c r="P5" s="231"/>
      <c r="Q5" s="226"/>
      <c r="R5" s="231"/>
      <c r="S5" s="230"/>
      <c r="T5" s="226"/>
      <c r="U5" s="230"/>
      <c r="V5" s="230"/>
      <c r="W5" s="230"/>
      <c r="X5" s="226"/>
      <c r="Y5" s="230"/>
      <c r="Z5" s="230"/>
      <c r="AA5" s="230"/>
      <c r="AB5" s="230"/>
      <c r="AC5" s="230"/>
      <c r="AD5" s="230"/>
      <c r="AE5" s="230"/>
      <c r="AF5" s="231"/>
      <c r="AG5" s="226"/>
      <c r="AH5" s="230"/>
      <c r="AI5" s="226"/>
      <c r="AJ5" s="226"/>
      <c r="AK5" s="230"/>
      <c r="AL5" s="226"/>
      <c r="AM5" s="230"/>
      <c r="AN5" s="230"/>
      <c r="AO5" s="226" t="s">
        <v>872</v>
      </c>
      <c r="AP5" s="229" t="s">
        <v>673</v>
      </c>
      <c r="AQ5" s="229"/>
      <c r="AR5" s="229"/>
      <c r="AS5" s="233"/>
      <c r="AT5" s="229">
        <v>11.6</v>
      </c>
      <c r="AU5" s="229"/>
      <c r="AV5" s="229"/>
      <c r="AW5" s="229"/>
      <c r="AX5" s="229" t="s">
        <v>638</v>
      </c>
      <c r="AY5" s="226"/>
      <c r="AZ5" s="229">
        <v>0</v>
      </c>
      <c r="BA5" s="229">
        <v>0</v>
      </c>
      <c r="BB5" s="229">
        <v>0</v>
      </c>
      <c r="BC5" s="229">
        <v>0</v>
      </c>
      <c r="BD5" s="229">
        <v>0</v>
      </c>
      <c r="BE5" s="229">
        <v>0</v>
      </c>
      <c r="BF5" s="229">
        <v>0</v>
      </c>
      <c r="BG5" s="229">
        <v>0</v>
      </c>
      <c r="BH5" s="229">
        <v>0</v>
      </c>
      <c r="BI5" s="229">
        <v>0</v>
      </c>
      <c r="BJ5" s="229">
        <v>0</v>
      </c>
      <c r="BK5" s="229">
        <v>0</v>
      </c>
      <c r="BL5" s="229"/>
      <c r="BM5" s="229" t="s">
        <v>673</v>
      </c>
      <c r="BN5" s="229"/>
      <c r="BO5" s="229" t="s">
        <v>673</v>
      </c>
      <c r="BP5" s="234"/>
      <c r="BQ5" s="229"/>
      <c r="BR5" s="229"/>
      <c r="BS5" s="229"/>
      <c r="BT5" s="226"/>
      <c r="BU5" s="226"/>
      <c r="BV5" s="229"/>
      <c r="BW5" s="229" t="s">
        <v>873</v>
      </c>
      <c r="BX5" s="229"/>
      <c r="BY5" s="226"/>
      <c r="BZ5" s="289" t="s">
        <v>893</v>
      </c>
      <c r="CA5" s="235" t="s">
        <v>426</v>
      </c>
    </row>
    <row r="6" spans="1:121" x14ac:dyDescent="0.15">
      <c r="A6" s="264">
        <v>10289</v>
      </c>
      <c r="B6" s="227">
        <v>42925</v>
      </c>
      <c r="C6" s="267" t="s">
        <v>868</v>
      </c>
      <c r="D6" s="226" t="s">
        <v>663</v>
      </c>
      <c r="E6" s="268"/>
      <c r="F6" s="226" t="s">
        <v>869</v>
      </c>
      <c r="G6" s="227">
        <v>42916</v>
      </c>
      <c r="H6" s="229" t="s">
        <v>672</v>
      </c>
      <c r="I6" s="229" t="s">
        <v>673</v>
      </c>
      <c r="J6" s="229"/>
      <c r="K6" s="226" t="s">
        <v>136</v>
      </c>
      <c r="L6" s="226" t="s">
        <v>688</v>
      </c>
      <c r="M6" s="230">
        <v>80.499999999999986</v>
      </c>
      <c r="N6" s="230">
        <v>31.654545454545453</v>
      </c>
      <c r="O6" s="226"/>
      <c r="P6" s="231"/>
      <c r="Q6" s="226"/>
      <c r="R6" s="231"/>
      <c r="S6" s="230"/>
      <c r="T6" s="231"/>
      <c r="U6" s="230"/>
      <c r="V6" s="230"/>
      <c r="W6" s="230"/>
      <c r="X6" s="231"/>
      <c r="Y6" s="230"/>
      <c r="Z6" s="230"/>
      <c r="AA6" s="230"/>
      <c r="AB6" s="230"/>
      <c r="AC6" s="230"/>
      <c r="AD6" s="230"/>
      <c r="AE6" s="230"/>
      <c r="AF6" s="231"/>
      <c r="AG6" s="226"/>
      <c r="AH6" s="230"/>
      <c r="AI6" s="226"/>
      <c r="AJ6" s="226"/>
      <c r="AK6" s="230"/>
      <c r="AL6" s="226"/>
      <c r="AM6" s="230"/>
      <c r="AN6" s="230"/>
      <c r="AO6" s="226" t="s">
        <v>872</v>
      </c>
      <c r="AP6" s="229" t="s">
        <v>673</v>
      </c>
      <c r="AQ6" s="229"/>
      <c r="AR6" s="229"/>
      <c r="AS6" s="233"/>
      <c r="AT6" s="229">
        <v>10.5</v>
      </c>
      <c r="AU6" s="229"/>
      <c r="AV6" s="229"/>
      <c r="AW6" s="229"/>
      <c r="AX6" s="229" t="s">
        <v>638</v>
      </c>
      <c r="AY6" s="226"/>
      <c r="AZ6" s="229">
        <v>6</v>
      </c>
      <c r="BA6" s="229">
        <v>0</v>
      </c>
      <c r="BB6" s="229">
        <v>0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673</v>
      </c>
      <c r="BN6" s="229">
        <v>12</v>
      </c>
      <c r="BO6" s="229" t="s">
        <v>673</v>
      </c>
      <c r="BP6" s="234"/>
      <c r="BQ6" s="229"/>
      <c r="BR6" s="229">
        <v>12</v>
      </c>
      <c r="BS6" s="229"/>
      <c r="BT6" s="226"/>
      <c r="BU6" s="226"/>
      <c r="BV6" s="229"/>
      <c r="BW6" s="229" t="s">
        <v>873</v>
      </c>
      <c r="BX6" s="229"/>
      <c r="BY6" s="226" t="s">
        <v>963</v>
      </c>
      <c r="BZ6" s="290" t="s">
        <v>895</v>
      </c>
      <c r="CA6" s="226" t="s">
        <v>426</v>
      </c>
    </row>
    <row r="7" spans="1:121" x14ac:dyDescent="0.15">
      <c r="A7" s="264">
        <v>11895</v>
      </c>
      <c r="B7" s="227">
        <v>42926</v>
      </c>
      <c r="C7" s="267" t="s">
        <v>868</v>
      </c>
      <c r="D7" s="226" t="s">
        <v>663</v>
      </c>
      <c r="E7" s="268"/>
      <c r="F7" s="226" t="s">
        <v>869</v>
      </c>
      <c r="G7" s="227">
        <v>42916</v>
      </c>
      <c r="H7" s="229" t="s">
        <v>672</v>
      </c>
      <c r="I7" s="229" t="s">
        <v>673</v>
      </c>
      <c r="J7" s="229"/>
      <c r="K7" s="226" t="s">
        <v>137</v>
      </c>
      <c r="L7" s="226" t="s">
        <v>901</v>
      </c>
      <c r="M7" s="230">
        <v>79.899999999999991</v>
      </c>
      <c r="N7" s="230">
        <v>30.95454545454545</v>
      </c>
      <c r="O7" s="226"/>
      <c r="P7" s="231"/>
      <c r="Q7" s="226"/>
      <c r="R7" s="231"/>
      <c r="S7" s="230"/>
      <c r="T7" s="231"/>
      <c r="U7" s="230"/>
      <c r="V7" s="230"/>
      <c r="W7" s="230"/>
      <c r="X7" s="226"/>
      <c r="Y7" s="230"/>
      <c r="Z7" s="230"/>
      <c r="AA7" s="230"/>
      <c r="AB7" s="230"/>
      <c r="AC7" s="230"/>
      <c r="AD7" s="230"/>
      <c r="AE7" s="230"/>
      <c r="AF7" s="231"/>
      <c r="AG7" s="226"/>
      <c r="AH7" s="230"/>
      <c r="AI7" s="226"/>
      <c r="AJ7" s="226"/>
      <c r="AK7" s="230"/>
      <c r="AL7" s="226"/>
      <c r="AM7" s="230"/>
      <c r="AN7" s="230"/>
      <c r="AO7" s="226" t="s">
        <v>872</v>
      </c>
      <c r="AP7" s="229" t="s">
        <v>673</v>
      </c>
      <c r="AQ7" s="229"/>
      <c r="AR7" s="229"/>
      <c r="AS7" s="233"/>
      <c r="AT7" s="229">
        <v>3</v>
      </c>
      <c r="AU7" s="229"/>
      <c r="AV7" s="229"/>
      <c r="AW7" s="229"/>
      <c r="AX7" s="229" t="s">
        <v>638</v>
      </c>
      <c r="AY7" s="226"/>
      <c r="AZ7" s="229">
        <v>0</v>
      </c>
      <c r="BA7" s="229">
        <v>0</v>
      </c>
      <c r="BB7" s="229">
        <v>0</v>
      </c>
      <c r="BC7" s="229">
        <v>0</v>
      </c>
      <c r="BD7" s="229">
        <v>0</v>
      </c>
      <c r="BE7" s="229">
        <v>0</v>
      </c>
      <c r="BF7" s="229">
        <v>0</v>
      </c>
      <c r="BG7" s="229">
        <v>0</v>
      </c>
      <c r="BH7" s="229">
        <v>0</v>
      </c>
      <c r="BI7" s="229">
        <v>0</v>
      </c>
      <c r="BJ7" s="229">
        <v>0</v>
      </c>
      <c r="BK7" s="229">
        <v>0</v>
      </c>
      <c r="BL7" s="229"/>
      <c r="BM7" s="229" t="s">
        <v>673</v>
      </c>
      <c r="BN7" s="229"/>
      <c r="BO7" s="229" t="s">
        <v>673</v>
      </c>
      <c r="BP7" s="234"/>
      <c r="BQ7" s="229"/>
      <c r="BR7" s="229"/>
      <c r="BS7" s="229"/>
      <c r="BT7" s="226" t="s">
        <v>964</v>
      </c>
      <c r="BU7" s="226"/>
      <c r="BV7" s="229"/>
      <c r="BW7" s="229" t="s">
        <v>873</v>
      </c>
      <c r="BX7" s="229"/>
      <c r="BY7" s="235"/>
      <c r="BZ7" s="288" t="s">
        <v>965</v>
      </c>
      <c r="CA7" s="235" t="s">
        <v>426</v>
      </c>
    </row>
    <row r="8" spans="1:121" ht="14" customHeight="1" x14ac:dyDescent="0.15">
      <c r="A8" s="264">
        <v>990</v>
      </c>
      <c r="B8" s="227">
        <v>42926</v>
      </c>
      <c r="C8" s="228" t="s">
        <v>868</v>
      </c>
      <c r="D8" s="226" t="s">
        <v>663</v>
      </c>
      <c r="E8" s="226"/>
      <c r="F8" s="226" t="s">
        <v>869</v>
      </c>
      <c r="G8" s="227">
        <v>42916</v>
      </c>
      <c r="H8" s="229" t="s">
        <v>672</v>
      </c>
      <c r="I8" s="229" t="s">
        <v>673</v>
      </c>
      <c r="J8" s="229"/>
      <c r="K8" s="226" t="s">
        <v>138</v>
      </c>
      <c r="L8" s="226" t="s">
        <v>904</v>
      </c>
      <c r="M8" s="230">
        <v>94.309090909090898</v>
      </c>
      <c r="N8" s="230">
        <v>29.999999999999996</v>
      </c>
      <c r="O8" s="226"/>
      <c r="P8" s="231"/>
      <c r="Q8" s="226"/>
      <c r="R8" s="231"/>
      <c r="S8" s="230"/>
      <c r="T8" s="231"/>
      <c r="U8" s="230"/>
      <c r="V8" s="230"/>
      <c r="W8" s="230"/>
      <c r="X8" s="226"/>
      <c r="Y8" s="230"/>
      <c r="Z8" s="230"/>
      <c r="AA8" s="230"/>
      <c r="AB8" s="230"/>
      <c r="AC8" s="230"/>
      <c r="AD8" s="230"/>
      <c r="AE8" s="230"/>
      <c r="AF8" s="231"/>
      <c r="AG8" s="226"/>
      <c r="AH8" s="230"/>
      <c r="AI8" s="226"/>
      <c r="AJ8" s="226"/>
      <c r="AK8" s="230"/>
      <c r="AL8" s="226"/>
      <c r="AM8" s="230"/>
      <c r="AN8" s="230"/>
      <c r="AO8" s="226" t="s">
        <v>872</v>
      </c>
      <c r="AP8" s="229" t="s">
        <v>673</v>
      </c>
      <c r="AQ8" s="229"/>
      <c r="AR8" s="229"/>
      <c r="AS8" s="233"/>
      <c r="AT8" s="229">
        <v>6.8</v>
      </c>
      <c r="AU8" s="229"/>
      <c r="AV8" s="229"/>
      <c r="AW8" s="229"/>
      <c r="AX8" s="229" t="s">
        <v>673</v>
      </c>
      <c r="AY8" s="226"/>
      <c r="AZ8" s="229">
        <v>0</v>
      </c>
      <c r="BA8" s="229">
        <v>0</v>
      </c>
      <c r="BB8" s="229">
        <v>0</v>
      </c>
      <c r="BC8" s="229">
        <v>0</v>
      </c>
      <c r="BD8" s="229">
        <v>0</v>
      </c>
      <c r="BE8" s="229">
        <v>0</v>
      </c>
      <c r="BF8" s="229">
        <v>0</v>
      </c>
      <c r="BG8" s="229">
        <v>0</v>
      </c>
      <c r="BH8" s="229">
        <v>0</v>
      </c>
      <c r="BI8" s="229">
        <v>0</v>
      </c>
      <c r="BJ8" s="229">
        <v>0</v>
      </c>
      <c r="BK8" s="229">
        <v>0</v>
      </c>
      <c r="BL8" s="229"/>
      <c r="BM8" s="229" t="s">
        <v>673</v>
      </c>
      <c r="BN8" s="229"/>
      <c r="BO8" s="229" t="s">
        <v>673</v>
      </c>
      <c r="BP8" s="234"/>
      <c r="BQ8" s="229"/>
      <c r="BR8" s="229"/>
      <c r="BS8" s="229"/>
      <c r="BT8" s="226"/>
      <c r="BU8" s="226"/>
      <c r="BV8" s="229"/>
      <c r="BW8" s="229" t="s">
        <v>873</v>
      </c>
      <c r="BX8" s="229"/>
      <c r="BY8" s="226"/>
      <c r="BZ8" s="237" t="s">
        <v>966</v>
      </c>
      <c r="CA8" s="235" t="s">
        <v>426</v>
      </c>
    </row>
    <row r="9" spans="1:121" ht="14" customHeight="1" x14ac:dyDescent="0.15">
      <c r="A9" s="264">
        <v>766</v>
      </c>
      <c r="B9" s="227">
        <v>42929</v>
      </c>
      <c r="C9" s="228" t="s">
        <v>868</v>
      </c>
      <c r="D9" s="226" t="s">
        <v>663</v>
      </c>
      <c r="E9" s="226"/>
      <c r="F9" s="226" t="s">
        <v>869</v>
      </c>
      <c r="G9" s="227">
        <v>42916</v>
      </c>
      <c r="H9" s="229" t="s">
        <v>672</v>
      </c>
      <c r="I9" s="229" t="s">
        <v>673</v>
      </c>
      <c r="J9" s="229"/>
      <c r="K9" s="226" t="s">
        <v>139</v>
      </c>
      <c r="L9" s="226" t="s">
        <v>967</v>
      </c>
      <c r="M9" s="230">
        <v>71.927272727272722</v>
      </c>
      <c r="N9" s="230">
        <v>27.754545454545454</v>
      </c>
      <c r="O9" s="226" t="s">
        <v>875</v>
      </c>
      <c r="P9" s="231">
        <v>1000</v>
      </c>
      <c r="Q9" s="230">
        <v>29.799999999999997</v>
      </c>
      <c r="R9" s="231"/>
      <c r="S9" s="230"/>
      <c r="T9" s="231"/>
      <c r="U9" s="230"/>
      <c r="V9" s="230"/>
      <c r="W9" s="230"/>
      <c r="X9" s="226"/>
      <c r="Y9" s="230"/>
      <c r="Z9" s="230"/>
      <c r="AA9" s="230"/>
      <c r="AB9" s="230"/>
      <c r="AC9" s="230"/>
      <c r="AD9" s="230"/>
      <c r="AE9" s="230"/>
      <c r="AF9" s="231"/>
      <c r="AG9" s="226"/>
      <c r="AH9" s="230"/>
      <c r="AI9" s="226"/>
      <c r="AJ9" s="226"/>
      <c r="AK9" s="230"/>
      <c r="AL9" s="226"/>
      <c r="AM9" s="230"/>
      <c r="AN9" s="230"/>
      <c r="AO9" s="226" t="s">
        <v>872</v>
      </c>
      <c r="AP9" s="229" t="s">
        <v>673</v>
      </c>
      <c r="AQ9" s="229"/>
      <c r="AR9" s="229"/>
      <c r="AS9" s="233"/>
      <c r="AT9" s="229">
        <v>6</v>
      </c>
      <c r="AU9" s="229"/>
      <c r="AV9" s="229"/>
      <c r="AW9" s="229"/>
      <c r="AX9" s="229" t="s">
        <v>638</v>
      </c>
      <c r="AY9" s="226"/>
      <c r="AZ9" s="229">
        <v>0</v>
      </c>
      <c r="BA9" s="229">
        <v>0</v>
      </c>
      <c r="BB9" s="229">
        <v>0</v>
      </c>
      <c r="BC9" s="229">
        <v>0</v>
      </c>
      <c r="BD9" s="229">
        <v>0</v>
      </c>
      <c r="BE9" s="229">
        <v>0</v>
      </c>
      <c r="BF9" s="229">
        <v>0</v>
      </c>
      <c r="BG9" s="229">
        <v>0</v>
      </c>
      <c r="BH9" s="229">
        <v>0</v>
      </c>
      <c r="BI9" s="229">
        <v>0</v>
      </c>
      <c r="BJ9" s="229">
        <v>0</v>
      </c>
      <c r="BK9" s="229">
        <v>0</v>
      </c>
      <c r="BL9" s="229"/>
      <c r="BM9" s="229" t="s">
        <v>673</v>
      </c>
      <c r="BN9" s="229">
        <v>12</v>
      </c>
      <c r="BO9" s="229" t="s">
        <v>673</v>
      </c>
      <c r="BP9" s="234"/>
      <c r="BQ9" s="229"/>
      <c r="BR9" s="229"/>
      <c r="BS9" s="229"/>
      <c r="BT9" s="235"/>
      <c r="BU9" s="235"/>
      <c r="BV9" s="229"/>
      <c r="BW9" s="229" t="s">
        <v>873</v>
      </c>
      <c r="BX9" s="229"/>
      <c r="BY9" s="226"/>
      <c r="BZ9" s="237" t="s">
        <v>968</v>
      </c>
      <c r="CA9" s="226" t="s">
        <v>426</v>
      </c>
    </row>
    <row r="10" spans="1:121" s="278" customFormat="1" ht="14" customHeight="1" x14ac:dyDescent="0.15">
      <c r="A10" s="264">
        <v>13107</v>
      </c>
      <c r="B10" s="227">
        <v>42926</v>
      </c>
      <c r="C10" s="271" t="s">
        <v>868</v>
      </c>
      <c r="D10" s="272" t="s">
        <v>663</v>
      </c>
      <c r="E10" s="272"/>
      <c r="F10" s="272" t="s">
        <v>869</v>
      </c>
      <c r="G10" s="236">
        <v>42922</v>
      </c>
      <c r="H10" s="273" t="s">
        <v>672</v>
      </c>
      <c r="I10" s="273" t="s">
        <v>673</v>
      </c>
      <c r="J10" s="273"/>
      <c r="K10" s="272" t="s">
        <v>140</v>
      </c>
      <c r="L10" s="226" t="s">
        <v>914</v>
      </c>
      <c r="M10" s="274">
        <v>66.48181818181817</v>
      </c>
      <c r="N10" s="274">
        <v>29.563636363636363</v>
      </c>
      <c r="O10" s="272"/>
      <c r="P10" s="275"/>
      <c r="Q10" s="272"/>
      <c r="R10" s="275"/>
      <c r="S10" s="274"/>
      <c r="T10" s="275"/>
      <c r="U10" s="274"/>
      <c r="V10" s="274"/>
      <c r="W10" s="274"/>
      <c r="X10" s="272"/>
      <c r="Y10" s="274"/>
      <c r="Z10" s="274"/>
      <c r="AA10" s="274"/>
      <c r="AB10" s="274"/>
      <c r="AC10" s="274"/>
      <c r="AD10" s="274"/>
      <c r="AE10" s="274"/>
      <c r="AF10" s="275"/>
      <c r="AG10" s="272"/>
      <c r="AH10" s="274"/>
      <c r="AI10" s="272"/>
      <c r="AJ10" s="272"/>
      <c r="AK10" s="274"/>
      <c r="AL10" s="272"/>
      <c r="AM10" s="274"/>
      <c r="AN10" s="274"/>
      <c r="AO10" s="272" t="s">
        <v>872</v>
      </c>
      <c r="AP10" s="273" t="s">
        <v>673</v>
      </c>
      <c r="AQ10" s="273"/>
      <c r="AR10" s="273"/>
      <c r="AS10" s="276"/>
      <c r="AT10" s="273"/>
      <c r="AU10" s="273"/>
      <c r="AV10" s="273"/>
      <c r="AW10" s="273"/>
      <c r="AX10" s="273" t="s">
        <v>638</v>
      </c>
      <c r="AY10" s="272"/>
      <c r="AZ10" s="273">
        <v>0</v>
      </c>
      <c r="BA10" s="273">
        <v>0</v>
      </c>
      <c r="BB10" s="273">
        <v>0</v>
      </c>
      <c r="BC10" s="273">
        <v>0</v>
      </c>
      <c r="BD10" s="273">
        <v>0</v>
      </c>
      <c r="BE10" s="273">
        <v>0</v>
      </c>
      <c r="BF10" s="273">
        <v>0</v>
      </c>
      <c r="BG10" s="273">
        <v>0</v>
      </c>
      <c r="BH10" s="273">
        <v>0</v>
      </c>
      <c r="BI10" s="273">
        <v>0</v>
      </c>
      <c r="BJ10" s="273">
        <v>0</v>
      </c>
      <c r="BK10" s="273">
        <v>0</v>
      </c>
      <c r="BL10" s="273"/>
      <c r="BM10" s="273" t="s">
        <v>673</v>
      </c>
      <c r="BN10" s="229">
        <v>12</v>
      </c>
      <c r="BO10" s="273" t="s">
        <v>673</v>
      </c>
      <c r="BP10" s="277"/>
      <c r="BQ10" s="273"/>
      <c r="BR10" s="229">
        <v>12</v>
      </c>
      <c r="BS10" s="273"/>
      <c r="BT10" s="272"/>
      <c r="BU10" s="272"/>
      <c r="BV10" s="273"/>
      <c r="BW10" s="273" t="s">
        <v>873</v>
      </c>
      <c r="BX10" s="273"/>
      <c r="BY10" s="272"/>
      <c r="BZ10" s="288" t="s">
        <v>915</v>
      </c>
      <c r="CA10" s="235" t="s">
        <v>426</v>
      </c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</row>
    <row r="11" spans="1:121" s="278" customFormat="1" ht="14" customHeight="1" x14ac:dyDescent="0.15">
      <c r="A11" s="264">
        <v>11320</v>
      </c>
      <c r="B11" s="227">
        <v>42928</v>
      </c>
      <c r="C11" s="228" t="s">
        <v>868</v>
      </c>
      <c r="D11" s="226" t="s">
        <v>663</v>
      </c>
      <c r="E11" s="226"/>
      <c r="F11" s="226" t="s">
        <v>869</v>
      </c>
      <c r="G11" s="227">
        <v>42916</v>
      </c>
      <c r="H11" s="229" t="s">
        <v>672</v>
      </c>
      <c r="I11" s="229" t="s">
        <v>673</v>
      </c>
      <c r="J11" s="229"/>
      <c r="K11" s="226" t="s">
        <v>141</v>
      </c>
      <c r="L11" s="226" t="s">
        <v>919</v>
      </c>
      <c r="M11" s="230">
        <v>82</v>
      </c>
      <c r="N11" s="230">
        <v>31.099999999999998</v>
      </c>
      <c r="O11" s="226"/>
      <c r="P11" s="231"/>
      <c r="Q11" s="226"/>
      <c r="R11" s="231"/>
      <c r="S11" s="230"/>
      <c r="T11" s="226"/>
      <c r="U11" s="230"/>
      <c r="V11" s="230"/>
      <c r="W11" s="230"/>
      <c r="X11" s="231"/>
      <c r="Y11" s="230"/>
      <c r="Z11" s="230"/>
      <c r="AA11" s="230"/>
      <c r="AB11" s="230"/>
      <c r="AC11" s="230"/>
      <c r="AD11" s="230"/>
      <c r="AE11" s="230"/>
      <c r="AF11" s="231"/>
      <c r="AG11" s="226"/>
      <c r="AH11" s="230"/>
      <c r="AI11" s="226"/>
      <c r="AJ11" s="226"/>
      <c r="AK11" s="230"/>
      <c r="AL11" s="226"/>
      <c r="AM11" s="230"/>
      <c r="AN11" s="230"/>
      <c r="AO11" s="226" t="s">
        <v>872</v>
      </c>
      <c r="AP11" s="229" t="s">
        <v>673</v>
      </c>
      <c r="AQ11" s="229"/>
      <c r="AR11" s="229"/>
      <c r="AS11" s="233"/>
      <c r="AT11" s="229">
        <v>3</v>
      </c>
      <c r="AU11" s="229"/>
      <c r="AV11" s="229"/>
      <c r="AW11" s="229"/>
      <c r="AX11" s="229" t="s">
        <v>638</v>
      </c>
      <c r="AY11" s="226"/>
      <c r="AZ11" s="229">
        <v>0</v>
      </c>
      <c r="BA11" s="229">
        <v>0</v>
      </c>
      <c r="BB11" s="229">
        <v>0</v>
      </c>
      <c r="BC11" s="229">
        <v>0</v>
      </c>
      <c r="BD11" s="229">
        <v>0</v>
      </c>
      <c r="BE11" s="229">
        <v>0</v>
      </c>
      <c r="BF11" s="229">
        <v>0</v>
      </c>
      <c r="BG11" s="229">
        <v>0</v>
      </c>
      <c r="BH11" s="229">
        <v>0</v>
      </c>
      <c r="BI11" s="229">
        <v>0</v>
      </c>
      <c r="BJ11" s="229">
        <v>0</v>
      </c>
      <c r="BK11" s="229">
        <v>0</v>
      </c>
      <c r="BL11" s="229"/>
      <c r="BM11" s="229" t="s">
        <v>673</v>
      </c>
      <c r="BN11" s="229"/>
      <c r="BO11" s="229" t="s">
        <v>673</v>
      </c>
      <c r="BP11" s="234"/>
      <c r="BQ11" s="229"/>
      <c r="BR11" s="229"/>
      <c r="BS11" s="229"/>
      <c r="BT11" s="235"/>
      <c r="BU11" s="235"/>
      <c r="BV11" s="229"/>
      <c r="BW11" s="229" t="s">
        <v>873</v>
      </c>
      <c r="BX11" s="229"/>
      <c r="BY11" s="235"/>
      <c r="BZ11" s="288" t="s">
        <v>920</v>
      </c>
      <c r="CA11" s="226" t="s">
        <v>426</v>
      </c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</row>
    <row r="12" spans="1:121" ht="14" customHeight="1" x14ac:dyDescent="0.15">
      <c r="A12" s="264">
        <v>13692</v>
      </c>
      <c r="B12" s="227">
        <v>42929</v>
      </c>
      <c r="C12" s="228" t="s">
        <v>868</v>
      </c>
      <c r="D12" s="226" t="s">
        <v>663</v>
      </c>
      <c r="E12" s="226"/>
      <c r="F12" s="226" t="s">
        <v>869</v>
      </c>
      <c r="G12" s="227">
        <v>42658</v>
      </c>
      <c r="H12" s="229" t="s">
        <v>672</v>
      </c>
      <c r="I12" s="229" t="s">
        <v>673</v>
      </c>
      <c r="J12" s="229"/>
      <c r="K12" s="226" t="s">
        <v>708</v>
      </c>
      <c r="L12" s="226" t="s">
        <v>969</v>
      </c>
      <c r="M12" s="230">
        <v>56.36363636363636</v>
      </c>
      <c r="N12" s="230">
        <v>24.554545454545455</v>
      </c>
      <c r="O12" s="226"/>
      <c r="P12" s="231"/>
      <c r="Q12" s="226"/>
      <c r="R12" s="231"/>
      <c r="S12" s="230"/>
      <c r="T12" s="226"/>
      <c r="U12" s="230"/>
      <c r="V12" s="230"/>
      <c r="W12" s="230"/>
      <c r="X12" s="226"/>
      <c r="Y12" s="230"/>
      <c r="Z12" s="230"/>
      <c r="AA12" s="230"/>
      <c r="AB12" s="230"/>
      <c r="AC12" s="230"/>
      <c r="AD12" s="230"/>
      <c r="AE12" s="230"/>
      <c r="AF12" s="231"/>
      <c r="AG12" s="226"/>
      <c r="AH12" s="230"/>
      <c r="AI12" s="226"/>
      <c r="AJ12" s="226"/>
      <c r="AK12" s="230"/>
      <c r="AL12" s="226"/>
      <c r="AM12" s="230"/>
      <c r="AN12" s="230"/>
      <c r="AO12" s="226" t="s">
        <v>872</v>
      </c>
      <c r="AP12" s="229" t="s">
        <v>673</v>
      </c>
      <c r="AQ12" s="229"/>
      <c r="AR12" s="229"/>
      <c r="AS12" s="233"/>
      <c r="AT12" s="229">
        <v>8.5</v>
      </c>
      <c r="AU12" s="229"/>
      <c r="AV12" s="229"/>
      <c r="AW12" s="229"/>
      <c r="AX12" s="229" t="s">
        <v>638</v>
      </c>
      <c r="AY12" s="226"/>
      <c r="AZ12" s="229">
        <v>0</v>
      </c>
      <c r="BA12" s="229">
        <v>0</v>
      </c>
      <c r="BB12" s="229">
        <v>0</v>
      </c>
      <c r="BC12" s="229">
        <v>0</v>
      </c>
      <c r="BD12" s="229">
        <v>0</v>
      </c>
      <c r="BE12" s="229">
        <v>0</v>
      </c>
      <c r="BF12" s="229">
        <v>0</v>
      </c>
      <c r="BG12" s="229">
        <v>0</v>
      </c>
      <c r="BH12" s="229">
        <v>0</v>
      </c>
      <c r="BI12" s="229">
        <v>0</v>
      </c>
      <c r="BJ12" s="229">
        <v>0</v>
      </c>
      <c r="BK12" s="229">
        <v>0</v>
      </c>
      <c r="BL12" s="229"/>
      <c r="BM12" s="229" t="s">
        <v>673</v>
      </c>
      <c r="BN12" s="229"/>
      <c r="BO12" s="229" t="s">
        <v>673</v>
      </c>
      <c r="BP12" s="234">
        <v>130.83636363636361</v>
      </c>
      <c r="BQ12" s="229"/>
      <c r="BR12" s="229"/>
      <c r="BS12" s="279">
        <v>42915</v>
      </c>
      <c r="BT12" s="226"/>
      <c r="BU12" s="235"/>
      <c r="BV12" s="229"/>
      <c r="BW12" s="229" t="s">
        <v>873</v>
      </c>
      <c r="BX12" s="229"/>
      <c r="BY12" s="235"/>
      <c r="BZ12" s="288" t="s">
        <v>970</v>
      </c>
      <c r="CA12" s="235" t="s">
        <v>588</v>
      </c>
    </row>
    <row r="13" spans="1:121" ht="14" customHeight="1" x14ac:dyDescent="0.15">
      <c r="A13" s="264">
        <v>13694</v>
      </c>
      <c r="B13" s="227">
        <v>42930</v>
      </c>
      <c r="C13" s="228" t="s">
        <v>868</v>
      </c>
      <c r="D13" s="226" t="s">
        <v>663</v>
      </c>
      <c r="E13" s="226"/>
      <c r="F13" s="226" t="s">
        <v>869</v>
      </c>
      <c r="G13" s="227">
        <v>42916</v>
      </c>
      <c r="H13" s="229" t="s">
        <v>672</v>
      </c>
      <c r="I13" s="229" t="s">
        <v>673</v>
      </c>
      <c r="J13" s="229"/>
      <c r="K13" s="226" t="s">
        <v>142</v>
      </c>
      <c r="L13" s="226" t="s">
        <v>971</v>
      </c>
      <c r="M13" s="230">
        <v>97</v>
      </c>
      <c r="N13" s="230">
        <v>30.136363636363633</v>
      </c>
      <c r="O13" s="226" t="s">
        <v>875</v>
      </c>
      <c r="P13" s="231">
        <v>1000</v>
      </c>
      <c r="Q13" s="230">
        <v>33.136363636363633</v>
      </c>
      <c r="R13" s="231"/>
      <c r="S13" s="230"/>
      <c r="T13" s="231"/>
      <c r="U13" s="230"/>
      <c r="V13" s="230"/>
      <c r="W13" s="230"/>
      <c r="X13" s="226"/>
      <c r="Y13" s="230"/>
      <c r="Z13" s="230"/>
      <c r="AA13" s="230"/>
      <c r="AB13" s="230"/>
      <c r="AC13" s="230"/>
      <c r="AD13" s="230"/>
      <c r="AE13" s="230"/>
      <c r="AF13" s="226"/>
      <c r="AG13" s="226"/>
      <c r="AH13" s="230"/>
      <c r="AI13" s="226"/>
      <c r="AJ13" s="226"/>
      <c r="AK13" s="230"/>
      <c r="AL13" s="226"/>
      <c r="AM13" s="230"/>
      <c r="AN13" s="230"/>
      <c r="AO13" s="226" t="s">
        <v>872</v>
      </c>
      <c r="AP13" s="229" t="s">
        <v>673</v>
      </c>
      <c r="AQ13" s="229"/>
      <c r="AR13" s="229"/>
      <c r="AS13" s="233"/>
      <c r="AT13" s="229">
        <v>4.5</v>
      </c>
      <c r="AU13" s="229"/>
      <c r="AV13" s="229"/>
      <c r="AW13" s="229"/>
      <c r="AX13" s="229" t="s">
        <v>673</v>
      </c>
      <c r="AY13" s="226"/>
      <c r="AZ13" s="229">
        <v>10</v>
      </c>
      <c r="BA13" s="229">
        <v>0</v>
      </c>
      <c r="BB13" s="229">
        <v>0</v>
      </c>
      <c r="BC13" s="229">
        <v>0</v>
      </c>
      <c r="BD13" s="229">
        <v>0</v>
      </c>
      <c r="BE13" s="229">
        <v>0</v>
      </c>
      <c r="BF13" s="229">
        <v>0</v>
      </c>
      <c r="BG13" s="229">
        <v>0</v>
      </c>
      <c r="BH13" s="229">
        <v>0</v>
      </c>
      <c r="BI13" s="229">
        <v>0</v>
      </c>
      <c r="BJ13" s="229">
        <v>0</v>
      </c>
      <c r="BK13" s="229">
        <v>0</v>
      </c>
      <c r="BL13" s="229"/>
      <c r="BM13" s="229" t="s">
        <v>673</v>
      </c>
      <c r="BN13" s="229"/>
      <c r="BO13" s="229" t="s">
        <v>673</v>
      </c>
      <c r="BP13" s="234"/>
      <c r="BQ13" s="229"/>
      <c r="BR13" s="229"/>
      <c r="BS13" s="229"/>
      <c r="BT13" s="226"/>
      <c r="BU13" s="226"/>
      <c r="BV13" s="229"/>
      <c r="BW13" s="229" t="s">
        <v>873</v>
      </c>
      <c r="BX13" s="229"/>
      <c r="BY13" s="226"/>
      <c r="BZ13" s="237" t="s">
        <v>972</v>
      </c>
      <c r="CA13" s="226" t="s">
        <v>426</v>
      </c>
    </row>
    <row r="14" spans="1:121" ht="14" customHeight="1" x14ac:dyDescent="0.15">
      <c r="A14" s="264">
        <v>15304</v>
      </c>
      <c r="B14" s="227">
        <v>42926</v>
      </c>
      <c r="C14" s="228" t="s">
        <v>868</v>
      </c>
      <c r="D14" s="226" t="s">
        <v>663</v>
      </c>
      <c r="E14" s="226"/>
      <c r="F14" s="226" t="s">
        <v>869</v>
      </c>
      <c r="G14" s="227">
        <v>42900</v>
      </c>
      <c r="H14" s="229" t="s">
        <v>672</v>
      </c>
      <c r="I14" s="229" t="s">
        <v>673</v>
      </c>
      <c r="J14" s="229"/>
      <c r="K14" s="226" t="s">
        <v>714</v>
      </c>
      <c r="L14" s="226" t="s">
        <v>973</v>
      </c>
      <c r="M14" s="230">
        <v>94.999999999999986</v>
      </c>
      <c r="N14" s="230">
        <v>24.499999999999996</v>
      </c>
      <c r="O14" s="226"/>
      <c r="P14" s="231"/>
      <c r="Q14" s="226"/>
      <c r="R14" s="231"/>
      <c r="S14" s="230"/>
      <c r="T14" s="231"/>
      <c r="U14" s="230"/>
      <c r="V14" s="230"/>
      <c r="W14" s="230"/>
      <c r="X14" s="226"/>
      <c r="Y14" s="230"/>
      <c r="Z14" s="230"/>
      <c r="AA14" s="230"/>
      <c r="AB14" s="230"/>
      <c r="AC14" s="230"/>
      <c r="AD14" s="230"/>
      <c r="AE14" s="230"/>
      <c r="AF14" s="231"/>
      <c r="AG14" s="226"/>
      <c r="AH14" s="230"/>
      <c r="AI14" s="226"/>
      <c r="AJ14" s="226"/>
      <c r="AK14" s="230"/>
      <c r="AL14" s="226"/>
      <c r="AM14" s="230"/>
      <c r="AN14" s="230"/>
      <c r="AO14" s="226" t="s">
        <v>872</v>
      </c>
      <c r="AP14" s="229" t="s">
        <v>673</v>
      </c>
      <c r="AQ14" s="229"/>
      <c r="AR14" s="229"/>
      <c r="AS14" s="233"/>
      <c r="AT14" s="229">
        <v>3</v>
      </c>
      <c r="AU14" s="229"/>
      <c r="AV14" s="229"/>
      <c r="AW14" s="229"/>
      <c r="AX14" s="229" t="s">
        <v>638</v>
      </c>
      <c r="AY14" s="226"/>
      <c r="AZ14" s="229">
        <v>0</v>
      </c>
      <c r="BA14" s="229">
        <v>0</v>
      </c>
      <c r="BB14" s="229">
        <v>0</v>
      </c>
      <c r="BC14" s="229">
        <v>0</v>
      </c>
      <c r="BD14" s="229">
        <v>0</v>
      </c>
      <c r="BE14" s="229">
        <v>0</v>
      </c>
      <c r="BF14" s="229">
        <v>0</v>
      </c>
      <c r="BG14" s="229">
        <v>0</v>
      </c>
      <c r="BH14" s="229">
        <v>0</v>
      </c>
      <c r="BI14" s="229">
        <v>0</v>
      </c>
      <c r="BJ14" s="229">
        <v>0</v>
      </c>
      <c r="BK14" s="229">
        <v>0</v>
      </c>
      <c r="BL14" s="229"/>
      <c r="BM14" s="229" t="s">
        <v>673</v>
      </c>
      <c r="BN14" s="229"/>
      <c r="BO14" s="229" t="s">
        <v>673</v>
      </c>
      <c r="BP14" s="234"/>
      <c r="BQ14" s="229"/>
      <c r="BR14" s="229"/>
      <c r="BS14" s="229"/>
      <c r="BT14" s="235"/>
      <c r="BU14" s="235"/>
      <c r="BV14" s="229"/>
      <c r="BW14" s="229" t="s">
        <v>873</v>
      </c>
      <c r="BX14" s="229">
        <v>1</v>
      </c>
      <c r="BY14" s="226"/>
      <c r="BZ14" s="290" t="s">
        <v>974</v>
      </c>
      <c r="CA14" s="235" t="s">
        <v>729</v>
      </c>
    </row>
    <row r="15" spans="1:121" ht="13" customHeight="1" x14ac:dyDescent="0.15">
      <c r="A15" s="264">
        <v>10052</v>
      </c>
      <c r="B15" s="227">
        <v>42926</v>
      </c>
      <c r="C15" s="228" t="s">
        <v>868</v>
      </c>
      <c r="D15" s="226" t="s">
        <v>663</v>
      </c>
      <c r="E15" s="226"/>
      <c r="F15" s="226" t="s">
        <v>869</v>
      </c>
      <c r="G15" s="236">
        <v>42916</v>
      </c>
      <c r="H15" s="229" t="s">
        <v>673</v>
      </c>
      <c r="I15" s="229" t="s">
        <v>722</v>
      </c>
      <c r="J15" s="229"/>
      <c r="K15" s="226" t="s">
        <v>779</v>
      </c>
      <c r="L15" s="226" t="s">
        <v>724</v>
      </c>
      <c r="M15" s="230">
        <v>80.75454545454545</v>
      </c>
      <c r="N15" s="230">
        <v>22.718181818181815</v>
      </c>
      <c r="O15" s="226"/>
      <c r="P15" s="231"/>
      <c r="Q15" s="226"/>
      <c r="R15" s="231"/>
      <c r="S15" s="230"/>
      <c r="T15" s="231"/>
      <c r="U15" s="230"/>
      <c r="V15" s="230"/>
      <c r="W15" s="230"/>
      <c r="X15" s="226"/>
      <c r="Y15" s="230"/>
      <c r="Z15" s="230"/>
      <c r="AA15" s="230"/>
      <c r="AB15" s="230"/>
      <c r="AC15" s="230"/>
      <c r="AD15" s="230"/>
      <c r="AE15" s="230"/>
      <c r="AF15" s="226"/>
      <c r="AG15" s="226"/>
      <c r="AH15" s="230"/>
      <c r="AI15" s="226"/>
      <c r="AJ15" s="226"/>
      <c r="AK15" s="230"/>
      <c r="AL15" s="226"/>
      <c r="AM15" s="230"/>
      <c r="AN15" s="230"/>
      <c r="AO15" s="226" t="s">
        <v>872</v>
      </c>
      <c r="AP15" s="229" t="s">
        <v>673</v>
      </c>
      <c r="AQ15" s="229"/>
      <c r="AR15" s="229"/>
      <c r="AS15" s="233"/>
      <c r="AT15" s="229"/>
      <c r="AU15" s="229"/>
      <c r="AV15" s="229"/>
      <c r="AW15" s="229"/>
      <c r="AX15" s="229" t="s">
        <v>673</v>
      </c>
      <c r="AY15" s="226"/>
      <c r="AZ15" s="229">
        <v>0</v>
      </c>
      <c r="BA15" s="229">
        <v>0</v>
      </c>
      <c r="BB15" s="229">
        <v>0</v>
      </c>
      <c r="BC15" s="229">
        <v>0</v>
      </c>
      <c r="BD15" s="229">
        <v>0</v>
      </c>
      <c r="BE15" s="229">
        <v>0</v>
      </c>
      <c r="BF15" s="229">
        <v>0</v>
      </c>
      <c r="BG15" s="229">
        <v>0</v>
      </c>
      <c r="BH15" s="229">
        <v>0</v>
      </c>
      <c r="BI15" s="229">
        <v>0</v>
      </c>
      <c r="BJ15" s="229">
        <v>0</v>
      </c>
      <c r="BK15" s="229">
        <v>0</v>
      </c>
      <c r="BL15" s="229"/>
      <c r="BM15" s="229" t="s">
        <v>673</v>
      </c>
      <c r="BN15" s="229"/>
      <c r="BO15" s="229" t="s">
        <v>673</v>
      </c>
      <c r="BP15" s="234">
        <v>35.454545454545453</v>
      </c>
      <c r="BQ15" s="229"/>
      <c r="BR15" s="229"/>
      <c r="BS15" s="229"/>
      <c r="BT15" s="226"/>
      <c r="BU15" s="226"/>
      <c r="BV15" s="229"/>
      <c r="BW15" s="229" t="s">
        <v>873</v>
      </c>
      <c r="BX15" s="229">
        <v>1</v>
      </c>
      <c r="BY15" s="226" t="s">
        <v>912</v>
      </c>
      <c r="BZ15" s="288" t="s">
        <v>975</v>
      </c>
      <c r="CA15" s="235" t="s">
        <v>426</v>
      </c>
    </row>
    <row r="16" spans="1:121" ht="13" customHeight="1" x14ac:dyDescent="0.15">
      <c r="A16" s="264"/>
      <c r="B16" s="155">
        <v>42934</v>
      </c>
      <c r="C16" s="98" t="s">
        <v>868</v>
      </c>
      <c r="D16" s="182" t="s">
        <v>663</v>
      </c>
      <c r="E16" s="99"/>
      <c r="F16" s="99" t="s">
        <v>869</v>
      </c>
      <c r="G16" s="236">
        <v>42917</v>
      </c>
      <c r="H16" s="100" t="s">
        <v>673</v>
      </c>
      <c r="I16" s="100" t="s">
        <v>722</v>
      </c>
      <c r="J16" s="100"/>
      <c r="K16" s="99" t="s">
        <v>720</v>
      </c>
      <c r="L16" s="99" t="s">
        <v>976</v>
      </c>
      <c r="M16" s="183">
        <v>91.590909090909079</v>
      </c>
      <c r="N16" s="183">
        <v>26.554545454545455</v>
      </c>
      <c r="O16" s="99"/>
      <c r="P16" s="101"/>
      <c r="Q16" s="183" t="s">
        <v>871</v>
      </c>
      <c r="R16" s="99"/>
      <c r="S16" s="99"/>
      <c r="T16" s="99"/>
      <c r="U16" s="99"/>
      <c r="V16" s="99"/>
      <c r="W16" s="99"/>
      <c r="X16" s="101"/>
      <c r="Y16" s="99"/>
      <c r="Z16" s="101"/>
      <c r="AA16" s="99"/>
      <c r="AB16" s="101"/>
      <c r="AC16" s="99"/>
      <c r="AD16" s="99"/>
      <c r="AE16" s="99" t="s">
        <v>871</v>
      </c>
      <c r="AF16" s="101" t="s">
        <v>871</v>
      </c>
      <c r="AG16" s="99" t="s">
        <v>871</v>
      </c>
      <c r="AH16" s="99" t="s">
        <v>871</v>
      </c>
      <c r="AI16" s="99" t="s">
        <v>871</v>
      </c>
      <c r="AJ16" s="99" t="s">
        <v>871</v>
      </c>
      <c r="AK16" s="99" t="s">
        <v>871</v>
      </c>
      <c r="AL16" s="99" t="s">
        <v>871</v>
      </c>
      <c r="AM16" s="99" t="s">
        <v>871</v>
      </c>
      <c r="AN16" s="99" t="s">
        <v>871</v>
      </c>
      <c r="AO16" s="99" t="s">
        <v>872</v>
      </c>
      <c r="AP16" s="100" t="s">
        <v>673</v>
      </c>
      <c r="AQ16" s="100"/>
      <c r="AR16" s="100"/>
      <c r="AS16" s="102"/>
      <c r="AT16" s="100"/>
      <c r="AU16" s="100"/>
      <c r="AV16" s="100"/>
      <c r="AW16" s="100"/>
      <c r="AX16" s="100" t="s">
        <v>638</v>
      </c>
      <c r="AY16" s="99"/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>
        <v>0</v>
      </c>
      <c r="BJ16" s="100">
        <v>0</v>
      </c>
      <c r="BK16" s="100">
        <v>0</v>
      </c>
      <c r="BL16" s="100"/>
      <c r="BM16" s="100" t="s">
        <v>673</v>
      </c>
      <c r="BN16" s="100"/>
      <c r="BO16" s="100" t="s">
        <v>673</v>
      </c>
      <c r="BP16" s="222">
        <v>163.63</v>
      </c>
      <c r="BQ16" s="100"/>
      <c r="BR16" s="100"/>
      <c r="BS16" s="100"/>
      <c r="BT16" s="103"/>
      <c r="BU16" s="99"/>
      <c r="BV16" s="100"/>
      <c r="BW16" s="100" t="s">
        <v>873</v>
      </c>
      <c r="BX16" s="100">
        <v>1</v>
      </c>
      <c r="BY16" s="103" t="s">
        <v>880</v>
      </c>
      <c r="BZ16" s="185" t="s">
        <v>881</v>
      </c>
      <c r="CA16" s="235" t="s">
        <v>426</v>
      </c>
    </row>
    <row r="17" spans="1:80" ht="13" customHeight="1" x14ac:dyDescent="0.15">
      <c r="A17" s="264">
        <v>13301</v>
      </c>
      <c r="B17" s="227">
        <v>42929</v>
      </c>
      <c r="C17" s="228" t="s">
        <v>868</v>
      </c>
      <c r="D17" s="226" t="s">
        <v>663</v>
      </c>
      <c r="E17" s="226"/>
      <c r="F17" s="226" t="s">
        <v>869</v>
      </c>
      <c r="G17" s="227">
        <v>42916</v>
      </c>
      <c r="H17" s="229" t="s">
        <v>672</v>
      </c>
      <c r="I17" s="229" t="s">
        <v>673</v>
      </c>
      <c r="J17" s="229"/>
      <c r="K17" s="226" t="s">
        <v>889</v>
      </c>
      <c r="L17" s="226" t="s">
        <v>668</v>
      </c>
      <c r="M17" s="230">
        <v>61.809090909090898</v>
      </c>
      <c r="N17" s="230">
        <v>31.054545454545448</v>
      </c>
      <c r="O17" s="226"/>
      <c r="P17" s="231"/>
      <c r="Q17" s="226"/>
      <c r="R17" s="231"/>
      <c r="S17" s="230"/>
      <c r="T17" s="231"/>
      <c r="U17" s="230"/>
      <c r="V17" s="230"/>
      <c r="W17" s="230"/>
      <c r="X17" s="226"/>
      <c r="Y17" s="230"/>
      <c r="Z17" s="230"/>
      <c r="AA17" s="230"/>
      <c r="AB17" s="230"/>
      <c r="AC17" s="230"/>
      <c r="AD17" s="230"/>
      <c r="AE17" s="230"/>
      <c r="AF17" s="231"/>
      <c r="AG17" s="226"/>
      <c r="AH17" s="230"/>
      <c r="AI17" s="226"/>
      <c r="AJ17" s="226"/>
      <c r="AK17" s="230"/>
      <c r="AL17" s="226"/>
      <c r="AM17" s="230"/>
      <c r="AN17" s="230"/>
      <c r="AO17" s="226" t="s">
        <v>872</v>
      </c>
      <c r="AP17" s="229" t="s">
        <v>673</v>
      </c>
      <c r="AQ17" s="229"/>
      <c r="AR17" s="229"/>
      <c r="AS17" s="233"/>
      <c r="AT17" s="229">
        <v>6</v>
      </c>
      <c r="AU17" s="229"/>
      <c r="AV17" s="229"/>
      <c r="AW17" s="229"/>
      <c r="AX17" s="229" t="s">
        <v>638</v>
      </c>
      <c r="AY17" s="226"/>
      <c r="AZ17" s="229">
        <v>0</v>
      </c>
      <c r="BA17" s="229">
        <v>24</v>
      </c>
      <c r="BB17" s="229">
        <v>0</v>
      </c>
      <c r="BC17" s="229">
        <v>0</v>
      </c>
      <c r="BD17" s="229">
        <v>0</v>
      </c>
      <c r="BE17" s="229">
        <v>0</v>
      </c>
      <c r="BF17" s="229">
        <v>0</v>
      </c>
      <c r="BG17" s="229">
        <v>0</v>
      </c>
      <c r="BH17" s="229">
        <v>0</v>
      </c>
      <c r="BI17" s="229">
        <v>0</v>
      </c>
      <c r="BJ17" s="229">
        <v>0</v>
      </c>
      <c r="BK17" s="229">
        <v>0</v>
      </c>
      <c r="BL17" s="229"/>
      <c r="BM17" s="229" t="s">
        <v>673</v>
      </c>
      <c r="BN17" s="229"/>
      <c r="BO17" s="229" t="s">
        <v>673</v>
      </c>
      <c r="BP17" s="234"/>
      <c r="BQ17" s="229"/>
      <c r="BR17" s="229"/>
      <c r="BS17" s="229"/>
      <c r="BT17" s="226"/>
      <c r="BU17" s="226"/>
      <c r="BV17" s="229"/>
      <c r="BW17" s="229" t="s">
        <v>873</v>
      </c>
      <c r="BX17" s="229"/>
      <c r="BY17" s="226" t="s">
        <v>977</v>
      </c>
      <c r="BZ17" s="237" t="s">
        <v>978</v>
      </c>
      <c r="CA17" s="235" t="s">
        <v>426</v>
      </c>
    </row>
    <row r="18" spans="1:80" ht="13" customHeight="1" x14ac:dyDescent="0.15">
      <c r="A18" s="264">
        <v>12043</v>
      </c>
      <c r="B18" s="227">
        <v>42929</v>
      </c>
      <c r="C18" s="228" t="s">
        <v>868</v>
      </c>
      <c r="D18" s="226" t="s">
        <v>663</v>
      </c>
      <c r="E18" s="226"/>
      <c r="F18" s="226" t="s">
        <v>869</v>
      </c>
      <c r="G18" s="227">
        <v>42587</v>
      </c>
      <c r="H18" s="229" t="s">
        <v>672</v>
      </c>
      <c r="I18" s="229" t="s">
        <v>673</v>
      </c>
      <c r="J18" s="229"/>
      <c r="K18" s="226" t="s">
        <v>896</v>
      </c>
      <c r="L18" s="226" t="s">
        <v>897</v>
      </c>
      <c r="M18" s="230">
        <v>85.799999999999983</v>
      </c>
      <c r="N18" s="230">
        <v>28.25454545454545</v>
      </c>
      <c r="O18" s="226"/>
      <c r="P18" s="226"/>
      <c r="Q18" s="226"/>
      <c r="R18" s="231"/>
      <c r="S18" s="230"/>
      <c r="T18" s="226"/>
      <c r="U18" s="230"/>
      <c r="V18" s="230"/>
      <c r="W18" s="230"/>
      <c r="X18" s="231"/>
      <c r="Y18" s="230"/>
      <c r="Z18" s="230"/>
      <c r="AA18" s="230"/>
      <c r="AB18" s="230"/>
      <c r="AC18" s="230"/>
      <c r="AD18" s="230"/>
      <c r="AE18" s="230"/>
      <c r="AF18" s="231"/>
      <c r="AG18" s="226"/>
      <c r="AH18" s="230"/>
      <c r="AI18" s="226"/>
      <c r="AJ18" s="226"/>
      <c r="AK18" s="230"/>
      <c r="AL18" s="226"/>
      <c r="AM18" s="230"/>
      <c r="AN18" s="230"/>
      <c r="AO18" s="226" t="s">
        <v>872</v>
      </c>
      <c r="AP18" s="229" t="s">
        <v>673</v>
      </c>
      <c r="AQ18" s="229"/>
      <c r="AR18" s="229"/>
      <c r="AS18" s="233"/>
      <c r="AT18" s="229">
        <v>4</v>
      </c>
      <c r="AU18" s="229"/>
      <c r="AV18" s="229"/>
      <c r="AW18" s="229"/>
      <c r="AX18" s="229" t="s">
        <v>673</v>
      </c>
      <c r="AY18" s="226"/>
      <c r="AZ18" s="229">
        <v>0</v>
      </c>
      <c r="BA18" s="229">
        <v>0</v>
      </c>
      <c r="BB18" s="229">
        <v>0</v>
      </c>
      <c r="BC18" s="229">
        <v>0</v>
      </c>
      <c r="BD18" s="229">
        <v>0</v>
      </c>
      <c r="BE18" s="229">
        <v>0</v>
      </c>
      <c r="BF18" s="229">
        <v>0</v>
      </c>
      <c r="BG18" s="229">
        <v>0</v>
      </c>
      <c r="BH18" s="229">
        <v>0</v>
      </c>
      <c r="BI18" s="229">
        <v>0</v>
      </c>
      <c r="BJ18" s="229">
        <v>0</v>
      </c>
      <c r="BK18" s="229">
        <v>0</v>
      </c>
      <c r="BL18" s="229"/>
      <c r="BM18" s="229" t="s">
        <v>673</v>
      </c>
      <c r="BN18" s="229">
        <v>12</v>
      </c>
      <c r="BO18" s="229" t="s">
        <v>673</v>
      </c>
      <c r="BP18" s="234"/>
      <c r="BQ18" s="229"/>
      <c r="BR18" s="229"/>
      <c r="BS18" s="229"/>
      <c r="BT18" s="226"/>
      <c r="BU18" s="235"/>
      <c r="BV18" s="229"/>
      <c r="BW18" s="229" t="s">
        <v>873</v>
      </c>
      <c r="BX18" s="229">
        <v>1</v>
      </c>
      <c r="BY18" s="235"/>
      <c r="BZ18" s="237" t="s">
        <v>950</v>
      </c>
      <c r="CA18" s="226" t="s">
        <v>588</v>
      </c>
    </row>
    <row r="19" spans="1:80" ht="13" customHeight="1" x14ac:dyDescent="0.15">
      <c r="A19" s="264">
        <v>15334</v>
      </c>
      <c r="B19" s="227">
        <v>42929</v>
      </c>
      <c r="C19" s="228" t="s">
        <v>868</v>
      </c>
      <c r="D19" s="226" t="s">
        <v>663</v>
      </c>
      <c r="E19" s="226"/>
      <c r="F19" s="226" t="s">
        <v>869</v>
      </c>
      <c r="G19" s="227">
        <v>42916</v>
      </c>
      <c r="H19" s="229" t="s">
        <v>672</v>
      </c>
      <c r="I19" s="229" t="s">
        <v>673</v>
      </c>
      <c r="J19" s="229"/>
      <c r="K19" s="226" t="s">
        <v>979</v>
      </c>
      <c r="L19" s="226" t="s">
        <v>980</v>
      </c>
      <c r="M19" s="230">
        <v>109</v>
      </c>
      <c r="N19" s="230">
        <v>28.999999999999996</v>
      </c>
      <c r="O19" s="226"/>
      <c r="P19" s="231"/>
      <c r="Q19" s="226"/>
      <c r="R19" s="231"/>
      <c r="S19" s="230"/>
      <c r="T19" s="226"/>
      <c r="U19" s="230"/>
      <c r="V19" s="230"/>
      <c r="W19" s="230"/>
      <c r="X19" s="231"/>
      <c r="Y19" s="230"/>
      <c r="Z19" s="230"/>
      <c r="AA19" s="230"/>
      <c r="AB19" s="230"/>
      <c r="AC19" s="230"/>
      <c r="AD19" s="230"/>
      <c r="AE19" s="230"/>
      <c r="AF19" s="231"/>
      <c r="AG19" s="226"/>
      <c r="AH19" s="230"/>
      <c r="AI19" s="226"/>
      <c r="AJ19" s="226"/>
      <c r="AK19" s="230"/>
      <c r="AL19" s="226"/>
      <c r="AM19" s="230"/>
      <c r="AN19" s="230"/>
      <c r="AO19" s="226" t="s">
        <v>872</v>
      </c>
      <c r="AP19" s="229" t="s">
        <v>673</v>
      </c>
      <c r="AQ19" s="229"/>
      <c r="AR19" s="229"/>
      <c r="AS19" s="233"/>
      <c r="AT19" s="229">
        <v>3</v>
      </c>
      <c r="AU19" s="229"/>
      <c r="AV19" s="229"/>
      <c r="AW19" s="229"/>
      <c r="AX19" s="229" t="s">
        <v>673</v>
      </c>
      <c r="AY19" s="226"/>
      <c r="AZ19" s="229">
        <v>0</v>
      </c>
      <c r="BA19" s="229">
        <v>0</v>
      </c>
      <c r="BB19" s="229">
        <v>0</v>
      </c>
      <c r="BC19" s="229">
        <v>0</v>
      </c>
      <c r="BD19" s="229">
        <v>0</v>
      </c>
      <c r="BE19" s="229">
        <v>0</v>
      </c>
      <c r="BF19" s="229">
        <v>0</v>
      </c>
      <c r="BG19" s="229">
        <v>0</v>
      </c>
      <c r="BH19" s="229">
        <v>0</v>
      </c>
      <c r="BI19" s="229">
        <v>0</v>
      </c>
      <c r="BJ19" s="229">
        <v>0</v>
      </c>
      <c r="BK19" s="229">
        <v>0</v>
      </c>
      <c r="BL19" s="229"/>
      <c r="BM19" s="229" t="s">
        <v>673</v>
      </c>
      <c r="BN19" s="229"/>
      <c r="BO19" s="229" t="s">
        <v>673</v>
      </c>
      <c r="BP19" s="234"/>
      <c r="BQ19" s="229"/>
      <c r="BR19" s="229"/>
      <c r="BS19" s="229"/>
      <c r="BT19" s="226" t="s">
        <v>981</v>
      </c>
      <c r="BU19" s="235" t="s">
        <v>982</v>
      </c>
      <c r="BV19" s="229">
        <v>50</v>
      </c>
      <c r="BW19" s="229" t="s">
        <v>873</v>
      </c>
      <c r="BX19" s="229"/>
      <c r="BY19" s="235"/>
      <c r="BZ19" s="291" t="s">
        <v>983</v>
      </c>
      <c r="CA19" s="226" t="s">
        <v>729</v>
      </c>
    </row>
    <row r="20" spans="1:80" ht="13" customHeight="1" x14ac:dyDescent="0.15">
      <c r="A20" s="264">
        <v>11186</v>
      </c>
      <c r="B20" s="227">
        <v>42926</v>
      </c>
      <c r="C20" s="228" t="s">
        <v>868</v>
      </c>
      <c r="D20" s="226" t="s">
        <v>663</v>
      </c>
      <c r="E20" s="226"/>
      <c r="F20" s="226" t="s">
        <v>869</v>
      </c>
      <c r="G20" s="227">
        <v>42900</v>
      </c>
      <c r="H20" s="229" t="s">
        <v>672</v>
      </c>
      <c r="I20" s="229" t="s">
        <v>673</v>
      </c>
      <c r="J20" s="229"/>
      <c r="K20" s="226" t="s">
        <v>899</v>
      </c>
      <c r="L20" s="226" t="s">
        <v>721</v>
      </c>
      <c r="M20" s="230">
        <v>106.33636363636363</v>
      </c>
      <c r="N20" s="230">
        <v>22.836363636363636</v>
      </c>
      <c r="O20" s="226"/>
      <c r="P20" s="231"/>
      <c r="Q20" s="226"/>
      <c r="R20" s="231"/>
      <c r="S20" s="230"/>
      <c r="T20" s="231"/>
      <c r="U20" s="230"/>
      <c r="V20" s="230"/>
      <c r="W20" s="230"/>
      <c r="X20" s="226"/>
      <c r="Y20" s="230"/>
      <c r="Z20" s="230"/>
      <c r="AA20" s="230"/>
      <c r="AB20" s="230"/>
      <c r="AC20" s="230"/>
      <c r="AD20" s="230"/>
      <c r="AE20" s="230"/>
      <c r="AF20" s="231"/>
      <c r="AG20" s="226"/>
      <c r="AH20" s="230"/>
      <c r="AI20" s="226"/>
      <c r="AJ20" s="226"/>
      <c r="AK20" s="230"/>
      <c r="AL20" s="226"/>
      <c r="AM20" s="230"/>
      <c r="AN20" s="230"/>
      <c r="AO20" s="226" t="s">
        <v>872</v>
      </c>
      <c r="AP20" s="229" t="s">
        <v>673</v>
      </c>
      <c r="AQ20" s="229"/>
      <c r="AR20" s="229"/>
      <c r="AS20" s="233"/>
      <c r="AT20" s="229">
        <v>2.06</v>
      </c>
      <c r="AU20" s="229"/>
      <c r="AV20" s="229"/>
      <c r="AW20" s="229"/>
      <c r="AX20" s="229" t="s">
        <v>673</v>
      </c>
      <c r="AY20" s="226"/>
      <c r="AZ20" s="229">
        <v>0</v>
      </c>
      <c r="BA20" s="229">
        <v>0</v>
      </c>
      <c r="BB20" s="229">
        <v>0</v>
      </c>
      <c r="BC20" s="229">
        <v>0</v>
      </c>
      <c r="BD20" s="229">
        <v>0</v>
      </c>
      <c r="BE20" s="229">
        <v>0</v>
      </c>
      <c r="BF20" s="229">
        <v>0</v>
      </c>
      <c r="BG20" s="229">
        <v>0</v>
      </c>
      <c r="BH20" s="229">
        <v>0</v>
      </c>
      <c r="BI20" s="229">
        <v>0</v>
      </c>
      <c r="BJ20" s="229">
        <v>0</v>
      </c>
      <c r="BK20" s="229">
        <v>0</v>
      </c>
      <c r="BL20" s="229"/>
      <c r="BM20" s="229" t="s">
        <v>673</v>
      </c>
      <c r="BN20" s="229"/>
      <c r="BO20" s="229" t="s">
        <v>673</v>
      </c>
      <c r="BP20" s="234"/>
      <c r="BQ20" s="229"/>
      <c r="BR20" s="229"/>
      <c r="BS20" s="229"/>
      <c r="BT20" s="235"/>
      <c r="BU20" s="235"/>
      <c r="BV20" s="229"/>
      <c r="BW20" s="229" t="s">
        <v>873</v>
      </c>
      <c r="BX20" s="229">
        <v>1</v>
      </c>
      <c r="BY20" s="269"/>
      <c r="BZ20" s="288" t="s">
        <v>984</v>
      </c>
      <c r="CA20" s="235" t="s">
        <v>426</v>
      </c>
    </row>
    <row r="21" spans="1:80" ht="13" customHeight="1" x14ac:dyDescent="0.15">
      <c r="A21" s="264">
        <v>12712</v>
      </c>
      <c r="B21" s="227">
        <v>42926</v>
      </c>
      <c r="C21" s="228" t="s">
        <v>868</v>
      </c>
      <c r="D21" s="226" t="s">
        <v>663</v>
      </c>
      <c r="E21" s="226"/>
      <c r="F21" s="226" t="s">
        <v>869</v>
      </c>
      <c r="G21" s="236">
        <v>42916</v>
      </c>
      <c r="H21" s="229" t="s">
        <v>672</v>
      </c>
      <c r="I21" s="229" t="s">
        <v>673</v>
      </c>
      <c r="J21" s="229"/>
      <c r="K21" s="226" t="s">
        <v>907</v>
      </c>
      <c r="L21" s="226" t="s">
        <v>908</v>
      </c>
      <c r="M21" s="230">
        <v>77</v>
      </c>
      <c r="N21" s="230">
        <v>24.999999999999996</v>
      </c>
      <c r="O21" s="226"/>
      <c r="P21" s="226"/>
      <c r="Q21" s="226"/>
      <c r="R21" s="231"/>
      <c r="S21" s="230"/>
      <c r="T21" s="226"/>
      <c r="U21" s="230"/>
      <c r="V21" s="230"/>
      <c r="W21" s="230"/>
      <c r="X21" s="226"/>
      <c r="Y21" s="230"/>
      <c r="Z21" s="230"/>
      <c r="AA21" s="230"/>
      <c r="AB21" s="230"/>
      <c r="AC21" s="230"/>
      <c r="AD21" s="230"/>
      <c r="AE21" s="230"/>
      <c r="AF21" s="226"/>
      <c r="AG21" s="226"/>
      <c r="AH21" s="230"/>
      <c r="AI21" s="226"/>
      <c r="AJ21" s="226"/>
      <c r="AK21" s="230"/>
      <c r="AL21" s="226"/>
      <c r="AM21" s="230"/>
      <c r="AN21" s="230"/>
      <c r="AO21" s="226" t="s">
        <v>872</v>
      </c>
      <c r="AP21" s="229" t="s">
        <v>673</v>
      </c>
      <c r="AQ21" s="229"/>
      <c r="AR21" s="229"/>
      <c r="AS21" s="233"/>
      <c r="AT21" s="229">
        <v>8</v>
      </c>
      <c r="AU21" s="229"/>
      <c r="AV21" s="229"/>
      <c r="AW21" s="229"/>
      <c r="AX21" s="229" t="s">
        <v>672</v>
      </c>
      <c r="AY21" s="226" t="s">
        <v>909</v>
      </c>
      <c r="AZ21" s="229">
        <v>0</v>
      </c>
      <c r="BA21" s="229">
        <v>0</v>
      </c>
      <c r="BB21" s="229">
        <v>0</v>
      </c>
      <c r="BC21" s="229">
        <v>0</v>
      </c>
      <c r="BD21" s="229">
        <v>0</v>
      </c>
      <c r="BE21" s="229">
        <v>0</v>
      </c>
      <c r="BF21" s="229">
        <v>0</v>
      </c>
      <c r="BG21" s="229">
        <v>0</v>
      </c>
      <c r="BH21" s="229">
        <v>0</v>
      </c>
      <c r="BI21" s="229">
        <v>0</v>
      </c>
      <c r="BJ21" s="229">
        <v>0</v>
      </c>
      <c r="BK21" s="229">
        <v>0</v>
      </c>
      <c r="BL21" s="229"/>
      <c r="BM21" s="229" t="s">
        <v>673</v>
      </c>
      <c r="BN21" s="229"/>
      <c r="BO21" s="229" t="s">
        <v>673</v>
      </c>
      <c r="BP21" s="234"/>
      <c r="BQ21" s="229"/>
      <c r="BR21" s="229"/>
      <c r="BS21" s="229"/>
      <c r="BT21" s="226"/>
      <c r="BU21" s="235"/>
      <c r="BV21" s="229"/>
      <c r="BW21" s="229" t="s">
        <v>873</v>
      </c>
      <c r="BX21" s="229">
        <v>1</v>
      </c>
      <c r="BY21" s="280" t="s">
        <v>910</v>
      </c>
      <c r="BZ21" s="288" t="s">
        <v>985</v>
      </c>
      <c r="CA21" s="226" t="s">
        <v>426</v>
      </c>
    </row>
    <row r="22" spans="1:80" ht="14" customHeight="1" x14ac:dyDescent="0.15">
      <c r="A22" s="264">
        <v>13467</v>
      </c>
      <c r="B22" s="227">
        <v>42928</v>
      </c>
      <c r="C22" s="228" t="s">
        <v>868</v>
      </c>
      <c r="D22" s="226" t="s">
        <v>663</v>
      </c>
      <c r="E22" s="226"/>
      <c r="F22" s="226" t="s">
        <v>869</v>
      </c>
      <c r="G22" s="227">
        <v>42922</v>
      </c>
      <c r="H22" s="229" t="s">
        <v>672</v>
      </c>
      <c r="I22" s="229" t="s">
        <v>673</v>
      </c>
      <c r="J22" s="229"/>
      <c r="K22" s="226" t="s">
        <v>918</v>
      </c>
      <c r="L22" s="226" t="s">
        <v>986</v>
      </c>
      <c r="M22" s="230">
        <v>77.8</v>
      </c>
      <c r="N22" s="230">
        <v>24.363636363636363</v>
      </c>
      <c r="O22" s="226"/>
      <c r="P22" s="231"/>
      <c r="Q22" s="226"/>
      <c r="R22" s="231"/>
      <c r="S22" s="230"/>
      <c r="T22" s="231"/>
      <c r="U22" s="230"/>
      <c r="V22" s="230"/>
      <c r="W22" s="230"/>
      <c r="X22" s="226"/>
      <c r="Y22" s="230"/>
      <c r="Z22" s="230"/>
      <c r="AA22" s="230"/>
      <c r="AB22" s="230"/>
      <c r="AC22" s="230"/>
      <c r="AD22" s="230"/>
      <c r="AE22" s="230"/>
      <c r="AF22" s="231"/>
      <c r="AG22" s="226"/>
      <c r="AH22" s="230"/>
      <c r="AI22" s="226"/>
      <c r="AJ22" s="226"/>
      <c r="AK22" s="230"/>
      <c r="AL22" s="226"/>
      <c r="AM22" s="230"/>
      <c r="AN22" s="230"/>
      <c r="AO22" s="226" t="s">
        <v>872</v>
      </c>
      <c r="AP22" s="229" t="s">
        <v>673</v>
      </c>
      <c r="AQ22" s="229"/>
      <c r="AR22" s="229"/>
      <c r="AS22" s="233"/>
      <c r="AT22" s="229">
        <v>2</v>
      </c>
      <c r="AU22" s="229"/>
      <c r="AV22" s="229"/>
      <c r="AW22" s="229"/>
      <c r="AX22" s="229" t="s">
        <v>638</v>
      </c>
      <c r="AY22" s="226"/>
      <c r="AZ22" s="229">
        <v>0</v>
      </c>
      <c r="BA22" s="229">
        <v>0</v>
      </c>
      <c r="BB22" s="229"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/>
      <c r="BM22" s="229" t="s">
        <v>673</v>
      </c>
      <c r="BN22" s="229"/>
      <c r="BO22" s="229" t="s">
        <v>673</v>
      </c>
      <c r="BP22" s="234"/>
      <c r="BQ22" s="229"/>
      <c r="BR22" s="229"/>
      <c r="BS22" s="229"/>
      <c r="BT22" s="235"/>
      <c r="BU22" s="235"/>
      <c r="BV22" s="229"/>
      <c r="BW22" s="229" t="s">
        <v>873</v>
      </c>
      <c r="BX22" s="229"/>
      <c r="BY22" s="226" t="s">
        <v>987</v>
      </c>
      <c r="BZ22" s="291" t="s">
        <v>988</v>
      </c>
      <c r="CA22" s="226" t="s">
        <v>426</v>
      </c>
    </row>
    <row r="23" spans="1:80" ht="14" customHeight="1" x14ac:dyDescent="0.15">
      <c r="A23" s="264">
        <v>15302</v>
      </c>
      <c r="B23" s="227">
        <v>42925</v>
      </c>
      <c r="C23" s="228" t="s">
        <v>868</v>
      </c>
      <c r="D23" s="226" t="s">
        <v>663</v>
      </c>
      <c r="E23" s="226"/>
      <c r="F23" s="226" t="s">
        <v>869</v>
      </c>
      <c r="G23" s="227">
        <v>42916</v>
      </c>
      <c r="H23" s="229" t="s">
        <v>672</v>
      </c>
      <c r="I23" s="229" t="s">
        <v>673</v>
      </c>
      <c r="J23" s="229"/>
      <c r="K23" s="226" t="s">
        <v>989</v>
      </c>
      <c r="L23" s="226" t="s">
        <v>990</v>
      </c>
      <c r="M23" s="230">
        <v>80.954545454545439</v>
      </c>
      <c r="N23" s="230">
        <v>31.481818181818181</v>
      </c>
      <c r="O23" s="226" t="s">
        <v>875</v>
      </c>
      <c r="P23" s="231">
        <v>1000</v>
      </c>
      <c r="Q23" s="230">
        <v>33.781818181818174</v>
      </c>
      <c r="R23" s="231"/>
      <c r="S23" s="230"/>
      <c r="T23" s="231"/>
      <c r="U23" s="230"/>
      <c r="V23" s="230"/>
      <c r="W23" s="230"/>
      <c r="X23" s="226"/>
      <c r="Y23" s="230"/>
      <c r="Z23" s="230"/>
      <c r="AA23" s="230"/>
      <c r="AB23" s="230"/>
      <c r="AC23" s="230"/>
      <c r="AD23" s="230"/>
      <c r="AE23" s="230"/>
      <c r="AF23" s="226"/>
      <c r="AG23" s="226"/>
      <c r="AH23" s="230"/>
      <c r="AI23" s="226"/>
      <c r="AJ23" s="226"/>
      <c r="AK23" s="230"/>
      <c r="AL23" s="226"/>
      <c r="AM23" s="230"/>
      <c r="AN23" s="230"/>
      <c r="AO23" s="226" t="s">
        <v>872</v>
      </c>
      <c r="AP23" s="229" t="s">
        <v>673</v>
      </c>
      <c r="AQ23" s="229"/>
      <c r="AR23" s="229"/>
      <c r="AS23" s="233"/>
      <c r="AT23" s="229">
        <v>8</v>
      </c>
      <c r="AU23" s="229"/>
      <c r="AV23" s="229"/>
      <c r="AW23" s="229"/>
      <c r="AX23" s="229" t="s">
        <v>673</v>
      </c>
      <c r="AY23" s="226"/>
      <c r="AZ23" s="229">
        <v>0</v>
      </c>
      <c r="BA23" s="229">
        <v>0</v>
      </c>
      <c r="BB23" s="229">
        <v>10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/>
      <c r="BM23" s="229" t="s">
        <v>673</v>
      </c>
      <c r="BN23" s="229"/>
      <c r="BO23" s="229" t="s">
        <v>673</v>
      </c>
      <c r="BP23" s="234"/>
      <c r="BQ23" s="229"/>
      <c r="BR23" s="229"/>
      <c r="BS23" s="229"/>
      <c r="BT23" s="226"/>
      <c r="BU23" s="226"/>
      <c r="BV23" s="229"/>
      <c r="BW23" s="229" t="s">
        <v>873</v>
      </c>
      <c r="BX23" s="229">
        <v>1</v>
      </c>
      <c r="BY23" s="226"/>
      <c r="BZ23" s="288" t="s">
        <v>991</v>
      </c>
      <c r="CA23" s="226" t="s">
        <v>729</v>
      </c>
    </row>
    <row r="24" spans="1:80" ht="14" customHeight="1" x14ac:dyDescent="0.15">
      <c r="A24" s="264">
        <v>14323</v>
      </c>
      <c r="B24" s="227">
        <v>42926</v>
      </c>
      <c r="C24" s="271" t="s">
        <v>868</v>
      </c>
      <c r="D24" s="272" t="s">
        <v>663</v>
      </c>
      <c r="E24" s="272"/>
      <c r="F24" s="272" t="s">
        <v>869</v>
      </c>
      <c r="G24" s="236">
        <v>42614</v>
      </c>
      <c r="H24" s="273" t="s">
        <v>672</v>
      </c>
      <c r="I24" s="273" t="s">
        <v>673</v>
      </c>
      <c r="J24" s="273"/>
      <c r="K24" s="272" t="s">
        <v>992</v>
      </c>
      <c r="L24" s="226" t="s">
        <v>993</v>
      </c>
      <c r="M24" s="230">
        <v>99.999999999999986</v>
      </c>
      <c r="N24" s="230">
        <v>27.27272727272727</v>
      </c>
      <c r="O24" s="226"/>
      <c r="P24" s="226"/>
      <c r="Q24" s="226"/>
      <c r="R24" s="226"/>
      <c r="S24" s="230"/>
      <c r="T24" s="226"/>
      <c r="U24" s="230"/>
      <c r="V24" s="230"/>
      <c r="W24" s="230"/>
      <c r="X24" s="226"/>
      <c r="Y24" s="230"/>
      <c r="Z24" s="230"/>
      <c r="AA24" s="230"/>
      <c r="AB24" s="230"/>
      <c r="AC24" s="230"/>
      <c r="AD24" s="230"/>
      <c r="AE24" s="230"/>
      <c r="AF24" s="226"/>
      <c r="AG24" s="226"/>
      <c r="AH24" s="230"/>
      <c r="AI24" s="226"/>
      <c r="AJ24" s="226"/>
      <c r="AK24" s="230"/>
      <c r="AL24" s="226"/>
      <c r="AM24" s="230"/>
      <c r="AN24" s="230"/>
      <c r="AO24" s="99" t="s">
        <v>872</v>
      </c>
      <c r="AP24" s="229" t="s">
        <v>673</v>
      </c>
      <c r="AQ24" s="229"/>
      <c r="AR24" s="229"/>
      <c r="AS24" s="233"/>
      <c r="AT24" s="229">
        <v>8</v>
      </c>
      <c r="AU24" s="229"/>
      <c r="AV24" s="229"/>
      <c r="AW24" s="229"/>
      <c r="AX24" s="229" t="s">
        <v>673</v>
      </c>
      <c r="AY24" s="226"/>
      <c r="AZ24" s="229">
        <v>0</v>
      </c>
      <c r="BA24" s="229">
        <v>0</v>
      </c>
      <c r="BB24" s="229">
        <v>0</v>
      </c>
      <c r="BC24" s="229">
        <v>0</v>
      </c>
      <c r="BD24" s="229">
        <v>0</v>
      </c>
      <c r="BE24" s="229">
        <v>0</v>
      </c>
      <c r="BF24" s="229">
        <v>0</v>
      </c>
      <c r="BG24" s="229">
        <v>0</v>
      </c>
      <c r="BH24" s="229">
        <v>0</v>
      </c>
      <c r="BI24" s="229">
        <v>0</v>
      </c>
      <c r="BJ24" s="229">
        <v>0</v>
      </c>
      <c r="BK24" s="229">
        <v>0</v>
      </c>
      <c r="BL24" s="229"/>
      <c r="BM24" s="229" t="s">
        <v>673</v>
      </c>
      <c r="BN24" s="229"/>
      <c r="BO24" s="229" t="s">
        <v>673</v>
      </c>
      <c r="BP24" s="234"/>
      <c r="BQ24" s="229"/>
      <c r="BR24" s="229"/>
      <c r="BS24" s="279">
        <v>42973</v>
      </c>
      <c r="BT24" s="226"/>
      <c r="BU24" s="226"/>
      <c r="BV24" s="229"/>
      <c r="BW24" s="229" t="s">
        <v>873</v>
      </c>
      <c r="BX24" s="229"/>
      <c r="BY24" s="226"/>
      <c r="BZ24" s="290" t="s">
        <v>994</v>
      </c>
      <c r="CA24" s="235" t="s">
        <v>588</v>
      </c>
    </row>
    <row r="25" spans="1:80" ht="14" customHeight="1" x14ac:dyDescent="0.15">
      <c r="A25" s="264">
        <v>15320</v>
      </c>
      <c r="B25" s="227">
        <v>42926</v>
      </c>
      <c r="C25" s="228" t="s">
        <v>868</v>
      </c>
      <c r="D25" s="226" t="s">
        <v>663</v>
      </c>
      <c r="E25" s="226"/>
      <c r="F25" s="226" t="s">
        <v>869</v>
      </c>
      <c r="G25" s="227">
        <v>42916</v>
      </c>
      <c r="H25" s="229" t="s">
        <v>672</v>
      </c>
      <c r="I25" s="229" t="s">
        <v>673</v>
      </c>
      <c r="J25" s="229"/>
      <c r="K25" s="226" t="s">
        <v>995</v>
      </c>
      <c r="L25" s="226" t="s">
        <v>996</v>
      </c>
      <c r="M25" s="230">
        <v>102.49999999999999</v>
      </c>
      <c r="N25" s="230">
        <v>25.799999999999997</v>
      </c>
      <c r="O25" s="226"/>
      <c r="P25" s="226"/>
      <c r="Q25" s="226"/>
      <c r="R25" s="231"/>
      <c r="S25" s="230"/>
      <c r="T25" s="226"/>
      <c r="U25" s="230"/>
      <c r="V25" s="230"/>
      <c r="W25" s="230"/>
      <c r="X25" s="226"/>
      <c r="Y25" s="230"/>
      <c r="Z25" s="230"/>
      <c r="AA25" s="230"/>
      <c r="AB25" s="230"/>
      <c r="AC25" s="230"/>
      <c r="AD25" s="230"/>
      <c r="AE25" s="230"/>
      <c r="AF25" s="226"/>
      <c r="AG25" s="226"/>
      <c r="AH25" s="230"/>
      <c r="AI25" s="226"/>
      <c r="AJ25" s="226"/>
      <c r="AK25" s="230"/>
      <c r="AL25" s="226"/>
      <c r="AM25" s="230"/>
      <c r="AN25" s="230"/>
      <c r="AO25" s="226" t="s">
        <v>872</v>
      </c>
      <c r="AP25" s="229" t="s">
        <v>673</v>
      </c>
      <c r="AQ25" s="229"/>
      <c r="AR25" s="229"/>
      <c r="AS25" s="233"/>
      <c r="AT25" s="229">
        <v>2</v>
      </c>
      <c r="AU25" s="229"/>
      <c r="AV25" s="229"/>
      <c r="AW25" s="229"/>
      <c r="AX25" s="229" t="s">
        <v>673</v>
      </c>
      <c r="AY25" s="226"/>
      <c r="AZ25" s="229">
        <v>0</v>
      </c>
      <c r="BA25" s="229">
        <v>0</v>
      </c>
      <c r="BB25" s="229">
        <v>0</v>
      </c>
      <c r="BC25" s="229">
        <v>0</v>
      </c>
      <c r="BD25" s="229">
        <v>0</v>
      </c>
      <c r="BE25" s="229">
        <v>0</v>
      </c>
      <c r="BF25" s="229">
        <v>0</v>
      </c>
      <c r="BG25" s="229">
        <v>0</v>
      </c>
      <c r="BH25" s="229">
        <v>0</v>
      </c>
      <c r="BI25" s="229">
        <v>0</v>
      </c>
      <c r="BJ25" s="229">
        <v>0</v>
      </c>
      <c r="BK25" s="229">
        <v>0</v>
      </c>
      <c r="BL25" s="229"/>
      <c r="BM25" s="229" t="s">
        <v>673</v>
      </c>
      <c r="BN25" s="229">
        <v>12</v>
      </c>
      <c r="BO25" s="229" t="s">
        <v>673</v>
      </c>
      <c r="BP25" s="234"/>
      <c r="BQ25" s="229"/>
      <c r="BR25" s="229">
        <v>12</v>
      </c>
      <c r="BS25" s="229"/>
      <c r="BT25" s="235"/>
      <c r="BU25" s="235"/>
      <c r="BV25" s="229"/>
      <c r="BW25" s="229" t="s">
        <v>873</v>
      </c>
      <c r="BX25" s="229">
        <v>1</v>
      </c>
      <c r="BY25" s="235" t="s">
        <v>997</v>
      </c>
      <c r="BZ25" s="290" t="s">
        <v>998</v>
      </c>
      <c r="CA25" s="235" t="s">
        <v>729</v>
      </c>
    </row>
    <row r="26" spans="1:80" ht="13" customHeight="1" x14ac:dyDescent="0.15">
      <c r="A26" s="264"/>
      <c r="B26" s="227">
        <v>42944</v>
      </c>
      <c r="C26" s="228" t="s">
        <v>868</v>
      </c>
      <c r="D26" s="226" t="s">
        <v>663</v>
      </c>
      <c r="E26" s="226"/>
      <c r="F26" s="226" t="s">
        <v>869</v>
      </c>
      <c r="G26" s="227">
        <v>42857</v>
      </c>
      <c r="H26" s="229" t="s">
        <v>672</v>
      </c>
      <c r="I26" s="229" t="s">
        <v>673</v>
      </c>
      <c r="J26" s="229"/>
      <c r="K26" s="226" t="s">
        <v>1010</v>
      </c>
      <c r="L26" s="226" t="s">
        <v>1011</v>
      </c>
      <c r="M26" s="230">
        <v>102.99999999999999</v>
      </c>
      <c r="N26" s="230">
        <v>28.099999999999998</v>
      </c>
      <c r="O26" s="226"/>
      <c r="P26" s="231"/>
      <c r="Q26" s="226"/>
      <c r="R26" s="231"/>
      <c r="S26" s="230"/>
      <c r="T26" s="231"/>
      <c r="U26" s="230"/>
      <c r="V26" s="230"/>
      <c r="W26" s="230"/>
      <c r="X26" s="226"/>
      <c r="Y26" s="230"/>
      <c r="Z26" s="230"/>
      <c r="AA26" s="230"/>
      <c r="AB26" s="230"/>
      <c r="AC26" s="230"/>
      <c r="AD26" s="230"/>
      <c r="AE26" s="230"/>
      <c r="AF26" s="231"/>
      <c r="AG26" s="226"/>
      <c r="AH26" s="230"/>
      <c r="AI26" s="226"/>
      <c r="AJ26" s="226"/>
      <c r="AK26" s="230"/>
      <c r="AL26" s="226"/>
      <c r="AM26" s="230"/>
      <c r="AN26" s="230"/>
      <c r="AO26" s="226" t="s">
        <v>872</v>
      </c>
      <c r="AP26" s="229" t="s">
        <v>673</v>
      </c>
      <c r="AQ26" s="229"/>
      <c r="AR26" s="229"/>
      <c r="AS26" s="233"/>
      <c r="AT26" s="229">
        <v>7.5</v>
      </c>
      <c r="AU26" s="229"/>
      <c r="AV26" s="229"/>
      <c r="AW26" s="229"/>
      <c r="AX26" s="229" t="s">
        <v>638</v>
      </c>
      <c r="AY26" s="226"/>
      <c r="AZ26" s="229">
        <v>0</v>
      </c>
      <c r="BA26" s="229">
        <v>0</v>
      </c>
      <c r="BB26" s="229"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/>
      <c r="BM26" s="229" t="s">
        <v>673</v>
      </c>
      <c r="BN26" s="229"/>
      <c r="BO26" s="229" t="s">
        <v>673</v>
      </c>
      <c r="BP26" s="234"/>
      <c r="BQ26" s="229"/>
      <c r="BR26" s="229">
        <v>12</v>
      </c>
      <c r="BS26" s="229"/>
      <c r="BT26" s="235"/>
      <c r="BU26" s="235"/>
      <c r="BV26" s="229"/>
      <c r="BW26" s="229" t="s">
        <v>873</v>
      </c>
      <c r="BX26" s="229"/>
      <c r="BY26" s="235"/>
      <c r="BZ26" s="288" t="s">
        <v>1012</v>
      </c>
      <c r="CA26" s="235" t="s">
        <v>729</v>
      </c>
    </row>
    <row r="27" spans="1:80" ht="13" customHeight="1" x14ac:dyDescent="0.15">
      <c r="A27" s="264"/>
      <c r="B27" s="227">
        <v>42944</v>
      </c>
      <c r="C27" s="228" t="s">
        <v>868</v>
      </c>
      <c r="D27" s="226" t="s">
        <v>663</v>
      </c>
      <c r="E27" s="226"/>
      <c r="F27" s="226" t="s">
        <v>869</v>
      </c>
      <c r="G27" s="227">
        <v>42941</v>
      </c>
      <c r="H27" s="229" t="s">
        <v>673</v>
      </c>
      <c r="I27" s="229" t="s">
        <v>722</v>
      </c>
      <c r="J27" s="229"/>
      <c r="K27" s="226" t="s">
        <v>1014</v>
      </c>
      <c r="L27" s="226" t="s">
        <v>1015</v>
      </c>
      <c r="M27" s="230">
        <v>66.5</v>
      </c>
      <c r="N27" s="230">
        <v>28.563636363636363</v>
      </c>
      <c r="O27" s="226"/>
      <c r="P27" s="231"/>
      <c r="Q27" s="226"/>
      <c r="R27" s="231"/>
      <c r="S27" s="230"/>
      <c r="T27" s="231"/>
      <c r="U27" s="230"/>
      <c r="V27" s="230"/>
      <c r="W27" s="230"/>
      <c r="X27" s="226"/>
      <c r="Y27" s="230"/>
      <c r="Z27" s="230"/>
      <c r="AA27" s="230"/>
      <c r="AB27" s="230"/>
      <c r="AC27" s="230"/>
      <c r="AD27" s="230"/>
      <c r="AE27" s="226"/>
      <c r="AF27" s="231"/>
      <c r="AG27" s="226"/>
      <c r="AH27" s="230"/>
      <c r="AI27" s="226"/>
      <c r="AJ27" s="226"/>
      <c r="AK27" s="230"/>
      <c r="AL27" s="226"/>
      <c r="AM27" s="230"/>
      <c r="AN27" s="230"/>
      <c r="AO27" s="226" t="s">
        <v>872</v>
      </c>
      <c r="AP27" s="229" t="s">
        <v>673</v>
      </c>
      <c r="AQ27" s="229"/>
      <c r="AR27" s="229"/>
      <c r="AS27" s="233"/>
      <c r="AT27" s="229"/>
      <c r="AU27" s="229"/>
      <c r="AV27" s="229"/>
      <c r="AW27" s="229"/>
      <c r="AX27" s="229" t="s">
        <v>638</v>
      </c>
      <c r="AY27" s="226"/>
      <c r="AZ27" s="229">
        <v>0</v>
      </c>
      <c r="BA27" s="229">
        <v>5</v>
      </c>
      <c r="BB27" s="229"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/>
      <c r="BM27" s="229" t="s">
        <v>673</v>
      </c>
      <c r="BN27" s="229"/>
      <c r="BO27" s="229" t="s">
        <v>673</v>
      </c>
      <c r="BP27" s="234"/>
      <c r="BQ27" s="229"/>
      <c r="BR27" s="229"/>
      <c r="BS27" s="229"/>
      <c r="BT27" s="235"/>
      <c r="BU27" s="235"/>
      <c r="BV27" s="229"/>
      <c r="BW27" s="229" t="s">
        <v>873</v>
      </c>
      <c r="BX27" s="229"/>
      <c r="BY27" s="235"/>
      <c r="BZ27" s="288" t="s">
        <v>1016</v>
      </c>
      <c r="CA27" s="235" t="s">
        <v>729</v>
      </c>
    </row>
    <row r="28" spans="1:80" ht="14" customHeight="1" x14ac:dyDescent="0.2">
      <c r="A28" s="264">
        <v>15317</v>
      </c>
      <c r="B28" s="227">
        <v>42925</v>
      </c>
      <c r="C28" s="228" t="s">
        <v>868</v>
      </c>
      <c r="D28" s="226" t="s">
        <v>663</v>
      </c>
      <c r="E28" s="226"/>
      <c r="F28" s="226" t="s">
        <v>923</v>
      </c>
      <c r="G28" s="227">
        <v>42922</v>
      </c>
      <c r="H28" s="229" t="s">
        <v>672</v>
      </c>
      <c r="I28" s="229" t="s">
        <v>673</v>
      </c>
      <c r="J28" s="229"/>
      <c r="K28" s="226" t="s">
        <v>492</v>
      </c>
      <c r="L28" s="226" t="s">
        <v>959</v>
      </c>
      <c r="M28" s="230">
        <v>85.354545454545445</v>
      </c>
      <c r="N28" s="230">
        <v>29.963636363636361</v>
      </c>
      <c r="O28" s="226"/>
      <c r="P28" s="231"/>
      <c r="Q28" s="226"/>
      <c r="R28" s="231"/>
      <c r="S28" s="230"/>
      <c r="T28" s="231"/>
      <c r="U28" s="230"/>
      <c r="V28" s="230"/>
      <c r="W28" s="230"/>
      <c r="X28" s="226"/>
      <c r="Y28" s="230"/>
      <c r="Z28" s="230"/>
      <c r="AA28" s="230"/>
      <c r="AB28" s="230"/>
      <c r="AC28" s="230"/>
      <c r="AD28" s="230"/>
      <c r="AE28" s="230">
        <v>14.409090909090908</v>
      </c>
      <c r="AF28" s="231"/>
      <c r="AG28" s="226"/>
      <c r="AH28" s="230"/>
      <c r="AI28" s="226"/>
      <c r="AJ28" s="226"/>
      <c r="AK28" s="230"/>
      <c r="AL28" s="226"/>
      <c r="AM28" s="230"/>
      <c r="AN28" s="230"/>
      <c r="AO28" s="226" t="s">
        <v>924</v>
      </c>
      <c r="AP28" s="229" t="s">
        <v>673</v>
      </c>
      <c r="AQ28" s="229"/>
      <c r="AR28" s="229"/>
      <c r="AS28" s="233"/>
      <c r="AT28" s="229"/>
      <c r="AU28" s="229"/>
      <c r="AV28" s="229"/>
      <c r="AW28" s="229"/>
      <c r="AX28" s="229" t="s">
        <v>638</v>
      </c>
      <c r="AY28" s="226"/>
      <c r="AZ28" s="229">
        <v>0</v>
      </c>
      <c r="BA28" s="229">
        <v>0</v>
      </c>
      <c r="BB28" s="229"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/>
      <c r="BM28" s="229" t="s">
        <v>673</v>
      </c>
      <c r="BN28" s="229"/>
      <c r="BO28" s="229" t="s">
        <v>673</v>
      </c>
      <c r="BP28" s="234"/>
      <c r="BQ28" s="229"/>
      <c r="BR28" s="229"/>
      <c r="BS28" s="229"/>
      <c r="BT28" s="235"/>
      <c r="BU28" s="235"/>
      <c r="BV28" s="229"/>
      <c r="BW28" s="229" t="s">
        <v>873</v>
      </c>
      <c r="BX28" s="229"/>
      <c r="BY28" s="235"/>
      <c r="BZ28" s="265" t="s">
        <v>925</v>
      </c>
      <c r="CA28" s="235" t="s">
        <v>729</v>
      </c>
      <c r="CB28" s="156"/>
    </row>
    <row r="29" spans="1:80" ht="14" customHeight="1" x14ac:dyDescent="0.15">
      <c r="A29" s="264">
        <v>14770</v>
      </c>
      <c r="B29" s="227">
        <v>42925</v>
      </c>
      <c r="C29" s="228" t="s">
        <v>868</v>
      </c>
      <c r="D29" s="226" t="s">
        <v>663</v>
      </c>
      <c r="E29" s="226"/>
      <c r="F29" s="226" t="s">
        <v>923</v>
      </c>
      <c r="G29" s="236">
        <v>42916</v>
      </c>
      <c r="H29" s="229" t="s">
        <v>672</v>
      </c>
      <c r="I29" s="229" t="s">
        <v>673</v>
      </c>
      <c r="J29" s="229"/>
      <c r="K29" s="226" t="s">
        <v>131</v>
      </c>
      <c r="L29" s="226" t="s">
        <v>960</v>
      </c>
      <c r="M29" s="230">
        <v>83</v>
      </c>
      <c r="N29" s="230">
        <v>24.063636363636359</v>
      </c>
      <c r="O29" s="226" t="s">
        <v>875</v>
      </c>
      <c r="P29" s="231">
        <v>300</v>
      </c>
      <c r="Q29" s="230">
        <v>26.799999999999997</v>
      </c>
      <c r="R29" s="231"/>
      <c r="S29" s="230"/>
      <c r="T29" s="226"/>
      <c r="U29" s="230"/>
      <c r="V29" s="230"/>
      <c r="W29" s="230"/>
      <c r="X29" s="226"/>
      <c r="Y29" s="230"/>
      <c r="Z29" s="230"/>
      <c r="AA29" s="230"/>
      <c r="AB29" s="230"/>
      <c r="AC29" s="230"/>
      <c r="AD29" s="230"/>
      <c r="AE29" s="230">
        <v>13.263636363636362</v>
      </c>
      <c r="AF29" s="231"/>
      <c r="AG29" s="226"/>
      <c r="AH29" s="230"/>
      <c r="AI29" s="226"/>
      <c r="AJ29" s="226"/>
      <c r="AK29" s="230"/>
      <c r="AL29" s="226"/>
      <c r="AM29" s="230"/>
      <c r="AN29" s="230"/>
      <c r="AO29" s="226" t="s">
        <v>924</v>
      </c>
      <c r="AP29" s="229" t="s">
        <v>673</v>
      </c>
      <c r="AQ29" s="229"/>
      <c r="AR29" s="229"/>
      <c r="AS29" s="233"/>
      <c r="AT29" s="229">
        <v>9.5</v>
      </c>
      <c r="AU29" s="229"/>
      <c r="AV29" s="229"/>
      <c r="AW29" s="229"/>
      <c r="AX29" s="229" t="s">
        <v>673</v>
      </c>
      <c r="AY29" s="226"/>
      <c r="AZ29" s="229">
        <v>0</v>
      </c>
      <c r="BA29" s="229">
        <v>0</v>
      </c>
      <c r="BB29" s="229">
        <v>0</v>
      </c>
      <c r="BC29" s="229">
        <v>0</v>
      </c>
      <c r="BD29" s="229">
        <v>0</v>
      </c>
      <c r="BE29" s="229">
        <v>0</v>
      </c>
      <c r="BF29" s="229">
        <v>0</v>
      </c>
      <c r="BG29" s="229">
        <v>0</v>
      </c>
      <c r="BH29" s="229">
        <v>0</v>
      </c>
      <c r="BI29" s="229">
        <v>0</v>
      </c>
      <c r="BJ29" s="229">
        <v>0</v>
      </c>
      <c r="BK29" s="229">
        <v>0</v>
      </c>
      <c r="BL29" s="229"/>
      <c r="BM29" s="229" t="s">
        <v>673</v>
      </c>
      <c r="BN29" s="229"/>
      <c r="BO29" s="229" t="s">
        <v>673</v>
      </c>
      <c r="BP29" s="234"/>
      <c r="BQ29" s="229"/>
      <c r="BR29" s="229"/>
      <c r="BS29" s="229"/>
      <c r="BT29" s="226"/>
      <c r="BU29" s="226"/>
      <c r="BV29" s="229"/>
      <c r="BW29" s="229" t="s">
        <v>873</v>
      </c>
      <c r="BX29" s="229">
        <v>1</v>
      </c>
      <c r="BY29" s="226"/>
      <c r="BZ29" s="226" t="s">
        <v>570</v>
      </c>
      <c r="CA29" s="226" t="s">
        <v>426</v>
      </c>
    </row>
    <row r="30" spans="1:80" ht="14" customHeight="1" x14ac:dyDescent="0.2">
      <c r="A30" s="264">
        <v>11133</v>
      </c>
      <c r="B30" s="227">
        <v>42928</v>
      </c>
      <c r="C30" s="228" t="s">
        <v>868</v>
      </c>
      <c r="D30" s="226" t="s">
        <v>663</v>
      </c>
      <c r="E30" s="226"/>
      <c r="F30" s="226" t="s">
        <v>923</v>
      </c>
      <c r="G30" s="236">
        <v>42643</v>
      </c>
      <c r="H30" s="229" t="s">
        <v>672</v>
      </c>
      <c r="I30" s="229" t="s">
        <v>673</v>
      </c>
      <c r="J30" s="229"/>
      <c r="K30" s="226" t="s">
        <v>134</v>
      </c>
      <c r="L30" s="226" t="s">
        <v>945</v>
      </c>
      <c r="M30" s="230">
        <v>86.95</v>
      </c>
      <c r="N30" s="230">
        <v>33.26</v>
      </c>
      <c r="O30" s="226" t="s">
        <v>875</v>
      </c>
      <c r="P30" s="231">
        <v>300</v>
      </c>
      <c r="Q30" s="230">
        <v>35.89</v>
      </c>
      <c r="R30" s="231">
        <v>700</v>
      </c>
      <c r="S30" s="230">
        <v>38.950000000000003</v>
      </c>
      <c r="T30" s="231">
        <v>1500</v>
      </c>
      <c r="U30" s="230">
        <v>39.869999999999997</v>
      </c>
      <c r="V30" s="230"/>
      <c r="W30" s="230"/>
      <c r="X30" s="226"/>
      <c r="Y30" s="230"/>
      <c r="Z30" s="230"/>
      <c r="AA30" s="230"/>
      <c r="AB30" s="230"/>
      <c r="AC30" s="230"/>
      <c r="AD30" s="230"/>
      <c r="AE30" s="230">
        <v>19.954545454545453</v>
      </c>
      <c r="AF30" s="231"/>
      <c r="AG30" s="226"/>
      <c r="AH30" s="230"/>
      <c r="AI30" s="226"/>
      <c r="AJ30" s="226"/>
      <c r="AK30" s="230"/>
      <c r="AL30" s="226"/>
      <c r="AM30" s="230"/>
      <c r="AN30" s="230"/>
      <c r="AO30" s="226" t="s">
        <v>924</v>
      </c>
      <c r="AP30" s="229" t="s">
        <v>673</v>
      </c>
      <c r="AQ30" s="229"/>
      <c r="AR30" s="229"/>
      <c r="AS30" s="229">
        <v>10</v>
      </c>
      <c r="AT30" s="229">
        <v>10.199999999999999</v>
      </c>
      <c r="AU30" s="229"/>
      <c r="AV30" s="229"/>
      <c r="AW30" s="229"/>
      <c r="AX30" s="229" t="s">
        <v>638</v>
      </c>
      <c r="AY30" s="226"/>
      <c r="AZ30" s="229">
        <v>0</v>
      </c>
      <c r="BA30" s="229">
        <v>0</v>
      </c>
      <c r="BB30" s="229">
        <v>7</v>
      </c>
      <c r="BC30" s="229">
        <v>0</v>
      </c>
      <c r="BD30" s="229">
        <v>0</v>
      </c>
      <c r="BE30" s="229">
        <v>0</v>
      </c>
      <c r="BF30" s="229">
        <v>0</v>
      </c>
      <c r="BG30" s="229">
        <v>0</v>
      </c>
      <c r="BH30" s="229">
        <v>0</v>
      </c>
      <c r="BI30" s="229">
        <v>0</v>
      </c>
      <c r="BJ30" s="229">
        <v>0</v>
      </c>
      <c r="BK30" s="229">
        <v>0</v>
      </c>
      <c r="BL30" s="229"/>
      <c r="BM30" s="229" t="s">
        <v>673</v>
      </c>
      <c r="BN30" s="229"/>
      <c r="BO30" s="229" t="s">
        <v>673</v>
      </c>
      <c r="BP30" s="234"/>
      <c r="BQ30" s="229"/>
      <c r="BR30" s="229"/>
      <c r="BS30" s="229"/>
      <c r="BT30" s="226"/>
      <c r="BU30" s="226"/>
      <c r="BV30" s="229"/>
      <c r="BW30" s="229" t="s">
        <v>873</v>
      </c>
      <c r="BX30" s="229"/>
      <c r="BY30" s="226"/>
      <c r="BZ30" s="266" t="s">
        <v>962</v>
      </c>
      <c r="CA30" s="235" t="s">
        <v>588</v>
      </c>
    </row>
    <row r="31" spans="1:80" ht="14" customHeight="1" x14ac:dyDescent="0.2">
      <c r="A31" s="264">
        <v>961</v>
      </c>
      <c r="B31" s="227">
        <v>42928</v>
      </c>
      <c r="C31" s="228" t="s">
        <v>868</v>
      </c>
      <c r="D31" s="226" t="s">
        <v>663</v>
      </c>
      <c r="E31" s="226"/>
      <c r="F31" s="226" t="s">
        <v>923</v>
      </c>
      <c r="G31" s="227">
        <v>42916</v>
      </c>
      <c r="H31" s="229" t="s">
        <v>672</v>
      </c>
      <c r="I31" s="229" t="s">
        <v>673</v>
      </c>
      <c r="J31" s="229"/>
      <c r="K31" s="226" t="s">
        <v>135</v>
      </c>
      <c r="L31" s="226" t="s">
        <v>721</v>
      </c>
      <c r="M31" s="230">
        <v>66.8</v>
      </c>
      <c r="N31" s="230">
        <v>29.345454545454544</v>
      </c>
      <c r="O31" s="226"/>
      <c r="P31" s="231"/>
      <c r="Q31" s="226"/>
      <c r="R31" s="231"/>
      <c r="S31" s="230"/>
      <c r="T31" s="226"/>
      <c r="U31" s="230"/>
      <c r="V31" s="230"/>
      <c r="W31" s="230"/>
      <c r="X31" s="226"/>
      <c r="Y31" s="230"/>
      <c r="Z31" s="230"/>
      <c r="AA31" s="230"/>
      <c r="AB31" s="230"/>
      <c r="AC31" s="230"/>
      <c r="AD31" s="230"/>
      <c r="AE31" s="230">
        <v>18.072727272727271</v>
      </c>
      <c r="AF31" s="231"/>
      <c r="AG31" s="226"/>
      <c r="AH31" s="230"/>
      <c r="AI31" s="226"/>
      <c r="AJ31" s="226"/>
      <c r="AK31" s="230"/>
      <c r="AL31" s="226"/>
      <c r="AM31" s="230"/>
      <c r="AN31" s="230"/>
      <c r="AO31" s="226" t="s">
        <v>924</v>
      </c>
      <c r="AP31" s="229" t="s">
        <v>673</v>
      </c>
      <c r="AQ31" s="229"/>
      <c r="AR31" s="229"/>
      <c r="AS31" s="233"/>
      <c r="AT31" s="229">
        <v>11.6</v>
      </c>
      <c r="AU31" s="229"/>
      <c r="AV31" s="229"/>
      <c r="AW31" s="229"/>
      <c r="AX31" s="229" t="s">
        <v>638</v>
      </c>
      <c r="AY31" s="226"/>
      <c r="AZ31" s="229">
        <v>0</v>
      </c>
      <c r="BA31" s="229">
        <v>0</v>
      </c>
      <c r="BB31" s="229">
        <v>0</v>
      </c>
      <c r="BC31" s="229">
        <v>0</v>
      </c>
      <c r="BD31" s="229">
        <v>0</v>
      </c>
      <c r="BE31" s="229">
        <v>0</v>
      </c>
      <c r="BF31" s="229">
        <v>0</v>
      </c>
      <c r="BG31" s="229">
        <v>0</v>
      </c>
      <c r="BH31" s="229">
        <v>0</v>
      </c>
      <c r="BI31" s="229">
        <v>0</v>
      </c>
      <c r="BJ31" s="229">
        <v>0</v>
      </c>
      <c r="BK31" s="229">
        <v>0</v>
      </c>
      <c r="BL31" s="229"/>
      <c r="BM31" s="229" t="s">
        <v>673</v>
      </c>
      <c r="BN31" s="229"/>
      <c r="BO31" s="229" t="s">
        <v>673</v>
      </c>
      <c r="BP31" s="234"/>
      <c r="BQ31" s="229"/>
      <c r="BR31" s="229"/>
      <c r="BS31" s="229"/>
      <c r="BT31" s="226"/>
      <c r="BU31" s="226"/>
      <c r="BV31" s="229"/>
      <c r="BW31" s="229" t="s">
        <v>873</v>
      </c>
      <c r="BX31" s="229"/>
      <c r="BY31" s="226"/>
      <c r="BZ31" s="265" t="s">
        <v>934</v>
      </c>
      <c r="CA31" s="235" t="s">
        <v>426</v>
      </c>
    </row>
    <row r="32" spans="1:80" ht="14" customHeight="1" x14ac:dyDescent="0.15">
      <c r="A32" s="264">
        <v>10288</v>
      </c>
      <c r="B32" s="227">
        <v>42925</v>
      </c>
      <c r="C32" s="228" t="s">
        <v>868</v>
      </c>
      <c r="D32" s="226" t="s">
        <v>663</v>
      </c>
      <c r="E32" s="226"/>
      <c r="F32" s="226" t="s">
        <v>923</v>
      </c>
      <c r="G32" s="227">
        <v>42916</v>
      </c>
      <c r="H32" s="229" t="s">
        <v>672</v>
      </c>
      <c r="I32" s="229" t="s">
        <v>673</v>
      </c>
      <c r="J32" s="229"/>
      <c r="K32" s="226" t="s">
        <v>136</v>
      </c>
      <c r="L32" s="226" t="s">
        <v>688</v>
      </c>
      <c r="M32" s="230">
        <v>80.499999999999986</v>
      </c>
      <c r="N32" s="230">
        <v>31.654545454545453</v>
      </c>
      <c r="O32" s="226"/>
      <c r="P32" s="231"/>
      <c r="Q32" s="226"/>
      <c r="R32" s="231"/>
      <c r="S32" s="230"/>
      <c r="T32" s="231"/>
      <c r="U32" s="230"/>
      <c r="V32" s="230"/>
      <c r="W32" s="230"/>
      <c r="X32" s="231"/>
      <c r="Y32" s="230"/>
      <c r="Z32" s="230"/>
      <c r="AA32" s="230"/>
      <c r="AB32" s="230"/>
      <c r="AC32" s="230"/>
      <c r="AD32" s="230"/>
      <c r="AE32" s="230">
        <v>14.718181818181819</v>
      </c>
      <c r="AF32" s="231"/>
      <c r="AG32" s="226"/>
      <c r="AH32" s="230"/>
      <c r="AI32" s="226"/>
      <c r="AJ32" s="226"/>
      <c r="AK32" s="230"/>
      <c r="AL32" s="226"/>
      <c r="AM32" s="230"/>
      <c r="AN32" s="230"/>
      <c r="AO32" s="226" t="s">
        <v>924</v>
      </c>
      <c r="AP32" s="229" t="s">
        <v>673</v>
      </c>
      <c r="AQ32" s="229"/>
      <c r="AR32" s="229"/>
      <c r="AS32" s="233"/>
      <c r="AT32" s="229">
        <v>10.5</v>
      </c>
      <c r="AU32" s="229"/>
      <c r="AV32" s="229"/>
      <c r="AW32" s="229"/>
      <c r="AX32" s="229" t="s">
        <v>638</v>
      </c>
      <c r="AY32" s="226"/>
      <c r="AZ32" s="229">
        <v>6</v>
      </c>
      <c r="BA32" s="229">
        <v>0</v>
      </c>
      <c r="BB32" s="229">
        <v>0</v>
      </c>
      <c r="BC32" s="229">
        <v>0</v>
      </c>
      <c r="BD32" s="229">
        <v>0</v>
      </c>
      <c r="BE32" s="229">
        <v>0</v>
      </c>
      <c r="BF32" s="229">
        <v>0</v>
      </c>
      <c r="BG32" s="229">
        <v>0</v>
      </c>
      <c r="BH32" s="229">
        <v>0</v>
      </c>
      <c r="BI32" s="229">
        <v>0</v>
      </c>
      <c r="BJ32" s="229">
        <v>0</v>
      </c>
      <c r="BK32" s="229">
        <v>0</v>
      </c>
      <c r="BL32" s="229"/>
      <c r="BM32" s="229" t="s">
        <v>673</v>
      </c>
      <c r="BN32" s="229">
        <v>12</v>
      </c>
      <c r="BO32" s="229" t="s">
        <v>673</v>
      </c>
      <c r="BP32" s="234"/>
      <c r="BQ32" s="229"/>
      <c r="BR32" s="229">
        <v>12</v>
      </c>
      <c r="BS32" s="229"/>
      <c r="BT32" s="226"/>
      <c r="BU32" s="226"/>
      <c r="BV32" s="229"/>
      <c r="BW32" s="229" t="s">
        <v>873</v>
      </c>
      <c r="BX32" s="229"/>
      <c r="BY32" s="226" t="s">
        <v>963</v>
      </c>
      <c r="BZ32" s="269" t="s">
        <v>936</v>
      </c>
      <c r="CA32" s="226" t="s">
        <v>426</v>
      </c>
    </row>
    <row r="33" spans="1:121" ht="14" customHeight="1" x14ac:dyDescent="0.2">
      <c r="A33" s="264">
        <v>11894</v>
      </c>
      <c r="B33" s="227">
        <v>42926</v>
      </c>
      <c r="C33" s="228" t="s">
        <v>868</v>
      </c>
      <c r="D33" s="226" t="s">
        <v>663</v>
      </c>
      <c r="E33" s="226"/>
      <c r="F33" s="226" t="s">
        <v>923</v>
      </c>
      <c r="G33" s="227">
        <v>42916</v>
      </c>
      <c r="H33" s="229" t="s">
        <v>672</v>
      </c>
      <c r="I33" s="229" t="s">
        <v>673</v>
      </c>
      <c r="J33" s="229"/>
      <c r="K33" s="226" t="s">
        <v>137</v>
      </c>
      <c r="L33" s="226" t="s">
        <v>901</v>
      </c>
      <c r="M33" s="230">
        <v>79.899999999999991</v>
      </c>
      <c r="N33" s="230">
        <v>30.95454545454545</v>
      </c>
      <c r="O33" s="226"/>
      <c r="P33" s="231"/>
      <c r="Q33" s="226"/>
      <c r="R33" s="231"/>
      <c r="S33" s="230"/>
      <c r="T33" s="231"/>
      <c r="U33" s="230"/>
      <c r="V33" s="230"/>
      <c r="W33" s="230"/>
      <c r="X33" s="226"/>
      <c r="Y33" s="230"/>
      <c r="Z33" s="230"/>
      <c r="AA33" s="230"/>
      <c r="AB33" s="230"/>
      <c r="AC33" s="230"/>
      <c r="AD33" s="230"/>
      <c r="AE33" s="230">
        <v>15.518181818181818</v>
      </c>
      <c r="AF33" s="231"/>
      <c r="AG33" s="226"/>
      <c r="AH33" s="230"/>
      <c r="AI33" s="226"/>
      <c r="AJ33" s="226"/>
      <c r="AK33" s="230"/>
      <c r="AL33" s="226"/>
      <c r="AM33" s="230"/>
      <c r="AN33" s="230"/>
      <c r="AO33" s="226" t="s">
        <v>924</v>
      </c>
      <c r="AP33" s="229" t="s">
        <v>673</v>
      </c>
      <c r="AQ33" s="229"/>
      <c r="AR33" s="229"/>
      <c r="AS33" s="233"/>
      <c r="AT33" s="229">
        <v>3</v>
      </c>
      <c r="AU33" s="229"/>
      <c r="AV33" s="229"/>
      <c r="AW33" s="229"/>
      <c r="AX33" s="229" t="s">
        <v>638</v>
      </c>
      <c r="AY33" s="226"/>
      <c r="AZ33" s="229">
        <v>0</v>
      </c>
      <c r="BA33" s="229">
        <v>0</v>
      </c>
      <c r="BB33" s="229">
        <v>0</v>
      </c>
      <c r="BC33" s="229">
        <v>0</v>
      </c>
      <c r="BD33" s="229">
        <v>0</v>
      </c>
      <c r="BE33" s="229">
        <v>0</v>
      </c>
      <c r="BF33" s="229">
        <v>0</v>
      </c>
      <c r="BG33" s="229">
        <v>0</v>
      </c>
      <c r="BH33" s="229">
        <v>0</v>
      </c>
      <c r="BI33" s="229">
        <v>0</v>
      </c>
      <c r="BJ33" s="229">
        <v>0</v>
      </c>
      <c r="BK33" s="229">
        <v>0</v>
      </c>
      <c r="BL33" s="229"/>
      <c r="BM33" s="229" t="s">
        <v>673</v>
      </c>
      <c r="BN33" s="229"/>
      <c r="BO33" s="229" t="s">
        <v>673</v>
      </c>
      <c r="BP33" s="234"/>
      <c r="BQ33" s="229"/>
      <c r="BR33" s="229"/>
      <c r="BS33" s="229"/>
      <c r="BT33" s="226" t="s">
        <v>964</v>
      </c>
      <c r="BU33" s="226"/>
      <c r="BV33" s="229"/>
      <c r="BW33" s="229" t="s">
        <v>873</v>
      </c>
      <c r="BX33" s="229"/>
      <c r="BY33" s="235"/>
      <c r="BZ33" s="265" t="s">
        <v>999</v>
      </c>
      <c r="CA33" s="235" t="s">
        <v>426</v>
      </c>
    </row>
    <row r="34" spans="1:121" ht="14" customHeight="1" x14ac:dyDescent="0.2">
      <c r="A34" s="264">
        <v>987</v>
      </c>
      <c r="B34" s="227">
        <v>42926</v>
      </c>
      <c r="C34" s="228" t="s">
        <v>868</v>
      </c>
      <c r="D34" s="226" t="s">
        <v>663</v>
      </c>
      <c r="E34" s="226"/>
      <c r="F34" s="226" t="s">
        <v>923</v>
      </c>
      <c r="G34" s="227">
        <v>42916</v>
      </c>
      <c r="H34" s="229" t="s">
        <v>672</v>
      </c>
      <c r="I34" s="229" t="s">
        <v>673</v>
      </c>
      <c r="J34" s="229"/>
      <c r="K34" s="226" t="s">
        <v>138</v>
      </c>
      <c r="L34" s="226" t="s">
        <v>904</v>
      </c>
      <c r="M34" s="230">
        <v>100.59090909090909</v>
      </c>
      <c r="N34" s="230">
        <v>29.436363636363637</v>
      </c>
      <c r="O34" s="226"/>
      <c r="P34" s="231"/>
      <c r="Q34" s="226"/>
      <c r="R34" s="231"/>
      <c r="S34" s="230"/>
      <c r="T34" s="231"/>
      <c r="U34" s="230"/>
      <c r="V34" s="230"/>
      <c r="W34" s="230"/>
      <c r="X34" s="226"/>
      <c r="Y34" s="230"/>
      <c r="Z34" s="230"/>
      <c r="AA34" s="230"/>
      <c r="AB34" s="230"/>
      <c r="AC34" s="230"/>
      <c r="AD34" s="230"/>
      <c r="AE34" s="230">
        <v>14.736363636363636</v>
      </c>
      <c r="AF34" s="231"/>
      <c r="AG34" s="226"/>
      <c r="AH34" s="230"/>
      <c r="AI34" s="226"/>
      <c r="AJ34" s="226"/>
      <c r="AK34" s="230"/>
      <c r="AL34" s="226"/>
      <c r="AM34" s="230"/>
      <c r="AN34" s="230"/>
      <c r="AO34" s="226" t="s">
        <v>924</v>
      </c>
      <c r="AP34" s="229" t="s">
        <v>673</v>
      </c>
      <c r="AQ34" s="229"/>
      <c r="AR34" s="229"/>
      <c r="AS34" s="233"/>
      <c r="AT34" s="229">
        <v>6.8</v>
      </c>
      <c r="AU34" s="229"/>
      <c r="AV34" s="229"/>
      <c r="AW34" s="229"/>
      <c r="AX34" s="229" t="s">
        <v>673</v>
      </c>
      <c r="AY34" s="226"/>
      <c r="AZ34" s="229">
        <v>0</v>
      </c>
      <c r="BA34" s="229">
        <v>0</v>
      </c>
      <c r="BB34" s="229">
        <v>0</v>
      </c>
      <c r="BC34" s="229">
        <v>0</v>
      </c>
      <c r="BD34" s="229">
        <v>0</v>
      </c>
      <c r="BE34" s="229">
        <v>0</v>
      </c>
      <c r="BF34" s="229">
        <v>0</v>
      </c>
      <c r="BG34" s="229">
        <v>0</v>
      </c>
      <c r="BH34" s="229">
        <v>0</v>
      </c>
      <c r="BI34" s="229">
        <v>0</v>
      </c>
      <c r="BJ34" s="229">
        <v>0</v>
      </c>
      <c r="BK34" s="229">
        <v>0</v>
      </c>
      <c r="BL34" s="229"/>
      <c r="BM34" s="229" t="s">
        <v>673</v>
      </c>
      <c r="BN34" s="229"/>
      <c r="BO34" s="229" t="s">
        <v>673</v>
      </c>
      <c r="BP34" s="234"/>
      <c r="BQ34" s="229"/>
      <c r="BR34" s="229"/>
      <c r="BS34" s="229"/>
      <c r="BT34" s="226"/>
      <c r="BU34" s="226"/>
      <c r="BV34" s="229"/>
      <c r="BW34" s="229" t="s">
        <v>873</v>
      </c>
      <c r="BX34" s="229"/>
      <c r="BY34" s="226"/>
      <c r="BZ34" s="270" t="s">
        <v>1000</v>
      </c>
      <c r="CA34" s="235" t="s">
        <v>426</v>
      </c>
    </row>
    <row r="35" spans="1:121" ht="14" customHeight="1" x14ac:dyDescent="0.2">
      <c r="A35" s="264">
        <v>767</v>
      </c>
      <c r="B35" s="227">
        <v>42929</v>
      </c>
      <c r="C35" s="228" t="s">
        <v>868</v>
      </c>
      <c r="D35" s="226" t="s">
        <v>663</v>
      </c>
      <c r="E35" s="226"/>
      <c r="F35" s="226" t="s">
        <v>923</v>
      </c>
      <c r="G35" s="227">
        <v>42916</v>
      </c>
      <c r="H35" s="229" t="s">
        <v>672</v>
      </c>
      <c r="I35" s="229" t="s">
        <v>673</v>
      </c>
      <c r="J35" s="229"/>
      <c r="K35" s="226" t="s">
        <v>139</v>
      </c>
      <c r="L35" s="226" t="s">
        <v>967</v>
      </c>
      <c r="M35" s="230">
        <v>71.927272727272722</v>
      </c>
      <c r="N35" s="230">
        <v>27.754545454545454</v>
      </c>
      <c r="O35" s="226" t="s">
        <v>875</v>
      </c>
      <c r="P35" s="231">
        <v>1000</v>
      </c>
      <c r="Q35" s="230">
        <v>29.799999999999997</v>
      </c>
      <c r="R35" s="231"/>
      <c r="S35" s="230"/>
      <c r="T35" s="231"/>
      <c r="U35" s="230"/>
      <c r="V35" s="230"/>
      <c r="W35" s="230"/>
      <c r="X35" s="226"/>
      <c r="Y35" s="230"/>
      <c r="Z35" s="230"/>
      <c r="AA35" s="230"/>
      <c r="AB35" s="230"/>
      <c r="AC35" s="230"/>
      <c r="AD35" s="230"/>
      <c r="AE35" s="230">
        <v>12.736363636363635</v>
      </c>
      <c r="AF35" s="231"/>
      <c r="AG35" s="226"/>
      <c r="AH35" s="230"/>
      <c r="AI35" s="226"/>
      <c r="AJ35" s="226"/>
      <c r="AK35" s="230"/>
      <c r="AL35" s="226"/>
      <c r="AM35" s="230"/>
      <c r="AN35" s="230"/>
      <c r="AO35" s="226" t="s">
        <v>924</v>
      </c>
      <c r="AP35" s="229" t="s">
        <v>673</v>
      </c>
      <c r="AQ35" s="229"/>
      <c r="AR35" s="229"/>
      <c r="AS35" s="233"/>
      <c r="AT35" s="229">
        <v>6</v>
      </c>
      <c r="AU35" s="229"/>
      <c r="AV35" s="229"/>
      <c r="AW35" s="229"/>
      <c r="AX35" s="229" t="s">
        <v>638</v>
      </c>
      <c r="AY35" s="226"/>
      <c r="AZ35" s="229">
        <v>0</v>
      </c>
      <c r="BA35" s="229">
        <v>0</v>
      </c>
      <c r="BB35" s="229">
        <v>0</v>
      </c>
      <c r="BC35" s="229">
        <v>0</v>
      </c>
      <c r="BD35" s="229">
        <v>0</v>
      </c>
      <c r="BE35" s="229">
        <v>0</v>
      </c>
      <c r="BF35" s="229">
        <v>0</v>
      </c>
      <c r="BG35" s="229">
        <v>0</v>
      </c>
      <c r="BH35" s="229">
        <v>0</v>
      </c>
      <c r="BI35" s="229">
        <v>0</v>
      </c>
      <c r="BJ35" s="229">
        <v>0</v>
      </c>
      <c r="BK35" s="229">
        <v>0</v>
      </c>
      <c r="BL35" s="229"/>
      <c r="BM35" s="229" t="s">
        <v>673</v>
      </c>
      <c r="BN35" s="229">
        <v>12</v>
      </c>
      <c r="BO35" s="229" t="s">
        <v>673</v>
      </c>
      <c r="BP35" s="234"/>
      <c r="BQ35" s="229"/>
      <c r="BR35" s="229"/>
      <c r="BS35" s="229"/>
      <c r="BT35" s="235"/>
      <c r="BU35" s="235"/>
      <c r="BV35" s="229"/>
      <c r="BW35" s="229" t="s">
        <v>873</v>
      </c>
      <c r="BX35" s="229"/>
      <c r="BY35" s="226"/>
      <c r="BZ35" s="270" t="s">
        <v>1001</v>
      </c>
      <c r="CA35" s="226" t="s">
        <v>426</v>
      </c>
    </row>
    <row r="36" spans="1:121" s="278" customFormat="1" ht="14" customHeight="1" x14ac:dyDescent="0.2">
      <c r="A36" s="264">
        <v>13106</v>
      </c>
      <c r="B36" s="227">
        <v>42926</v>
      </c>
      <c r="C36" s="271" t="s">
        <v>868</v>
      </c>
      <c r="D36" s="272" t="s">
        <v>663</v>
      </c>
      <c r="E36" s="272"/>
      <c r="F36" s="272" t="s">
        <v>923</v>
      </c>
      <c r="G36" s="236">
        <v>42922</v>
      </c>
      <c r="H36" s="273" t="s">
        <v>672</v>
      </c>
      <c r="I36" s="273" t="s">
        <v>673</v>
      </c>
      <c r="J36" s="273"/>
      <c r="K36" s="272" t="s">
        <v>140</v>
      </c>
      <c r="L36" s="226" t="s">
        <v>914</v>
      </c>
      <c r="M36" s="274">
        <v>66.48181818181817</v>
      </c>
      <c r="N36" s="274">
        <v>29.563636363636363</v>
      </c>
      <c r="O36" s="272"/>
      <c r="P36" s="275"/>
      <c r="Q36" s="272"/>
      <c r="R36" s="275"/>
      <c r="S36" s="274"/>
      <c r="T36" s="275"/>
      <c r="U36" s="274"/>
      <c r="V36" s="274"/>
      <c r="W36" s="274"/>
      <c r="X36" s="272"/>
      <c r="Y36" s="274"/>
      <c r="Z36" s="274"/>
      <c r="AA36" s="274"/>
      <c r="AB36" s="274"/>
      <c r="AC36" s="274"/>
      <c r="AD36" s="274"/>
      <c r="AE36" s="274">
        <v>14.209090909090909</v>
      </c>
      <c r="AF36" s="275"/>
      <c r="AG36" s="272"/>
      <c r="AH36" s="274"/>
      <c r="AI36" s="272"/>
      <c r="AJ36" s="272"/>
      <c r="AK36" s="274"/>
      <c r="AL36" s="272"/>
      <c r="AM36" s="274"/>
      <c r="AN36" s="274"/>
      <c r="AO36" s="272" t="s">
        <v>924</v>
      </c>
      <c r="AP36" s="273" t="s">
        <v>673</v>
      </c>
      <c r="AQ36" s="273"/>
      <c r="AR36" s="273"/>
      <c r="AS36" s="276"/>
      <c r="AT36" s="273"/>
      <c r="AU36" s="273"/>
      <c r="AV36" s="273"/>
      <c r="AW36" s="273"/>
      <c r="AX36" s="273" t="s">
        <v>638</v>
      </c>
      <c r="AY36" s="272"/>
      <c r="AZ36" s="273">
        <v>0</v>
      </c>
      <c r="BA36" s="273">
        <v>0</v>
      </c>
      <c r="BB36" s="273">
        <v>0</v>
      </c>
      <c r="BC36" s="273">
        <v>0</v>
      </c>
      <c r="BD36" s="273">
        <v>0</v>
      </c>
      <c r="BE36" s="273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273"/>
      <c r="BM36" s="273" t="s">
        <v>673</v>
      </c>
      <c r="BN36" s="229">
        <v>12</v>
      </c>
      <c r="BO36" s="273" t="s">
        <v>673</v>
      </c>
      <c r="BP36" s="277"/>
      <c r="BQ36" s="273"/>
      <c r="BR36" s="229">
        <v>12</v>
      </c>
      <c r="BS36" s="273"/>
      <c r="BT36" s="272"/>
      <c r="BU36" s="272"/>
      <c r="BV36" s="273"/>
      <c r="BW36" s="273" t="s">
        <v>873</v>
      </c>
      <c r="BX36" s="273"/>
      <c r="BY36" s="272"/>
      <c r="BZ36" s="265" t="s">
        <v>942</v>
      </c>
      <c r="CA36" s="235" t="s">
        <v>426</v>
      </c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</row>
    <row r="37" spans="1:121" ht="14" customHeight="1" x14ac:dyDescent="0.15">
      <c r="A37" s="264">
        <v>11319</v>
      </c>
      <c r="B37" s="227">
        <v>42928</v>
      </c>
      <c r="C37" s="228" t="s">
        <v>868</v>
      </c>
      <c r="D37" s="226" t="s">
        <v>663</v>
      </c>
      <c r="E37" s="226"/>
      <c r="F37" s="226" t="s">
        <v>923</v>
      </c>
      <c r="G37" s="227">
        <v>42916</v>
      </c>
      <c r="H37" s="229" t="s">
        <v>672</v>
      </c>
      <c r="I37" s="229" t="s">
        <v>673</v>
      </c>
      <c r="J37" s="229"/>
      <c r="K37" s="226" t="s">
        <v>141</v>
      </c>
      <c r="L37" s="226" t="s">
        <v>919</v>
      </c>
      <c r="M37" s="230">
        <v>82</v>
      </c>
      <c r="N37" s="230">
        <v>31.099999999999998</v>
      </c>
      <c r="O37" s="226"/>
      <c r="P37" s="231"/>
      <c r="Q37" s="226"/>
      <c r="R37" s="231"/>
      <c r="S37" s="230"/>
      <c r="T37" s="226"/>
      <c r="U37" s="230"/>
      <c r="V37" s="230"/>
      <c r="W37" s="230"/>
      <c r="X37" s="231"/>
      <c r="Y37" s="230"/>
      <c r="Z37" s="230"/>
      <c r="AA37" s="230"/>
      <c r="AB37" s="230"/>
      <c r="AC37" s="230"/>
      <c r="AD37" s="230"/>
      <c r="AE37" s="230">
        <v>15.518181818181818</v>
      </c>
      <c r="AF37" s="231"/>
      <c r="AG37" s="226"/>
      <c r="AH37" s="230"/>
      <c r="AI37" s="226"/>
      <c r="AJ37" s="226"/>
      <c r="AK37" s="230"/>
      <c r="AL37" s="226"/>
      <c r="AM37" s="230"/>
      <c r="AN37" s="230"/>
      <c r="AO37" s="226" t="s">
        <v>924</v>
      </c>
      <c r="AP37" s="229" t="s">
        <v>673</v>
      </c>
      <c r="AQ37" s="229"/>
      <c r="AR37" s="229"/>
      <c r="AS37" s="233"/>
      <c r="AT37" s="229">
        <v>3</v>
      </c>
      <c r="AU37" s="229"/>
      <c r="AV37" s="229"/>
      <c r="AW37" s="229"/>
      <c r="AX37" s="229" t="s">
        <v>638</v>
      </c>
      <c r="AY37" s="226"/>
      <c r="AZ37" s="229">
        <v>0</v>
      </c>
      <c r="BA37" s="229">
        <v>0</v>
      </c>
      <c r="BB37" s="229">
        <v>0</v>
      </c>
      <c r="BC37" s="229">
        <v>0</v>
      </c>
      <c r="BD37" s="229">
        <v>0</v>
      </c>
      <c r="BE37" s="229">
        <v>0</v>
      </c>
      <c r="BF37" s="229">
        <v>0</v>
      </c>
      <c r="BG37" s="229">
        <v>0</v>
      </c>
      <c r="BH37" s="229">
        <v>0</v>
      </c>
      <c r="BI37" s="229">
        <v>0</v>
      </c>
      <c r="BJ37" s="229">
        <v>0</v>
      </c>
      <c r="BK37" s="229">
        <v>0</v>
      </c>
      <c r="BL37" s="229"/>
      <c r="BM37" s="229" t="s">
        <v>673</v>
      </c>
      <c r="BN37" s="229"/>
      <c r="BO37" s="229" t="s">
        <v>673</v>
      </c>
      <c r="BP37" s="234"/>
      <c r="BQ37" s="229"/>
      <c r="BR37" s="229"/>
      <c r="BS37" s="229"/>
      <c r="BT37" s="235"/>
      <c r="BU37" s="235"/>
      <c r="BV37" s="229"/>
      <c r="BW37" s="229" t="s">
        <v>873</v>
      </c>
      <c r="BX37" s="229"/>
      <c r="BY37" s="235"/>
      <c r="BZ37" s="280" t="s">
        <v>570</v>
      </c>
      <c r="CA37" s="226" t="s">
        <v>426</v>
      </c>
    </row>
    <row r="38" spans="1:121" ht="13" customHeight="1" x14ac:dyDescent="0.2">
      <c r="A38" s="264">
        <v>13689</v>
      </c>
      <c r="B38" s="227">
        <v>42929</v>
      </c>
      <c r="C38" s="228" t="s">
        <v>868</v>
      </c>
      <c r="D38" s="226" t="s">
        <v>663</v>
      </c>
      <c r="E38" s="226"/>
      <c r="F38" s="226" t="s">
        <v>923</v>
      </c>
      <c r="G38" s="227">
        <v>42658</v>
      </c>
      <c r="H38" s="229" t="s">
        <v>672</v>
      </c>
      <c r="I38" s="229" t="s">
        <v>673</v>
      </c>
      <c r="J38" s="229"/>
      <c r="K38" s="226" t="s">
        <v>708</v>
      </c>
      <c r="L38" s="226" t="s">
        <v>969</v>
      </c>
      <c r="M38" s="230">
        <v>56.36363636363636</v>
      </c>
      <c r="N38" s="230">
        <v>24.554545454545455</v>
      </c>
      <c r="O38" s="226"/>
      <c r="P38" s="231"/>
      <c r="Q38" s="226"/>
      <c r="R38" s="231"/>
      <c r="S38" s="230"/>
      <c r="T38" s="226"/>
      <c r="U38" s="230"/>
      <c r="V38" s="230"/>
      <c r="W38" s="230"/>
      <c r="X38" s="226"/>
      <c r="Y38" s="230"/>
      <c r="Z38" s="230"/>
      <c r="AA38" s="230"/>
      <c r="AB38" s="230"/>
      <c r="AC38" s="230"/>
      <c r="AD38" s="230"/>
      <c r="AE38" s="230">
        <v>15.454545454545453</v>
      </c>
      <c r="AF38" s="231"/>
      <c r="AG38" s="226"/>
      <c r="AH38" s="230"/>
      <c r="AI38" s="226"/>
      <c r="AJ38" s="226"/>
      <c r="AK38" s="230"/>
      <c r="AL38" s="226"/>
      <c r="AM38" s="230"/>
      <c r="AN38" s="230"/>
      <c r="AO38" s="226" t="s">
        <v>924</v>
      </c>
      <c r="AP38" s="229" t="s">
        <v>673</v>
      </c>
      <c r="AQ38" s="229"/>
      <c r="AR38" s="229"/>
      <c r="AS38" s="233"/>
      <c r="AT38" s="229">
        <v>8.5</v>
      </c>
      <c r="AU38" s="229"/>
      <c r="AV38" s="229"/>
      <c r="AW38" s="229"/>
      <c r="AX38" s="229" t="s">
        <v>638</v>
      </c>
      <c r="AY38" s="226"/>
      <c r="AZ38" s="229">
        <v>0</v>
      </c>
      <c r="BA38" s="229">
        <v>0</v>
      </c>
      <c r="BB38" s="229">
        <v>0</v>
      </c>
      <c r="BC38" s="229">
        <v>0</v>
      </c>
      <c r="BD38" s="229">
        <v>0</v>
      </c>
      <c r="BE38" s="229">
        <v>0</v>
      </c>
      <c r="BF38" s="229">
        <v>0</v>
      </c>
      <c r="BG38" s="229">
        <v>0</v>
      </c>
      <c r="BH38" s="229">
        <v>0</v>
      </c>
      <c r="BI38" s="229">
        <v>0</v>
      </c>
      <c r="BJ38" s="229">
        <v>0</v>
      </c>
      <c r="BK38" s="229">
        <v>0</v>
      </c>
      <c r="BL38" s="229"/>
      <c r="BM38" s="229" t="s">
        <v>673</v>
      </c>
      <c r="BN38" s="229"/>
      <c r="BO38" s="229" t="s">
        <v>673</v>
      </c>
      <c r="BP38" s="234">
        <v>130.83636363636361</v>
      </c>
      <c r="BQ38" s="229"/>
      <c r="BR38" s="229"/>
      <c r="BS38" s="279">
        <v>42915</v>
      </c>
      <c r="BT38" s="226"/>
      <c r="BU38" s="235"/>
      <c r="BV38" s="229"/>
      <c r="BW38" s="229" t="s">
        <v>873</v>
      </c>
      <c r="BX38" s="229"/>
      <c r="BY38" s="235"/>
      <c r="BZ38" s="266" t="s">
        <v>1002</v>
      </c>
      <c r="CA38" s="235" t="s">
        <v>588</v>
      </c>
    </row>
    <row r="39" spans="1:121" ht="13" customHeight="1" x14ac:dyDescent="0.15">
      <c r="A39" s="264">
        <v>13691</v>
      </c>
      <c r="B39" s="227">
        <v>42930</v>
      </c>
      <c r="C39" s="228" t="s">
        <v>868</v>
      </c>
      <c r="D39" s="226" t="s">
        <v>663</v>
      </c>
      <c r="E39" s="226"/>
      <c r="F39" s="226" t="s">
        <v>923</v>
      </c>
      <c r="G39" s="227">
        <v>42916</v>
      </c>
      <c r="H39" s="229" t="s">
        <v>672</v>
      </c>
      <c r="I39" s="229" t="s">
        <v>673</v>
      </c>
      <c r="J39" s="229"/>
      <c r="K39" s="226" t="s">
        <v>142</v>
      </c>
      <c r="L39" s="226" t="s">
        <v>971</v>
      </c>
      <c r="M39" s="230">
        <v>97</v>
      </c>
      <c r="N39" s="230">
        <v>30.136363636363633</v>
      </c>
      <c r="O39" s="226" t="s">
        <v>875</v>
      </c>
      <c r="P39" s="231">
        <v>1000</v>
      </c>
      <c r="Q39" s="230">
        <v>33.136363636363633</v>
      </c>
      <c r="R39" s="231"/>
      <c r="S39" s="230"/>
      <c r="T39" s="231"/>
      <c r="U39" s="230"/>
      <c r="V39" s="230"/>
      <c r="W39" s="230"/>
      <c r="X39" s="226"/>
      <c r="Y39" s="230"/>
      <c r="Z39" s="230"/>
      <c r="AA39" s="230"/>
      <c r="AB39" s="230"/>
      <c r="AC39" s="230"/>
      <c r="AD39" s="230"/>
      <c r="AE39" s="230">
        <v>14.59090909090909</v>
      </c>
      <c r="AF39" s="231"/>
      <c r="AG39" s="226"/>
      <c r="AH39" s="230"/>
      <c r="AI39" s="226"/>
      <c r="AJ39" s="226"/>
      <c r="AK39" s="230"/>
      <c r="AL39" s="226"/>
      <c r="AM39" s="230"/>
      <c r="AN39" s="230"/>
      <c r="AO39" s="226" t="s">
        <v>924</v>
      </c>
      <c r="AP39" s="229" t="s">
        <v>673</v>
      </c>
      <c r="AQ39" s="229"/>
      <c r="AR39" s="229"/>
      <c r="AS39" s="233"/>
      <c r="AT39" s="229">
        <v>4.5</v>
      </c>
      <c r="AU39" s="229"/>
      <c r="AV39" s="229"/>
      <c r="AW39" s="229"/>
      <c r="AX39" s="229" t="s">
        <v>673</v>
      </c>
      <c r="AY39" s="226"/>
      <c r="AZ39" s="229">
        <v>10</v>
      </c>
      <c r="BA39" s="229">
        <v>0</v>
      </c>
      <c r="BB39" s="229">
        <v>0</v>
      </c>
      <c r="BC39" s="229">
        <v>0</v>
      </c>
      <c r="BD39" s="229">
        <v>0</v>
      </c>
      <c r="BE39" s="229">
        <v>0</v>
      </c>
      <c r="BF39" s="229">
        <v>0</v>
      </c>
      <c r="BG39" s="229">
        <v>0</v>
      </c>
      <c r="BH39" s="229">
        <v>0</v>
      </c>
      <c r="BI39" s="229">
        <v>0</v>
      </c>
      <c r="BJ39" s="229">
        <v>0</v>
      </c>
      <c r="BK39" s="229">
        <v>0</v>
      </c>
      <c r="BL39" s="229"/>
      <c r="BM39" s="229" t="s">
        <v>673</v>
      </c>
      <c r="BN39" s="229"/>
      <c r="BO39" s="229" t="s">
        <v>673</v>
      </c>
      <c r="BP39" s="234"/>
      <c r="BQ39" s="229"/>
      <c r="BR39" s="229"/>
      <c r="BS39" s="229"/>
      <c r="BT39" s="226"/>
      <c r="BU39" s="226"/>
      <c r="BV39" s="229"/>
      <c r="BW39" s="229" t="s">
        <v>873</v>
      </c>
      <c r="BX39" s="229"/>
      <c r="BY39" s="226"/>
      <c r="BZ39" s="281" t="s">
        <v>1003</v>
      </c>
      <c r="CA39" s="226" t="s">
        <v>426</v>
      </c>
    </row>
    <row r="40" spans="1:121" ht="13" customHeight="1" x14ac:dyDescent="0.15">
      <c r="A40" s="264">
        <v>15305</v>
      </c>
      <c r="B40" s="227">
        <v>42926</v>
      </c>
      <c r="C40" s="228" t="s">
        <v>868</v>
      </c>
      <c r="D40" s="226" t="s">
        <v>663</v>
      </c>
      <c r="E40" s="226"/>
      <c r="F40" s="226" t="s">
        <v>923</v>
      </c>
      <c r="G40" s="227">
        <v>42900</v>
      </c>
      <c r="H40" s="229" t="s">
        <v>672</v>
      </c>
      <c r="I40" s="229" t="s">
        <v>673</v>
      </c>
      <c r="J40" s="229"/>
      <c r="K40" s="226" t="s">
        <v>714</v>
      </c>
      <c r="L40" s="226" t="s">
        <v>973</v>
      </c>
      <c r="M40" s="230">
        <v>94.999999999999986</v>
      </c>
      <c r="N40" s="230">
        <v>24.499999999999996</v>
      </c>
      <c r="O40" s="226"/>
      <c r="P40" s="231"/>
      <c r="Q40" s="226"/>
      <c r="R40" s="231"/>
      <c r="S40" s="230"/>
      <c r="T40" s="231"/>
      <c r="U40" s="230"/>
      <c r="V40" s="230"/>
      <c r="W40" s="230"/>
      <c r="X40" s="226"/>
      <c r="Y40" s="230"/>
      <c r="Z40" s="230"/>
      <c r="AA40" s="230"/>
      <c r="AB40" s="230"/>
      <c r="AC40" s="230"/>
      <c r="AD40" s="230"/>
      <c r="AE40" s="230">
        <v>15.5</v>
      </c>
      <c r="AF40" s="231"/>
      <c r="AG40" s="226"/>
      <c r="AH40" s="230"/>
      <c r="AI40" s="226"/>
      <c r="AJ40" s="226"/>
      <c r="AK40" s="230"/>
      <c r="AL40" s="226"/>
      <c r="AM40" s="230"/>
      <c r="AN40" s="230"/>
      <c r="AO40" s="269" t="s">
        <v>924</v>
      </c>
      <c r="AP40" s="229" t="s">
        <v>673</v>
      </c>
      <c r="AQ40" s="229"/>
      <c r="AR40" s="229"/>
      <c r="AS40" s="233"/>
      <c r="AT40" s="229">
        <v>3</v>
      </c>
      <c r="AU40" s="229"/>
      <c r="AV40" s="229"/>
      <c r="AW40" s="229"/>
      <c r="AX40" s="229" t="s">
        <v>638</v>
      </c>
      <c r="AY40" s="226"/>
      <c r="AZ40" s="229">
        <v>0</v>
      </c>
      <c r="BA40" s="229">
        <v>0</v>
      </c>
      <c r="BB40" s="229">
        <v>0</v>
      </c>
      <c r="BC40" s="229">
        <v>0</v>
      </c>
      <c r="BD40" s="229">
        <v>0</v>
      </c>
      <c r="BE40" s="229">
        <v>0</v>
      </c>
      <c r="BF40" s="229">
        <v>0</v>
      </c>
      <c r="BG40" s="229">
        <v>0</v>
      </c>
      <c r="BH40" s="229">
        <v>0</v>
      </c>
      <c r="BI40" s="229">
        <v>0</v>
      </c>
      <c r="BJ40" s="229">
        <v>0</v>
      </c>
      <c r="BK40" s="229">
        <v>0</v>
      </c>
      <c r="BL40" s="229"/>
      <c r="BM40" s="229" t="s">
        <v>673</v>
      </c>
      <c r="BN40" s="229"/>
      <c r="BO40" s="229" t="s">
        <v>673</v>
      </c>
      <c r="BP40" s="234"/>
      <c r="BQ40" s="229"/>
      <c r="BR40" s="229"/>
      <c r="BS40" s="229"/>
      <c r="BT40" s="235"/>
      <c r="BU40" s="235"/>
      <c r="BV40" s="229"/>
      <c r="BW40" s="229" t="s">
        <v>873</v>
      </c>
      <c r="BX40" s="229">
        <v>1</v>
      </c>
      <c r="BY40" s="226"/>
      <c r="BZ40" s="226" t="s">
        <v>974</v>
      </c>
      <c r="CA40" s="235" t="s">
        <v>729</v>
      </c>
    </row>
    <row r="41" spans="1:121" ht="13" customHeight="1" x14ac:dyDescent="0.15">
      <c r="A41" s="264">
        <v>13298</v>
      </c>
      <c r="B41" s="155">
        <v>42934</v>
      </c>
      <c r="C41" s="98" t="s">
        <v>868</v>
      </c>
      <c r="D41" s="182" t="s">
        <v>663</v>
      </c>
      <c r="E41" s="99"/>
      <c r="F41" s="99" t="s">
        <v>923</v>
      </c>
      <c r="G41" s="236">
        <v>42918</v>
      </c>
      <c r="H41" s="100" t="s">
        <v>673</v>
      </c>
      <c r="I41" s="100" t="s">
        <v>722</v>
      </c>
      <c r="J41" s="100"/>
      <c r="K41" s="182" t="s">
        <v>720</v>
      </c>
      <c r="L41" s="99" t="s">
        <v>976</v>
      </c>
      <c r="M41" s="183">
        <v>91.590909090909079</v>
      </c>
      <c r="N41" s="183">
        <v>26.554545454545455</v>
      </c>
      <c r="O41" s="99"/>
      <c r="P41" s="101"/>
      <c r="Q41" s="183" t="s">
        <v>871</v>
      </c>
      <c r="R41" s="101"/>
      <c r="S41" s="183"/>
      <c r="T41" s="101"/>
      <c r="U41" s="183"/>
      <c r="V41" s="99"/>
      <c r="W41" s="99"/>
      <c r="X41" s="101"/>
      <c r="Y41" s="99"/>
      <c r="Z41" s="101"/>
      <c r="AA41" s="99"/>
      <c r="AB41" s="101"/>
      <c r="AC41" s="99"/>
      <c r="AD41" s="99"/>
      <c r="AE41" s="183">
        <v>15.28181818181818</v>
      </c>
      <c r="AF41" s="183" t="s">
        <v>871</v>
      </c>
      <c r="AG41" s="183" t="s">
        <v>871</v>
      </c>
      <c r="AH41" s="99" t="s">
        <v>871</v>
      </c>
      <c r="AI41" s="99" t="s">
        <v>871</v>
      </c>
      <c r="AJ41" s="99" t="s">
        <v>871</v>
      </c>
      <c r="AK41" s="99" t="s">
        <v>871</v>
      </c>
      <c r="AL41" s="99" t="s">
        <v>871</v>
      </c>
      <c r="AM41" s="99" t="s">
        <v>871</v>
      </c>
      <c r="AN41" s="99" t="s">
        <v>871</v>
      </c>
      <c r="AO41" s="99" t="s">
        <v>924</v>
      </c>
      <c r="AP41" s="100" t="s">
        <v>673</v>
      </c>
      <c r="AQ41" s="100"/>
      <c r="AR41" s="100"/>
      <c r="AS41" s="102"/>
      <c r="AT41" s="100"/>
      <c r="AU41" s="100"/>
      <c r="AV41" s="100"/>
      <c r="AW41" s="100"/>
      <c r="AX41" s="100" t="s">
        <v>638</v>
      </c>
      <c r="AY41" s="99"/>
      <c r="AZ41" s="100">
        <v>0</v>
      </c>
      <c r="BA41" s="100">
        <v>0</v>
      </c>
      <c r="BB41" s="100">
        <v>0</v>
      </c>
      <c r="BC41" s="100">
        <v>0</v>
      </c>
      <c r="BD41" s="100">
        <v>0</v>
      </c>
      <c r="BE41" s="100">
        <v>0</v>
      </c>
      <c r="BF41" s="100">
        <v>0</v>
      </c>
      <c r="BG41" s="100">
        <v>0</v>
      </c>
      <c r="BH41" s="100">
        <v>0</v>
      </c>
      <c r="BI41" s="100">
        <v>0</v>
      </c>
      <c r="BJ41" s="100">
        <v>0</v>
      </c>
      <c r="BK41" s="100">
        <v>0</v>
      </c>
      <c r="BL41" s="100"/>
      <c r="BM41" s="100" t="s">
        <v>673</v>
      </c>
      <c r="BN41" s="100"/>
      <c r="BO41" s="100" t="s">
        <v>673</v>
      </c>
      <c r="BP41" s="222">
        <v>163.63</v>
      </c>
      <c r="BQ41" s="100"/>
      <c r="BR41" s="100"/>
      <c r="BS41" s="100"/>
      <c r="BT41" s="103"/>
      <c r="BU41" s="103"/>
      <c r="BV41" s="100"/>
      <c r="BW41" s="100" t="s">
        <v>873</v>
      </c>
      <c r="BX41" s="100">
        <v>1</v>
      </c>
      <c r="BY41" s="182" t="s">
        <v>880</v>
      </c>
      <c r="BZ41" s="282" t="s">
        <v>928</v>
      </c>
      <c r="CA41" s="235" t="s">
        <v>426</v>
      </c>
    </row>
    <row r="42" spans="1:121" ht="13" customHeight="1" x14ac:dyDescent="0.15">
      <c r="A42" s="264">
        <v>13255</v>
      </c>
      <c r="B42" s="227">
        <v>42929</v>
      </c>
      <c r="C42" s="228" t="s">
        <v>868</v>
      </c>
      <c r="D42" s="226" t="s">
        <v>663</v>
      </c>
      <c r="E42" s="226"/>
      <c r="F42" s="226" t="s">
        <v>923</v>
      </c>
      <c r="G42" s="227">
        <v>42916</v>
      </c>
      <c r="H42" s="229" t="s">
        <v>672</v>
      </c>
      <c r="I42" s="229" t="s">
        <v>673</v>
      </c>
      <c r="J42" s="229"/>
      <c r="K42" s="226" t="s">
        <v>889</v>
      </c>
      <c r="L42" s="226" t="s">
        <v>668</v>
      </c>
      <c r="M42" s="230">
        <v>61.809090909090898</v>
      </c>
      <c r="N42" s="230">
        <v>31.054545454545448</v>
      </c>
      <c r="O42" s="226"/>
      <c r="P42" s="231"/>
      <c r="Q42" s="226"/>
      <c r="R42" s="231"/>
      <c r="S42" s="230"/>
      <c r="T42" s="231"/>
      <c r="U42" s="230"/>
      <c r="V42" s="230"/>
      <c r="W42" s="230"/>
      <c r="X42" s="226"/>
      <c r="Y42" s="230"/>
      <c r="Z42" s="230"/>
      <c r="AA42" s="230"/>
      <c r="AB42" s="230"/>
      <c r="AC42" s="230"/>
      <c r="AD42" s="230"/>
      <c r="AE42" s="230">
        <v>16</v>
      </c>
      <c r="AF42" s="231"/>
      <c r="AG42" s="226"/>
      <c r="AH42" s="230"/>
      <c r="AI42" s="226"/>
      <c r="AJ42" s="226"/>
      <c r="AK42" s="230"/>
      <c r="AL42" s="226"/>
      <c r="AM42" s="230"/>
      <c r="AN42" s="230"/>
      <c r="AO42" s="226" t="s">
        <v>924</v>
      </c>
      <c r="AP42" s="229" t="s">
        <v>673</v>
      </c>
      <c r="AQ42" s="229"/>
      <c r="AR42" s="229"/>
      <c r="AS42" s="233"/>
      <c r="AT42" s="229">
        <v>6</v>
      </c>
      <c r="AU42" s="229"/>
      <c r="AV42" s="229"/>
      <c r="AW42" s="229"/>
      <c r="AX42" s="229" t="s">
        <v>638</v>
      </c>
      <c r="AY42" s="226"/>
      <c r="AZ42" s="229">
        <v>0</v>
      </c>
      <c r="BA42" s="229">
        <v>24</v>
      </c>
      <c r="BB42" s="229">
        <v>0</v>
      </c>
      <c r="BC42" s="229">
        <v>0</v>
      </c>
      <c r="BD42" s="229">
        <v>0</v>
      </c>
      <c r="BE42" s="229">
        <v>0</v>
      </c>
      <c r="BF42" s="229">
        <v>0</v>
      </c>
      <c r="BG42" s="229">
        <v>0</v>
      </c>
      <c r="BH42" s="229">
        <v>0</v>
      </c>
      <c r="BI42" s="229">
        <v>0</v>
      </c>
      <c r="BJ42" s="229">
        <v>0</v>
      </c>
      <c r="BK42" s="229">
        <v>0</v>
      </c>
      <c r="BL42" s="229"/>
      <c r="BM42" s="229" t="s">
        <v>673</v>
      </c>
      <c r="BN42" s="229"/>
      <c r="BO42" s="229" t="s">
        <v>673</v>
      </c>
      <c r="BP42" s="234"/>
      <c r="BQ42" s="229"/>
      <c r="BR42" s="229"/>
      <c r="BS42" s="229"/>
      <c r="BT42" s="226"/>
      <c r="BU42" s="226"/>
      <c r="BV42" s="229"/>
      <c r="BW42" s="229" t="s">
        <v>873</v>
      </c>
      <c r="BX42" s="229"/>
      <c r="BY42" s="226" t="s">
        <v>977</v>
      </c>
      <c r="BZ42" s="235" t="s">
        <v>570</v>
      </c>
      <c r="CA42" s="235" t="s">
        <v>426</v>
      </c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</row>
    <row r="43" spans="1:121" ht="13" customHeight="1" x14ac:dyDescent="0.2">
      <c r="A43" s="264">
        <v>12042</v>
      </c>
      <c r="B43" s="227">
        <v>42929</v>
      </c>
      <c r="C43" s="228" t="s">
        <v>868</v>
      </c>
      <c r="D43" s="226" t="s">
        <v>663</v>
      </c>
      <c r="E43" s="226"/>
      <c r="F43" s="226" t="s">
        <v>923</v>
      </c>
      <c r="G43" s="227">
        <v>42587</v>
      </c>
      <c r="H43" s="229" t="s">
        <v>672</v>
      </c>
      <c r="I43" s="229" t="s">
        <v>673</v>
      </c>
      <c r="J43" s="229"/>
      <c r="K43" s="226" t="s">
        <v>896</v>
      </c>
      <c r="L43" s="226" t="s">
        <v>897</v>
      </c>
      <c r="M43" s="230">
        <v>85.799999999999983</v>
      </c>
      <c r="N43" s="230">
        <v>28.25454545454545</v>
      </c>
      <c r="O43" s="226"/>
      <c r="P43" s="226"/>
      <c r="Q43" s="226"/>
      <c r="R43" s="231"/>
      <c r="S43" s="230"/>
      <c r="T43" s="226"/>
      <c r="U43" s="230"/>
      <c r="V43" s="230"/>
      <c r="W43" s="230"/>
      <c r="X43" s="231"/>
      <c r="Y43" s="230"/>
      <c r="Z43" s="230"/>
      <c r="AA43" s="230"/>
      <c r="AB43" s="230"/>
      <c r="AC43" s="230"/>
      <c r="AD43" s="230"/>
      <c r="AE43" s="230">
        <v>15.618181818181817</v>
      </c>
      <c r="AF43" s="231"/>
      <c r="AG43" s="226"/>
      <c r="AH43" s="230"/>
      <c r="AI43" s="226"/>
      <c r="AJ43" s="226"/>
      <c r="AK43" s="230"/>
      <c r="AL43" s="226"/>
      <c r="AM43" s="230"/>
      <c r="AN43" s="230"/>
      <c r="AO43" s="269" t="s">
        <v>924</v>
      </c>
      <c r="AP43" s="229" t="s">
        <v>673</v>
      </c>
      <c r="AQ43" s="229"/>
      <c r="AR43" s="229"/>
      <c r="AS43" s="233"/>
      <c r="AT43" s="229">
        <v>4</v>
      </c>
      <c r="AU43" s="229"/>
      <c r="AV43" s="229"/>
      <c r="AW43" s="229"/>
      <c r="AX43" s="229" t="s">
        <v>673</v>
      </c>
      <c r="AY43" s="226"/>
      <c r="AZ43" s="229">
        <v>0</v>
      </c>
      <c r="BA43" s="229">
        <v>0</v>
      </c>
      <c r="BB43" s="229">
        <v>0</v>
      </c>
      <c r="BC43" s="229">
        <v>0</v>
      </c>
      <c r="BD43" s="229">
        <v>0</v>
      </c>
      <c r="BE43" s="229">
        <v>0</v>
      </c>
      <c r="BF43" s="229">
        <v>0</v>
      </c>
      <c r="BG43" s="229">
        <v>0</v>
      </c>
      <c r="BH43" s="229">
        <v>0</v>
      </c>
      <c r="BI43" s="229">
        <v>0</v>
      </c>
      <c r="BJ43" s="229">
        <v>0</v>
      </c>
      <c r="BK43" s="229">
        <v>0</v>
      </c>
      <c r="BL43" s="229"/>
      <c r="BM43" s="229" t="s">
        <v>673</v>
      </c>
      <c r="BN43" s="229">
        <v>12</v>
      </c>
      <c r="BO43" s="229" t="s">
        <v>673</v>
      </c>
      <c r="BP43" s="234"/>
      <c r="BQ43" s="229"/>
      <c r="BR43" s="229"/>
      <c r="BS43" s="229"/>
      <c r="BT43" s="226"/>
      <c r="BU43" s="235"/>
      <c r="BV43" s="229"/>
      <c r="BW43" s="229" t="s">
        <v>873</v>
      </c>
      <c r="BX43" s="229">
        <v>1</v>
      </c>
      <c r="BY43" s="235"/>
      <c r="BZ43" s="283" t="s">
        <v>953</v>
      </c>
      <c r="CA43" s="226" t="s">
        <v>588</v>
      </c>
    </row>
    <row r="44" spans="1:121" ht="13" customHeight="1" x14ac:dyDescent="0.15">
      <c r="A44" s="264">
        <v>15335</v>
      </c>
      <c r="B44" s="227">
        <v>42929</v>
      </c>
      <c r="C44" s="228" t="s">
        <v>868</v>
      </c>
      <c r="D44" s="226" t="s">
        <v>663</v>
      </c>
      <c r="E44" s="226"/>
      <c r="F44" s="226" t="s">
        <v>923</v>
      </c>
      <c r="G44" s="227">
        <v>42916</v>
      </c>
      <c r="H44" s="229" t="s">
        <v>672</v>
      </c>
      <c r="I44" s="229" t="s">
        <v>673</v>
      </c>
      <c r="J44" s="229"/>
      <c r="K44" s="226" t="s">
        <v>979</v>
      </c>
      <c r="L44" s="226" t="s">
        <v>980</v>
      </c>
      <c r="M44" s="230">
        <v>109</v>
      </c>
      <c r="N44" s="230">
        <v>28.999999999999996</v>
      </c>
      <c r="O44" s="226"/>
      <c r="P44" s="231"/>
      <c r="Q44" s="226"/>
      <c r="R44" s="231"/>
      <c r="S44" s="230"/>
      <c r="T44" s="226"/>
      <c r="U44" s="230"/>
      <c r="V44" s="230"/>
      <c r="W44" s="230"/>
      <c r="X44" s="231"/>
      <c r="Y44" s="230"/>
      <c r="Z44" s="230"/>
      <c r="AA44" s="230"/>
      <c r="AB44" s="230"/>
      <c r="AC44" s="230"/>
      <c r="AD44" s="230"/>
      <c r="AE44" s="230">
        <v>15.099999999999998</v>
      </c>
      <c r="AF44" s="231"/>
      <c r="AG44" s="226"/>
      <c r="AH44" s="230"/>
      <c r="AI44" s="226"/>
      <c r="AJ44" s="226"/>
      <c r="AK44" s="230"/>
      <c r="AL44" s="226"/>
      <c r="AM44" s="230"/>
      <c r="AN44" s="230"/>
      <c r="AO44" s="226" t="s">
        <v>924</v>
      </c>
      <c r="AP44" s="229" t="s">
        <v>673</v>
      </c>
      <c r="AQ44" s="229"/>
      <c r="AR44" s="229"/>
      <c r="AS44" s="233"/>
      <c r="AT44" s="229">
        <v>3</v>
      </c>
      <c r="AU44" s="229"/>
      <c r="AV44" s="229"/>
      <c r="AW44" s="229"/>
      <c r="AX44" s="229" t="s">
        <v>673</v>
      </c>
      <c r="AY44" s="226"/>
      <c r="AZ44" s="229">
        <v>0</v>
      </c>
      <c r="BA44" s="229">
        <v>0</v>
      </c>
      <c r="BB44" s="229">
        <v>0</v>
      </c>
      <c r="BC44" s="229">
        <v>0</v>
      </c>
      <c r="BD44" s="229">
        <v>0</v>
      </c>
      <c r="BE44" s="229">
        <v>0</v>
      </c>
      <c r="BF44" s="229">
        <v>0</v>
      </c>
      <c r="BG44" s="229">
        <v>0</v>
      </c>
      <c r="BH44" s="229">
        <v>0</v>
      </c>
      <c r="BI44" s="229">
        <v>0</v>
      </c>
      <c r="BJ44" s="229">
        <v>0</v>
      </c>
      <c r="BK44" s="229">
        <v>0</v>
      </c>
      <c r="BL44" s="229"/>
      <c r="BM44" s="229" t="s">
        <v>673</v>
      </c>
      <c r="BN44" s="229"/>
      <c r="BO44" s="229" t="s">
        <v>673</v>
      </c>
      <c r="BP44" s="234"/>
      <c r="BQ44" s="229"/>
      <c r="BR44" s="229"/>
      <c r="BS44" s="229"/>
      <c r="BT44" s="226" t="s">
        <v>981</v>
      </c>
      <c r="BU44" s="235" t="s">
        <v>982</v>
      </c>
      <c r="BV44" s="229">
        <v>50</v>
      </c>
      <c r="BW44" s="229" t="s">
        <v>873</v>
      </c>
      <c r="BX44" s="229"/>
      <c r="BY44" s="235"/>
      <c r="BZ44" s="280" t="s">
        <v>1004</v>
      </c>
      <c r="CA44" s="226" t="s">
        <v>729</v>
      </c>
    </row>
    <row r="45" spans="1:121" ht="13" customHeight="1" x14ac:dyDescent="0.2">
      <c r="A45" s="264">
        <v>11187</v>
      </c>
      <c r="B45" s="227">
        <v>42926</v>
      </c>
      <c r="C45" s="228" t="s">
        <v>868</v>
      </c>
      <c r="D45" s="226" t="s">
        <v>663</v>
      </c>
      <c r="E45" s="226"/>
      <c r="F45" s="226" t="s">
        <v>923</v>
      </c>
      <c r="G45" s="227">
        <v>42900</v>
      </c>
      <c r="H45" s="229" t="s">
        <v>672</v>
      </c>
      <c r="I45" s="229" t="s">
        <v>673</v>
      </c>
      <c r="J45" s="229"/>
      <c r="K45" s="226" t="s">
        <v>899</v>
      </c>
      <c r="L45" s="226" t="s">
        <v>721</v>
      </c>
      <c r="M45" s="230">
        <v>106.33636363636363</v>
      </c>
      <c r="N45" s="230">
        <v>22.836363636363636</v>
      </c>
      <c r="O45" s="226"/>
      <c r="P45" s="231"/>
      <c r="Q45" s="226"/>
      <c r="R45" s="231"/>
      <c r="S45" s="230"/>
      <c r="T45" s="231"/>
      <c r="U45" s="230"/>
      <c r="V45" s="230"/>
      <c r="W45" s="230"/>
      <c r="X45" s="226"/>
      <c r="Y45" s="230"/>
      <c r="Z45" s="230"/>
      <c r="AA45" s="230"/>
      <c r="AB45" s="230"/>
      <c r="AC45" s="230"/>
      <c r="AD45" s="230"/>
      <c r="AE45" s="230">
        <v>16.127272727272725</v>
      </c>
      <c r="AF45" s="231"/>
      <c r="AG45" s="226"/>
      <c r="AH45" s="230"/>
      <c r="AI45" s="226"/>
      <c r="AJ45" s="226"/>
      <c r="AK45" s="230"/>
      <c r="AL45" s="226"/>
      <c r="AM45" s="230"/>
      <c r="AN45" s="230"/>
      <c r="AO45" s="226" t="s">
        <v>924</v>
      </c>
      <c r="AP45" s="229" t="s">
        <v>673</v>
      </c>
      <c r="AQ45" s="229"/>
      <c r="AR45" s="229"/>
      <c r="AS45" s="233"/>
      <c r="AT45" s="229">
        <v>2.06</v>
      </c>
      <c r="AU45" s="229"/>
      <c r="AV45" s="229"/>
      <c r="AW45" s="229"/>
      <c r="AX45" s="229" t="s">
        <v>673</v>
      </c>
      <c r="AY45" s="226"/>
      <c r="AZ45" s="229">
        <v>0</v>
      </c>
      <c r="BA45" s="229">
        <v>0</v>
      </c>
      <c r="BB45" s="229">
        <v>0</v>
      </c>
      <c r="BC45" s="229">
        <v>0</v>
      </c>
      <c r="BD45" s="229">
        <v>0</v>
      </c>
      <c r="BE45" s="229">
        <v>0</v>
      </c>
      <c r="BF45" s="229">
        <v>0</v>
      </c>
      <c r="BG45" s="229">
        <v>0</v>
      </c>
      <c r="BH45" s="229">
        <v>0</v>
      </c>
      <c r="BI45" s="229">
        <v>0</v>
      </c>
      <c r="BJ45" s="229">
        <v>0</v>
      </c>
      <c r="BK45" s="229">
        <v>0</v>
      </c>
      <c r="BL45" s="229"/>
      <c r="BM45" s="229" t="s">
        <v>673</v>
      </c>
      <c r="BN45" s="229"/>
      <c r="BO45" s="229" t="s">
        <v>673</v>
      </c>
      <c r="BP45" s="234"/>
      <c r="BQ45" s="229"/>
      <c r="BR45" s="229"/>
      <c r="BS45" s="229"/>
      <c r="BT45" s="235"/>
      <c r="BU45" s="235"/>
      <c r="BV45" s="229"/>
      <c r="BW45" s="229" t="s">
        <v>873</v>
      </c>
      <c r="BX45" s="229">
        <v>1</v>
      </c>
      <c r="BY45" s="226"/>
      <c r="BZ45" s="265" t="s">
        <v>984</v>
      </c>
      <c r="CA45" s="235" t="s">
        <v>426</v>
      </c>
    </row>
    <row r="46" spans="1:121" ht="13" customHeight="1" x14ac:dyDescent="0.15">
      <c r="A46" s="264">
        <v>12713</v>
      </c>
      <c r="B46" s="227">
        <v>42926</v>
      </c>
      <c r="C46" s="228" t="s">
        <v>868</v>
      </c>
      <c r="D46" s="226" t="s">
        <v>663</v>
      </c>
      <c r="E46" s="226"/>
      <c r="F46" s="226" t="s">
        <v>923</v>
      </c>
      <c r="G46" s="236">
        <v>42916</v>
      </c>
      <c r="H46" s="229" t="s">
        <v>672</v>
      </c>
      <c r="I46" s="229" t="s">
        <v>673</v>
      </c>
      <c r="J46" s="229"/>
      <c r="K46" s="226" t="s">
        <v>907</v>
      </c>
      <c r="L46" s="226" t="s">
        <v>908</v>
      </c>
      <c r="M46" s="230">
        <v>77</v>
      </c>
      <c r="N46" s="230">
        <v>24.999999999999996</v>
      </c>
      <c r="O46" s="226"/>
      <c r="P46" s="226"/>
      <c r="Q46" s="226"/>
      <c r="R46" s="231"/>
      <c r="S46" s="230"/>
      <c r="T46" s="226"/>
      <c r="U46" s="230"/>
      <c r="V46" s="230"/>
      <c r="W46" s="230"/>
      <c r="X46" s="226"/>
      <c r="Y46" s="230"/>
      <c r="Z46" s="230"/>
      <c r="AA46" s="230"/>
      <c r="AB46" s="230"/>
      <c r="AC46" s="230"/>
      <c r="AD46" s="230"/>
      <c r="AE46" s="230">
        <v>17.639999999999997</v>
      </c>
      <c r="AF46" s="226"/>
      <c r="AG46" s="226"/>
      <c r="AH46" s="230"/>
      <c r="AI46" s="226"/>
      <c r="AJ46" s="226"/>
      <c r="AK46" s="230"/>
      <c r="AL46" s="226"/>
      <c r="AM46" s="230"/>
      <c r="AN46" s="230"/>
      <c r="AO46" s="226" t="s">
        <v>924</v>
      </c>
      <c r="AP46" s="229" t="s">
        <v>673</v>
      </c>
      <c r="AQ46" s="229"/>
      <c r="AR46" s="229"/>
      <c r="AS46" s="233"/>
      <c r="AT46" s="229">
        <v>8</v>
      </c>
      <c r="AU46" s="229"/>
      <c r="AV46" s="229"/>
      <c r="AW46" s="229"/>
      <c r="AX46" s="229" t="s">
        <v>672</v>
      </c>
      <c r="AY46" s="226" t="s">
        <v>909</v>
      </c>
      <c r="AZ46" s="229">
        <v>0</v>
      </c>
      <c r="BA46" s="229">
        <v>0</v>
      </c>
      <c r="BB46" s="229">
        <v>0</v>
      </c>
      <c r="BC46" s="229">
        <v>0</v>
      </c>
      <c r="BD46" s="229">
        <v>0</v>
      </c>
      <c r="BE46" s="229">
        <v>0</v>
      </c>
      <c r="BF46" s="229">
        <v>0</v>
      </c>
      <c r="BG46" s="229">
        <v>0</v>
      </c>
      <c r="BH46" s="229">
        <v>0</v>
      </c>
      <c r="BI46" s="229">
        <v>0</v>
      </c>
      <c r="BJ46" s="229">
        <v>0</v>
      </c>
      <c r="BK46" s="229">
        <v>0</v>
      </c>
      <c r="BL46" s="229"/>
      <c r="BM46" s="229" t="s">
        <v>673</v>
      </c>
      <c r="BN46" s="229"/>
      <c r="BO46" s="229" t="s">
        <v>673</v>
      </c>
      <c r="BP46" s="234"/>
      <c r="BQ46" s="229"/>
      <c r="BR46" s="229"/>
      <c r="BS46" s="229"/>
      <c r="BT46" s="226"/>
      <c r="BU46" s="235"/>
      <c r="BV46" s="229"/>
      <c r="BW46" s="229" t="s">
        <v>873</v>
      </c>
      <c r="BX46" s="229">
        <v>1</v>
      </c>
      <c r="BY46" s="235" t="s">
        <v>910</v>
      </c>
      <c r="BZ46" s="269" t="s">
        <v>1005</v>
      </c>
      <c r="CA46" s="226" t="s">
        <v>426</v>
      </c>
    </row>
    <row r="47" spans="1:121" ht="14" customHeight="1" x14ac:dyDescent="0.15">
      <c r="A47" s="264">
        <v>13468</v>
      </c>
      <c r="B47" s="227">
        <v>42928</v>
      </c>
      <c r="C47" s="228" t="s">
        <v>868</v>
      </c>
      <c r="D47" s="226" t="s">
        <v>663</v>
      </c>
      <c r="E47" s="226"/>
      <c r="F47" s="226" t="s">
        <v>923</v>
      </c>
      <c r="G47" s="227">
        <v>42922</v>
      </c>
      <c r="H47" s="229" t="s">
        <v>672</v>
      </c>
      <c r="I47" s="229" t="s">
        <v>673</v>
      </c>
      <c r="J47" s="229"/>
      <c r="K47" s="226" t="s">
        <v>918</v>
      </c>
      <c r="L47" s="226" t="s">
        <v>986</v>
      </c>
      <c r="M47" s="230">
        <v>83.627272727272711</v>
      </c>
      <c r="N47" s="230">
        <v>24.363636363636363</v>
      </c>
      <c r="O47" s="226"/>
      <c r="P47" s="231"/>
      <c r="Q47" s="226"/>
      <c r="R47" s="231"/>
      <c r="S47" s="230"/>
      <c r="T47" s="231"/>
      <c r="U47" s="230"/>
      <c r="V47" s="230"/>
      <c r="W47" s="230"/>
      <c r="X47" s="226"/>
      <c r="Y47" s="230"/>
      <c r="Z47" s="230"/>
      <c r="AA47" s="230"/>
      <c r="AB47" s="230"/>
      <c r="AC47" s="230"/>
      <c r="AD47" s="230"/>
      <c r="AE47" s="230">
        <v>14.954545454545453</v>
      </c>
      <c r="AF47" s="231"/>
      <c r="AG47" s="226"/>
      <c r="AH47" s="230"/>
      <c r="AI47" s="226"/>
      <c r="AJ47" s="226"/>
      <c r="AK47" s="230"/>
      <c r="AL47" s="226"/>
      <c r="AM47" s="230"/>
      <c r="AN47" s="230"/>
      <c r="AO47" s="226" t="s">
        <v>924</v>
      </c>
      <c r="AP47" s="229" t="s">
        <v>673</v>
      </c>
      <c r="AQ47" s="229"/>
      <c r="AR47" s="229"/>
      <c r="AS47" s="233"/>
      <c r="AT47" s="229">
        <v>2</v>
      </c>
      <c r="AU47" s="229"/>
      <c r="AV47" s="229"/>
      <c r="AW47" s="229"/>
      <c r="AX47" s="229" t="s">
        <v>638</v>
      </c>
      <c r="AY47" s="226"/>
      <c r="AZ47" s="229">
        <v>0</v>
      </c>
      <c r="BA47" s="229">
        <v>0</v>
      </c>
      <c r="BB47" s="229">
        <v>0</v>
      </c>
      <c r="BC47" s="229">
        <v>0</v>
      </c>
      <c r="BD47" s="229">
        <v>0</v>
      </c>
      <c r="BE47" s="229">
        <v>0</v>
      </c>
      <c r="BF47" s="229">
        <v>0</v>
      </c>
      <c r="BG47" s="229">
        <v>0</v>
      </c>
      <c r="BH47" s="229">
        <v>0</v>
      </c>
      <c r="BI47" s="229">
        <v>0</v>
      </c>
      <c r="BJ47" s="229">
        <v>0</v>
      </c>
      <c r="BK47" s="229">
        <v>0</v>
      </c>
      <c r="BL47" s="229"/>
      <c r="BM47" s="229" t="s">
        <v>673</v>
      </c>
      <c r="BN47" s="229"/>
      <c r="BO47" s="229" t="s">
        <v>673</v>
      </c>
      <c r="BP47" s="234"/>
      <c r="BQ47" s="229"/>
      <c r="BR47" s="229"/>
      <c r="BS47" s="229"/>
      <c r="BT47" s="235"/>
      <c r="BU47" s="235"/>
      <c r="BV47" s="229"/>
      <c r="BW47" s="229" t="s">
        <v>873</v>
      </c>
      <c r="BX47" s="229"/>
      <c r="BY47" s="226" t="s">
        <v>987</v>
      </c>
      <c r="BZ47" s="235" t="s">
        <v>1006</v>
      </c>
      <c r="CA47" s="226" t="s">
        <v>426</v>
      </c>
    </row>
    <row r="48" spans="1:121" s="278" customFormat="1" ht="14" customHeight="1" x14ac:dyDescent="0.2">
      <c r="A48" s="264">
        <v>15303</v>
      </c>
      <c r="B48" s="227">
        <v>42925</v>
      </c>
      <c r="C48" s="228" t="s">
        <v>868</v>
      </c>
      <c r="D48" s="226" t="s">
        <v>663</v>
      </c>
      <c r="E48" s="226"/>
      <c r="F48" s="226" t="s">
        <v>923</v>
      </c>
      <c r="G48" s="227">
        <v>42916</v>
      </c>
      <c r="H48" s="229" t="s">
        <v>672</v>
      </c>
      <c r="I48" s="229" t="s">
        <v>673</v>
      </c>
      <c r="J48" s="229"/>
      <c r="K48" s="226" t="s">
        <v>989</v>
      </c>
      <c r="L48" s="226" t="s">
        <v>990</v>
      </c>
      <c r="M48" s="230">
        <v>80.954545454545439</v>
      </c>
      <c r="N48" s="230">
        <v>31.481818181818181</v>
      </c>
      <c r="O48" s="226" t="s">
        <v>875</v>
      </c>
      <c r="P48" s="231">
        <v>1000</v>
      </c>
      <c r="Q48" s="230">
        <v>33.781818181818174</v>
      </c>
      <c r="R48" s="231"/>
      <c r="S48" s="230"/>
      <c r="T48" s="231"/>
      <c r="U48" s="230"/>
      <c r="V48" s="230"/>
      <c r="W48" s="230"/>
      <c r="X48" s="226"/>
      <c r="Y48" s="230"/>
      <c r="Z48" s="230"/>
      <c r="AA48" s="230"/>
      <c r="AB48" s="230"/>
      <c r="AC48" s="230"/>
      <c r="AD48" s="230"/>
      <c r="AE48" s="230">
        <v>14.481818181818181</v>
      </c>
      <c r="AF48" s="231"/>
      <c r="AG48" s="226"/>
      <c r="AH48" s="230"/>
      <c r="AI48" s="226"/>
      <c r="AJ48" s="226"/>
      <c r="AK48" s="230"/>
      <c r="AL48" s="226"/>
      <c r="AM48" s="230"/>
      <c r="AN48" s="230"/>
      <c r="AO48" s="226" t="s">
        <v>924</v>
      </c>
      <c r="AP48" s="229" t="s">
        <v>673</v>
      </c>
      <c r="AQ48" s="229"/>
      <c r="AR48" s="229"/>
      <c r="AS48" s="233"/>
      <c r="AT48" s="229">
        <v>8</v>
      </c>
      <c r="AU48" s="229"/>
      <c r="AV48" s="229"/>
      <c r="AW48" s="229"/>
      <c r="AX48" s="229" t="s">
        <v>673</v>
      </c>
      <c r="AY48" s="226"/>
      <c r="AZ48" s="229">
        <v>0</v>
      </c>
      <c r="BA48" s="229">
        <v>0</v>
      </c>
      <c r="BB48" s="229">
        <v>10</v>
      </c>
      <c r="BC48" s="229">
        <v>0</v>
      </c>
      <c r="BD48" s="229">
        <v>0</v>
      </c>
      <c r="BE48" s="229">
        <v>0</v>
      </c>
      <c r="BF48" s="229">
        <v>0</v>
      </c>
      <c r="BG48" s="229">
        <v>0</v>
      </c>
      <c r="BH48" s="229">
        <v>0</v>
      </c>
      <c r="BI48" s="229">
        <v>0</v>
      </c>
      <c r="BJ48" s="229">
        <v>0</v>
      </c>
      <c r="BK48" s="229">
        <v>0</v>
      </c>
      <c r="BL48" s="229"/>
      <c r="BM48" s="229" t="s">
        <v>673</v>
      </c>
      <c r="BN48" s="229"/>
      <c r="BO48" s="229" t="s">
        <v>673</v>
      </c>
      <c r="BP48" s="234"/>
      <c r="BQ48" s="229"/>
      <c r="BR48" s="229"/>
      <c r="BS48" s="229"/>
      <c r="BT48" s="226"/>
      <c r="BU48" s="226"/>
      <c r="BV48" s="229"/>
      <c r="BW48" s="229" t="s">
        <v>873</v>
      </c>
      <c r="BX48" s="229">
        <v>1</v>
      </c>
      <c r="BY48" s="226"/>
      <c r="BZ48" s="265" t="s">
        <v>1007</v>
      </c>
      <c r="CA48" s="226" t="s">
        <v>729</v>
      </c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</row>
    <row r="49" spans="1:121" s="278" customFormat="1" ht="14" customHeight="1" x14ac:dyDescent="0.15">
      <c r="A49" s="264">
        <v>14324</v>
      </c>
      <c r="B49" s="227">
        <v>42926</v>
      </c>
      <c r="C49" s="228" t="s">
        <v>868</v>
      </c>
      <c r="D49" s="226" t="s">
        <v>663</v>
      </c>
      <c r="E49" s="226"/>
      <c r="F49" s="226" t="s">
        <v>923</v>
      </c>
      <c r="G49" s="236">
        <v>42614</v>
      </c>
      <c r="H49" s="229" t="s">
        <v>672</v>
      </c>
      <c r="I49" s="229" t="s">
        <v>673</v>
      </c>
      <c r="J49" s="229"/>
      <c r="K49" s="272" t="s">
        <v>992</v>
      </c>
      <c r="L49" s="226" t="s">
        <v>993</v>
      </c>
      <c r="M49" s="230">
        <v>99.999999999999986</v>
      </c>
      <c r="N49" s="230">
        <v>27.27272727272727</v>
      </c>
      <c r="O49" s="226"/>
      <c r="P49" s="226"/>
      <c r="Q49" s="226"/>
      <c r="R49" s="231"/>
      <c r="S49" s="230"/>
      <c r="T49" s="231"/>
      <c r="U49" s="230"/>
      <c r="V49" s="230"/>
      <c r="W49" s="230"/>
      <c r="X49" s="226"/>
      <c r="Y49" s="230"/>
      <c r="Z49" s="230"/>
      <c r="AA49" s="230"/>
      <c r="AB49" s="230"/>
      <c r="AC49" s="230"/>
      <c r="AD49" s="230"/>
      <c r="AE49" s="230">
        <v>16.363636363636363</v>
      </c>
      <c r="AF49" s="231"/>
      <c r="AG49" s="226"/>
      <c r="AH49" s="230"/>
      <c r="AI49" s="226"/>
      <c r="AJ49" s="226"/>
      <c r="AK49" s="230"/>
      <c r="AL49" s="226"/>
      <c r="AM49" s="230"/>
      <c r="AN49" s="230"/>
      <c r="AO49" s="226" t="s">
        <v>924</v>
      </c>
      <c r="AP49" s="229" t="s">
        <v>673</v>
      </c>
      <c r="AQ49" s="229"/>
      <c r="AR49" s="229"/>
      <c r="AS49" s="233"/>
      <c r="AT49" s="229">
        <v>8</v>
      </c>
      <c r="AU49" s="229"/>
      <c r="AV49" s="229"/>
      <c r="AW49" s="229"/>
      <c r="AX49" s="229" t="s">
        <v>673</v>
      </c>
      <c r="AY49" s="226"/>
      <c r="AZ49" s="229">
        <v>0</v>
      </c>
      <c r="BA49" s="229">
        <v>0</v>
      </c>
      <c r="BB49" s="229">
        <v>0</v>
      </c>
      <c r="BC49" s="229">
        <v>0</v>
      </c>
      <c r="BD49" s="229">
        <v>0</v>
      </c>
      <c r="BE49" s="229">
        <v>0</v>
      </c>
      <c r="BF49" s="229">
        <v>0</v>
      </c>
      <c r="BG49" s="229">
        <v>0</v>
      </c>
      <c r="BH49" s="229">
        <v>0</v>
      </c>
      <c r="BI49" s="229">
        <v>0</v>
      </c>
      <c r="BJ49" s="229">
        <v>0</v>
      </c>
      <c r="BK49" s="229">
        <v>0</v>
      </c>
      <c r="BL49" s="229"/>
      <c r="BM49" s="229" t="s">
        <v>673</v>
      </c>
      <c r="BN49" s="229"/>
      <c r="BO49" s="229" t="s">
        <v>673</v>
      </c>
      <c r="BP49" s="234"/>
      <c r="BQ49" s="229"/>
      <c r="BR49" s="229"/>
      <c r="BS49" s="279">
        <v>42973</v>
      </c>
      <c r="BT49" s="226"/>
      <c r="BU49" s="226"/>
      <c r="BV49" s="229"/>
      <c r="BW49" s="229" t="s">
        <v>873</v>
      </c>
      <c r="BX49" s="229"/>
      <c r="BY49" s="226"/>
      <c r="BZ49" s="269" t="s">
        <v>1008</v>
      </c>
      <c r="CA49" s="226" t="s">
        <v>588</v>
      </c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</row>
    <row r="50" spans="1:121" ht="14" customHeight="1" x14ac:dyDescent="0.15">
      <c r="A50" s="264">
        <v>15321</v>
      </c>
      <c r="B50" s="227">
        <v>42926</v>
      </c>
      <c r="C50" s="228" t="s">
        <v>868</v>
      </c>
      <c r="D50" s="226" t="s">
        <v>663</v>
      </c>
      <c r="E50" s="226"/>
      <c r="F50" s="226" t="s">
        <v>923</v>
      </c>
      <c r="G50" s="227">
        <v>42916</v>
      </c>
      <c r="H50" s="229" t="s">
        <v>672</v>
      </c>
      <c r="I50" s="229" t="s">
        <v>673</v>
      </c>
      <c r="J50" s="229"/>
      <c r="K50" s="226" t="s">
        <v>995</v>
      </c>
      <c r="L50" s="226" t="s">
        <v>996</v>
      </c>
      <c r="M50" s="230">
        <v>102.49999999999999</v>
      </c>
      <c r="N50" s="230">
        <v>25.799999999999997</v>
      </c>
      <c r="O50" s="226"/>
      <c r="P50" s="226"/>
      <c r="Q50" s="226"/>
      <c r="R50" s="231"/>
      <c r="S50" s="230"/>
      <c r="T50" s="226"/>
      <c r="U50" s="230"/>
      <c r="V50" s="230"/>
      <c r="W50" s="230"/>
      <c r="X50" s="226"/>
      <c r="Y50" s="230"/>
      <c r="Z50" s="230"/>
      <c r="AA50" s="230"/>
      <c r="AB50" s="230"/>
      <c r="AC50" s="230"/>
      <c r="AD50" s="230"/>
      <c r="AE50" s="230">
        <v>17.254545454545454</v>
      </c>
      <c r="AF50" s="226"/>
      <c r="AG50" s="226"/>
      <c r="AH50" s="230"/>
      <c r="AI50" s="226"/>
      <c r="AJ50" s="226"/>
      <c r="AK50" s="230"/>
      <c r="AL50" s="226"/>
      <c r="AM50" s="230"/>
      <c r="AN50" s="230"/>
      <c r="AO50" s="226" t="s">
        <v>924</v>
      </c>
      <c r="AP50" s="229" t="s">
        <v>673</v>
      </c>
      <c r="AQ50" s="229"/>
      <c r="AR50" s="229"/>
      <c r="AS50" s="233"/>
      <c r="AT50" s="229">
        <v>2</v>
      </c>
      <c r="AU50" s="229"/>
      <c r="AV50" s="229"/>
      <c r="AW50" s="229"/>
      <c r="AX50" s="229" t="s">
        <v>673</v>
      </c>
      <c r="AY50" s="226"/>
      <c r="AZ50" s="229">
        <v>0</v>
      </c>
      <c r="BA50" s="229">
        <v>0</v>
      </c>
      <c r="BB50" s="229">
        <v>0</v>
      </c>
      <c r="BC50" s="229">
        <v>0</v>
      </c>
      <c r="BD50" s="229">
        <v>0</v>
      </c>
      <c r="BE50" s="229">
        <v>0</v>
      </c>
      <c r="BF50" s="229">
        <v>0</v>
      </c>
      <c r="BG50" s="229">
        <v>0</v>
      </c>
      <c r="BH50" s="229">
        <v>0</v>
      </c>
      <c r="BI50" s="229">
        <v>0</v>
      </c>
      <c r="BJ50" s="229">
        <v>0</v>
      </c>
      <c r="BK50" s="229">
        <v>0</v>
      </c>
      <c r="BL50" s="229"/>
      <c r="BM50" s="229" t="s">
        <v>673</v>
      </c>
      <c r="BN50" s="229">
        <v>12</v>
      </c>
      <c r="BO50" s="229" t="s">
        <v>673</v>
      </c>
      <c r="BP50" s="234"/>
      <c r="BQ50" s="229"/>
      <c r="BR50" s="229">
        <v>12</v>
      </c>
      <c r="BS50" s="229"/>
      <c r="BT50" s="235"/>
      <c r="BU50" s="235"/>
      <c r="BV50" s="229"/>
      <c r="BW50" s="229" t="s">
        <v>873</v>
      </c>
      <c r="BX50" s="229">
        <v>1</v>
      </c>
      <c r="BY50" s="235" t="s">
        <v>997</v>
      </c>
      <c r="BZ50" s="226" t="s">
        <v>1009</v>
      </c>
      <c r="CA50" s="235" t="s">
        <v>729</v>
      </c>
    </row>
    <row r="51" spans="1:121" ht="14" customHeight="1" x14ac:dyDescent="0.2">
      <c r="A51" s="264"/>
      <c r="B51" s="227">
        <v>42944</v>
      </c>
      <c r="C51" s="228" t="s">
        <v>868</v>
      </c>
      <c r="D51" s="226" t="s">
        <v>663</v>
      </c>
      <c r="E51" s="226"/>
      <c r="F51" s="226" t="s">
        <v>923</v>
      </c>
      <c r="G51" s="227">
        <v>42857</v>
      </c>
      <c r="H51" s="229" t="s">
        <v>672</v>
      </c>
      <c r="I51" s="229" t="s">
        <v>673</v>
      </c>
      <c r="J51" s="229"/>
      <c r="K51" s="226" t="s">
        <v>1010</v>
      </c>
      <c r="L51" s="226" t="s">
        <v>1011</v>
      </c>
      <c r="M51" s="230">
        <v>102.99999999999999</v>
      </c>
      <c r="N51" s="230">
        <v>28.099999999999998</v>
      </c>
      <c r="O51" s="226"/>
      <c r="P51" s="231"/>
      <c r="Q51" s="226"/>
      <c r="R51" s="231"/>
      <c r="S51" s="230"/>
      <c r="T51" s="231"/>
      <c r="U51" s="230"/>
      <c r="V51" s="230"/>
      <c r="W51" s="230"/>
      <c r="X51" s="226"/>
      <c r="Y51" s="230"/>
      <c r="Z51" s="230"/>
      <c r="AA51" s="230"/>
      <c r="AB51" s="230"/>
      <c r="AC51" s="230"/>
      <c r="AD51" s="230"/>
      <c r="AE51" s="230">
        <v>13.636363636363633</v>
      </c>
      <c r="AF51" s="231"/>
      <c r="AG51" s="226"/>
      <c r="AH51" s="230"/>
      <c r="AI51" s="226"/>
      <c r="AJ51" s="226"/>
      <c r="AK51" s="230"/>
      <c r="AL51" s="226"/>
      <c r="AM51" s="230"/>
      <c r="AN51" s="230"/>
      <c r="AO51" s="226" t="s">
        <v>924</v>
      </c>
      <c r="AP51" s="229" t="s">
        <v>673</v>
      </c>
      <c r="AQ51" s="229"/>
      <c r="AR51" s="229"/>
      <c r="AS51" s="233"/>
      <c r="AT51" s="229">
        <v>7.5</v>
      </c>
      <c r="AU51" s="229"/>
      <c r="AV51" s="229"/>
      <c r="AW51" s="229"/>
      <c r="AX51" s="229" t="s">
        <v>638</v>
      </c>
      <c r="AY51" s="226"/>
      <c r="AZ51" s="229">
        <v>0</v>
      </c>
      <c r="BA51" s="229">
        <v>0</v>
      </c>
      <c r="BB51" s="229">
        <v>0</v>
      </c>
      <c r="BC51" s="229">
        <v>0</v>
      </c>
      <c r="BD51" s="229">
        <v>0</v>
      </c>
      <c r="BE51" s="229">
        <v>0</v>
      </c>
      <c r="BF51" s="229">
        <v>0</v>
      </c>
      <c r="BG51" s="229">
        <v>0</v>
      </c>
      <c r="BH51" s="229">
        <v>0</v>
      </c>
      <c r="BI51" s="229">
        <v>0</v>
      </c>
      <c r="BJ51" s="229">
        <v>0</v>
      </c>
      <c r="BK51" s="229">
        <v>0</v>
      </c>
      <c r="BL51" s="229"/>
      <c r="BM51" s="229" t="s">
        <v>673</v>
      </c>
      <c r="BN51" s="229"/>
      <c r="BO51" s="229" t="s">
        <v>673</v>
      </c>
      <c r="BP51" s="234"/>
      <c r="BQ51" s="229"/>
      <c r="BR51" s="229">
        <v>12</v>
      </c>
      <c r="BS51" s="229"/>
      <c r="BT51" s="235"/>
      <c r="BU51" s="235"/>
      <c r="BV51" s="229"/>
      <c r="BW51" s="229" t="s">
        <v>873</v>
      </c>
      <c r="BX51" s="229"/>
      <c r="BY51" s="235"/>
      <c r="BZ51" s="265" t="s">
        <v>1013</v>
      </c>
      <c r="CA51" s="235" t="s">
        <v>729</v>
      </c>
      <c r="CB51" s="156"/>
    </row>
    <row r="52" spans="1:121" ht="14" customHeight="1" x14ac:dyDescent="0.2">
      <c r="A52" s="264"/>
      <c r="B52" s="227">
        <v>42944</v>
      </c>
      <c r="C52" s="228" t="s">
        <v>868</v>
      </c>
      <c r="D52" s="226" t="s">
        <v>663</v>
      </c>
      <c r="E52" s="226"/>
      <c r="F52" s="226" t="s">
        <v>923</v>
      </c>
      <c r="G52" s="227">
        <v>42941</v>
      </c>
      <c r="H52" s="229" t="s">
        <v>673</v>
      </c>
      <c r="I52" s="229" t="s">
        <v>722</v>
      </c>
      <c r="J52" s="229"/>
      <c r="K52" s="226" t="s">
        <v>1014</v>
      </c>
      <c r="L52" s="226" t="s">
        <v>1015</v>
      </c>
      <c r="M52" s="230">
        <v>66.5</v>
      </c>
      <c r="N52" s="230">
        <v>28.563636363636363</v>
      </c>
      <c r="O52" s="226"/>
      <c r="P52" s="231"/>
      <c r="Q52" s="226"/>
      <c r="R52" s="231"/>
      <c r="S52" s="230"/>
      <c r="T52" s="231"/>
      <c r="U52" s="230"/>
      <c r="V52" s="230"/>
      <c r="W52" s="230"/>
      <c r="X52" s="226"/>
      <c r="Y52" s="230"/>
      <c r="Z52" s="230"/>
      <c r="AA52" s="230"/>
      <c r="AB52" s="230"/>
      <c r="AC52" s="230"/>
      <c r="AD52" s="230"/>
      <c r="AE52" s="230">
        <v>14.14876033057851</v>
      </c>
      <c r="AF52" s="231"/>
      <c r="AG52" s="226"/>
      <c r="AH52" s="230"/>
      <c r="AI52" s="226"/>
      <c r="AJ52" s="226"/>
      <c r="AK52" s="230"/>
      <c r="AL52" s="226"/>
      <c r="AM52" s="230"/>
      <c r="AN52" s="230"/>
      <c r="AO52" s="226" t="s">
        <v>924</v>
      </c>
      <c r="AP52" s="229" t="s">
        <v>673</v>
      </c>
      <c r="AQ52" s="229"/>
      <c r="AR52" s="229"/>
      <c r="AS52" s="233"/>
      <c r="AT52" s="229"/>
      <c r="AU52" s="229"/>
      <c r="AV52" s="229"/>
      <c r="AW52" s="229"/>
      <c r="AX52" s="229" t="s">
        <v>638</v>
      </c>
      <c r="AY52" s="226"/>
      <c r="AZ52" s="229">
        <v>0</v>
      </c>
      <c r="BA52" s="229">
        <v>5</v>
      </c>
      <c r="BB52" s="229">
        <v>0</v>
      </c>
      <c r="BC52" s="229">
        <v>0</v>
      </c>
      <c r="BD52" s="229">
        <v>0</v>
      </c>
      <c r="BE52" s="229">
        <v>0</v>
      </c>
      <c r="BF52" s="229">
        <v>0</v>
      </c>
      <c r="BG52" s="229">
        <v>0</v>
      </c>
      <c r="BH52" s="229">
        <v>0</v>
      </c>
      <c r="BI52" s="229">
        <v>0</v>
      </c>
      <c r="BJ52" s="229">
        <v>0</v>
      </c>
      <c r="BK52" s="229">
        <v>0</v>
      </c>
      <c r="BL52" s="229"/>
      <c r="BM52" s="229" t="s">
        <v>673</v>
      </c>
      <c r="BN52" s="229"/>
      <c r="BO52" s="229" t="s">
        <v>673</v>
      </c>
      <c r="BP52" s="234"/>
      <c r="BQ52" s="229"/>
      <c r="BR52" s="229"/>
      <c r="BS52" s="229"/>
      <c r="BT52" s="235"/>
      <c r="BU52" s="235"/>
      <c r="BV52" s="229"/>
      <c r="BW52" s="229" t="s">
        <v>873</v>
      </c>
      <c r="BX52" s="229"/>
      <c r="BY52" s="235"/>
      <c r="BZ52" s="265" t="s">
        <v>1017</v>
      </c>
      <c r="CA52" s="235" t="s">
        <v>729</v>
      </c>
      <c r="CB52" s="156"/>
    </row>
    <row r="53" spans="1:121" x14ac:dyDescent="0.15">
      <c r="L53" s="224"/>
    </row>
    <row r="57" spans="1:121" x14ac:dyDescent="0.15">
      <c r="L57" s="224"/>
    </row>
  </sheetData>
  <sheetProtection algorithmName="SHA-512" hashValue="dni2svP4EC0/tH7MYPiraCZ0fwhSGe0rvGHTjPqxx9GvpvK4isSbYFRWC/ywb4UmSUHJxvgVNBJdthm/RIMeUQ==" saltValue="GiG+sqPUQB9km5nIhfPyrw==" spinCount="100000" sheet="1" objects="1" scenarios="1"/>
  <hyperlinks>
    <hyperlink ref="BZ18" r:id="rId1" xr:uid="{4F4D474B-841A-6842-BF70-AE556177E0D7}"/>
    <hyperlink ref="BZ16" r:id="rId2" xr:uid="{812BF5C7-53E7-B34F-9C8A-988CE0DC07AD}"/>
    <hyperlink ref="BZ43" r:id="rId3" xr:uid="{277A3762-F9D6-9148-AA89-23ABEE7DF4B2}"/>
    <hyperlink ref="BZ3" r:id="rId4" xr:uid="{28E9B7CA-D395-0542-86B1-90D915481521}"/>
    <hyperlink ref="BZ5" r:id="rId5" xr:uid="{B73A2A15-7208-6E48-8912-53C47573574D}"/>
    <hyperlink ref="BZ6" r:id="rId6" xr:uid="{9C5AE8AD-E572-AC4D-A4FA-3C89D9159BBC}"/>
    <hyperlink ref="BZ7" r:id="rId7" xr:uid="{9CEEB3F7-7296-864F-B14A-D04D760ACEA7}"/>
    <hyperlink ref="BZ8" r:id="rId8" xr:uid="{30053767-54BD-6749-9A46-F7491A120BFA}"/>
    <hyperlink ref="BZ9" r:id="rId9" xr:uid="{9D0A68A0-34A7-BD4C-9021-AFC9A4B8210B}"/>
    <hyperlink ref="BZ10" r:id="rId10" xr:uid="{D0FFB790-EBC2-3049-BB34-061ED89CF0EE}"/>
    <hyperlink ref="BZ11" r:id="rId11" xr:uid="{BF3CB5C5-D70C-F44E-AA4D-C8E4365F094E}"/>
    <hyperlink ref="BZ12" r:id="rId12" xr:uid="{80EBA42C-60AC-BF40-A5EB-BD75E35B97C0}"/>
    <hyperlink ref="BZ13" r:id="rId13" xr:uid="{BC11606B-A149-7D49-BEC1-4FE2A731E3B2}"/>
    <hyperlink ref="BZ14" r:id="rId14" xr:uid="{1E30B87C-346C-7E41-A622-61C785FA01C4}"/>
    <hyperlink ref="BZ15" r:id="rId15" xr:uid="{2771A2CD-B7A5-C249-B746-7783A0F8D622}"/>
    <hyperlink ref="BZ17" r:id="rId16" xr:uid="{CC25077F-1AFF-C244-8A41-B4CD4B38CF5F}"/>
    <hyperlink ref="BZ19" r:id="rId17" xr:uid="{45467C6B-F6F5-2A4B-AD13-3B81C0325831}"/>
    <hyperlink ref="BZ21" r:id="rId18" xr:uid="{51931A1B-257E-5C41-AD99-E828147E51FF}"/>
    <hyperlink ref="BZ20" r:id="rId19" xr:uid="{4E97750A-2D63-F349-AC45-DCAE7B7D5209}"/>
    <hyperlink ref="BZ22" r:id="rId20" xr:uid="{E12C17AE-463F-C443-B055-E397B1532378}"/>
    <hyperlink ref="BZ23" r:id="rId21" xr:uid="{01047564-9F2B-9B49-9952-BF00CD5C0EE1}"/>
    <hyperlink ref="BZ24" r:id="rId22" xr:uid="{C2783B44-3FC1-CA4A-A249-BBE589CE4138}"/>
    <hyperlink ref="BZ25" r:id="rId23" xr:uid="{A39E15C7-58D9-B242-A8C8-10A0EA9B7D5A}"/>
    <hyperlink ref="BZ26" r:id="rId24" xr:uid="{56B4497A-64E5-D34F-BDB8-BC60760E66F3}"/>
    <hyperlink ref="BZ27" r:id="rId25" xr:uid="{C8E16A2B-AB3C-1441-99DB-77D2D1AB9030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CC7A-4E70-0A4A-8377-9D6EB17793A2}">
  <sheetPr codeName="Sheet12"/>
  <dimension ref="A1:CD61"/>
  <sheetViews>
    <sheetView workbookViewId="0">
      <selection activeCell="K2" sqref="K2:K26"/>
    </sheetView>
  </sheetViews>
  <sheetFormatPr baseColWidth="10" defaultRowHeight="13" x14ac:dyDescent="0.15"/>
  <cols>
    <col min="11" max="11" width="17" bestFit="1" customWidth="1"/>
    <col min="12" max="12" width="19" bestFit="1" customWidth="1"/>
    <col min="78" max="78" width="17.33203125" customWidth="1"/>
  </cols>
  <sheetData>
    <row r="1" spans="1:82" ht="84" x14ac:dyDescent="0.15">
      <c r="A1" s="74" t="s">
        <v>265</v>
      </c>
      <c r="B1" s="74" t="s">
        <v>780</v>
      </c>
      <c r="C1" s="75" t="s">
        <v>781</v>
      </c>
      <c r="D1" s="76" t="s">
        <v>782</v>
      </c>
      <c r="E1" s="76" t="s">
        <v>783</v>
      </c>
      <c r="F1" s="76" t="s">
        <v>784</v>
      </c>
      <c r="G1" s="76" t="s">
        <v>785</v>
      </c>
      <c r="H1" s="77" t="s">
        <v>786</v>
      </c>
      <c r="I1" s="77" t="s">
        <v>787</v>
      </c>
      <c r="J1" s="77" t="s">
        <v>788</v>
      </c>
      <c r="K1" s="76" t="s">
        <v>278</v>
      </c>
      <c r="L1" s="78" t="s">
        <v>789</v>
      </c>
      <c r="M1" s="79" t="s">
        <v>280</v>
      </c>
      <c r="N1" s="80" t="s">
        <v>790</v>
      </c>
      <c r="O1" s="80" t="s">
        <v>282</v>
      </c>
      <c r="P1" s="80" t="s">
        <v>791</v>
      </c>
      <c r="Q1" s="80" t="s">
        <v>792</v>
      </c>
      <c r="R1" s="80" t="s">
        <v>793</v>
      </c>
      <c r="S1" s="80" t="s">
        <v>794</v>
      </c>
      <c r="T1" s="80" t="s">
        <v>795</v>
      </c>
      <c r="U1" s="80" t="s">
        <v>796</v>
      </c>
      <c r="V1" s="81" t="s">
        <v>797</v>
      </c>
      <c r="W1" s="82" t="s">
        <v>798</v>
      </c>
      <c r="X1" s="82" t="s">
        <v>799</v>
      </c>
      <c r="Y1" s="82" t="s">
        <v>800</v>
      </c>
      <c r="Z1" s="82" t="s">
        <v>801</v>
      </c>
      <c r="AA1" s="82" t="s">
        <v>802</v>
      </c>
      <c r="AB1" s="82" t="s">
        <v>803</v>
      </c>
      <c r="AC1" s="82" t="s">
        <v>804</v>
      </c>
      <c r="AD1" s="82" t="s">
        <v>805</v>
      </c>
      <c r="AE1" s="83" t="s">
        <v>806</v>
      </c>
      <c r="AF1" s="84" t="s">
        <v>807</v>
      </c>
      <c r="AG1" s="84" t="s">
        <v>808</v>
      </c>
      <c r="AH1" s="85" t="s">
        <v>809</v>
      </c>
      <c r="AI1" s="85" t="s">
        <v>810</v>
      </c>
      <c r="AJ1" s="85" t="s">
        <v>811</v>
      </c>
      <c r="AK1" s="85" t="s">
        <v>812</v>
      </c>
      <c r="AL1" s="193" t="s">
        <v>813</v>
      </c>
      <c r="AM1" s="194" t="s">
        <v>814</v>
      </c>
      <c r="AN1" s="194" t="s">
        <v>815</v>
      </c>
      <c r="AO1" s="86" t="s">
        <v>816</v>
      </c>
      <c r="AP1" s="87" t="s">
        <v>817</v>
      </c>
      <c r="AQ1" s="87" t="s">
        <v>818</v>
      </c>
      <c r="AR1" s="88" t="s">
        <v>819</v>
      </c>
      <c r="AS1" s="195" t="s">
        <v>616</v>
      </c>
      <c r="AT1" s="196" t="s">
        <v>820</v>
      </c>
      <c r="AU1" s="197" t="s">
        <v>821</v>
      </c>
      <c r="AV1" s="197" t="s">
        <v>822</v>
      </c>
      <c r="AW1" s="197" t="s">
        <v>823</v>
      </c>
      <c r="AX1" s="91" t="s">
        <v>824</v>
      </c>
      <c r="AY1" s="92" t="s">
        <v>825</v>
      </c>
      <c r="AZ1" s="93" t="s">
        <v>826</v>
      </c>
      <c r="BA1" s="94" t="s">
        <v>827</v>
      </c>
      <c r="BB1" s="93" t="s">
        <v>828</v>
      </c>
      <c r="BC1" s="94" t="s">
        <v>829</v>
      </c>
      <c r="BD1" s="93" t="s">
        <v>830</v>
      </c>
      <c r="BE1" s="94" t="s">
        <v>831</v>
      </c>
      <c r="BF1" s="93" t="s">
        <v>832</v>
      </c>
      <c r="BG1" s="95" t="s">
        <v>833</v>
      </c>
      <c r="BH1" s="158" t="s">
        <v>617</v>
      </c>
      <c r="BI1" s="159" t="s">
        <v>618</v>
      </c>
      <c r="BJ1" s="93" t="s">
        <v>834</v>
      </c>
      <c r="BK1" s="95" t="s">
        <v>835</v>
      </c>
      <c r="BL1" s="77" t="s">
        <v>836</v>
      </c>
      <c r="BM1" s="77" t="s">
        <v>837</v>
      </c>
      <c r="BN1" s="77" t="s">
        <v>838</v>
      </c>
      <c r="BO1" s="77" t="s">
        <v>839</v>
      </c>
      <c r="BP1" s="77" t="s">
        <v>619</v>
      </c>
      <c r="BQ1" s="77" t="s">
        <v>620</v>
      </c>
      <c r="BR1" s="77" t="s">
        <v>621</v>
      </c>
      <c r="BS1" s="77" t="s">
        <v>622</v>
      </c>
      <c r="BT1" s="75" t="s">
        <v>840</v>
      </c>
      <c r="BU1" s="75" t="s">
        <v>841</v>
      </c>
      <c r="BV1" s="77" t="s">
        <v>842</v>
      </c>
      <c r="BW1" s="77" t="s">
        <v>843</v>
      </c>
      <c r="BX1" s="198" t="s">
        <v>844</v>
      </c>
      <c r="BY1" s="75" t="s">
        <v>845</v>
      </c>
      <c r="BZ1" s="77" t="s">
        <v>846</v>
      </c>
      <c r="CA1" s="74" t="s">
        <v>847</v>
      </c>
    </row>
    <row r="2" spans="1:82" x14ac:dyDescent="0.15">
      <c r="A2" s="96">
        <v>11285</v>
      </c>
      <c r="B2" s="227">
        <v>42605</v>
      </c>
      <c r="C2" s="228" t="s">
        <v>662</v>
      </c>
      <c r="D2" s="226" t="s">
        <v>663</v>
      </c>
      <c r="E2" s="226"/>
      <c r="F2" s="226" t="s">
        <v>716</v>
      </c>
      <c r="G2" s="227">
        <v>42551</v>
      </c>
      <c r="H2" s="229" t="s">
        <v>665</v>
      </c>
      <c r="I2" s="229" t="s">
        <v>666</v>
      </c>
      <c r="J2" s="229"/>
      <c r="K2" s="226" t="s">
        <v>667</v>
      </c>
      <c r="L2" s="226" t="s">
        <v>870</v>
      </c>
      <c r="M2" s="230">
        <v>69.927272727272722</v>
      </c>
      <c r="N2" s="230">
        <v>29.836363636363636</v>
      </c>
      <c r="O2" s="226"/>
      <c r="P2" s="231"/>
      <c r="Q2" s="230"/>
      <c r="R2" s="231"/>
      <c r="S2" s="230"/>
      <c r="T2" s="231"/>
      <c r="U2" s="230"/>
      <c r="V2" s="232"/>
      <c r="W2" s="232"/>
      <c r="X2" s="226"/>
      <c r="Y2" s="230"/>
      <c r="Z2" s="230"/>
      <c r="AA2" s="230"/>
      <c r="AB2" s="230"/>
      <c r="AC2" s="230"/>
      <c r="AD2" s="230"/>
      <c r="AE2" s="230"/>
      <c r="AF2" s="231"/>
      <c r="AG2" s="226"/>
      <c r="AH2" s="230"/>
      <c r="AI2" s="226"/>
      <c r="AJ2" s="226"/>
      <c r="AK2" s="230"/>
      <c r="AL2" s="226"/>
      <c r="AM2" s="230"/>
      <c r="AN2" s="230"/>
      <c r="AO2" s="226" t="s">
        <v>726</v>
      </c>
      <c r="AP2" s="229" t="s">
        <v>666</v>
      </c>
      <c r="AQ2" s="229"/>
      <c r="AR2" s="229"/>
      <c r="AS2" s="233"/>
      <c r="AT2" s="229">
        <v>12.4</v>
      </c>
      <c r="AU2" s="229"/>
      <c r="AV2" s="229"/>
      <c r="AW2" s="229"/>
      <c r="AX2" s="229" t="s">
        <v>727</v>
      </c>
      <c r="AY2" s="226"/>
      <c r="AZ2" s="229">
        <v>0</v>
      </c>
      <c r="BA2" s="229">
        <v>0</v>
      </c>
      <c r="BB2" s="229">
        <v>0</v>
      </c>
      <c r="BC2" s="229">
        <v>0</v>
      </c>
      <c r="BD2" s="229">
        <v>0</v>
      </c>
      <c r="BE2" s="229">
        <v>0</v>
      </c>
      <c r="BF2" s="229">
        <v>0</v>
      </c>
      <c r="BG2" s="229">
        <v>0</v>
      </c>
      <c r="BH2" s="229">
        <v>0</v>
      </c>
      <c r="BI2" s="229">
        <v>0</v>
      </c>
      <c r="BJ2" s="229">
        <v>0</v>
      </c>
      <c r="BK2" s="229">
        <v>0</v>
      </c>
      <c r="BL2" s="229"/>
      <c r="BM2" s="229" t="s">
        <v>666</v>
      </c>
      <c r="BN2" s="229">
        <v>12</v>
      </c>
      <c r="BO2" s="229" t="s">
        <v>666</v>
      </c>
      <c r="BP2" s="234"/>
      <c r="BQ2" s="229"/>
      <c r="BR2" s="229"/>
      <c r="BS2" s="229"/>
      <c r="BT2" s="235"/>
      <c r="BU2" s="235"/>
      <c r="BV2" s="229"/>
      <c r="BW2" s="229" t="s">
        <v>728</v>
      </c>
      <c r="BX2" s="229"/>
      <c r="BY2" s="226"/>
      <c r="BZ2" s="185" t="s">
        <v>874</v>
      </c>
      <c r="CA2" s="235" t="s">
        <v>426</v>
      </c>
    </row>
    <row r="3" spans="1:82" x14ac:dyDescent="0.15">
      <c r="A3" s="96">
        <v>10486</v>
      </c>
      <c r="B3" s="155">
        <v>42567</v>
      </c>
      <c r="C3" s="181" t="s">
        <v>868</v>
      </c>
      <c r="D3" s="182" t="s">
        <v>663</v>
      </c>
      <c r="E3" s="160"/>
      <c r="F3" s="99" t="s">
        <v>869</v>
      </c>
      <c r="G3" s="104">
        <v>42567</v>
      </c>
      <c r="H3" s="100" t="s">
        <v>672</v>
      </c>
      <c r="I3" s="100" t="s">
        <v>673</v>
      </c>
      <c r="J3" s="100"/>
      <c r="K3" s="99" t="s">
        <v>131</v>
      </c>
      <c r="L3" s="182" t="s">
        <v>670</v>
      </c>
      <c r="M3" s="183">
        <v>83</v>
      </c>
      <c r="N3" s="183">
        <v>30.154545454545453</v>
      </c>
      <c r="O3" s="99" t="s">
        <v>875</v>
      </c>
      <c r="P3" s="101">
        <v>300</v>
      </c>
      <c r="Q3" s="183">
        <v>33.590909090909093</v>
      </c>
      <c r="R3" s="101"/>
      <c r="S3" s="183"/>
      <c r="T3" s="101"/>
      <c r="U3" s="183"/>
      <c r="V3" s="99"/>
      <c r="W3" s="99"/>
      <c r="X3" s="99"/>
      <c r="Y3" s="99"/>
      <c r="Z3" s="99"/>
      <c r="AA3" s="99"/>
      <c r="AB3" s="99"/>
      <c r="AC3" s="99"/>
      <c r="AD3" s="99"/>
      <c r="AE3" s="99" t="s">
        <v>871</v>
      </c>
      <c r="AF3" s="101" t="s">
        <v>871</v>
      </c>
      <c r="AG3" s="99" t="s">
        <v>871</v>
      </c>
      <c r="AH3" s="99" t="s">
        <v>871</v>
      </c>
      <c r="AI3" s="99" t="s">
        <v>871</v>
      </c>
      <c r="AJ3" s="99" t="s">
        <v>871</v>
      </c>
      <c r="AK3" s="99" t="s">
        <v>871</v>
      </c>
      <c r="AL3" s="99" t="s">
        <v>871</v>
      </c>
      <c r="AM3" s="99" t="s">
        <v>871</v>
      </c>
      <c r="AN3" s="99" t="s">
        <v>871</v>
      </c>
      <c r="AO3" s="99" t="s">
        <v>872</v>
      </c>
      <c r="AP3" s="100" t="s">
        <v>673</v>
      </c>
      <c r="AQ3" s="100"/>
      <c r="AR3" s="100"/>
      <c r="AS3" s="102"/>
      <c r="AT3" s="100">
        <v>9.5</v>
      </c>
      <c r="AU3" s="100"/>
      <c r="AV3" s="100"/>
      <c r="AW3" s="100"/>
      <c r="AX3" s="100" t="s">
        <v>673</v>
      </c>
      <c r="AY3" s="99"/>
      <c r="AZ3" s="100">
        <v>0</v>
      </c>
      <c r="BA3" s="100">
        <v>0</v>
      </c>
      <c r="BB3" s="100">
        <v>0</v>
      </c>
      <c r="BC3" s="100">
        <v>0</v>
      </c>
      <c r="BD3" s="100">
        <v>0</v>
      </c>
      <c r="BE3" s="100">
        <v>0</v>
      </c>
      <c r="BF3" s="100">
        <v>0</v>
      </c>
      <c r="BG3" s="100">
        <v>0</v>
      </c>
      <c r="BH3" s="100">
        <v>0</v>
      </c>
      <c r="BI3" s="100">
        <v>0</v>
      </c>
      <c r="BJ3" s="100">
        <v>0</v>
      </c>
      <c r="BK3" s="100">
        <v>0</v>
      </c>
      <c r="BL3" s="100"/>
      <c r="BM3" s="100" t="s">
        <v>673</v>
      </c>
      <c r="BN3" s="100"/>
      <c r="BO3" s="100" t="s">
        <v>673</v>
      </c>
      <c r="BP3" s="222"/>
      <c r="BQ3" s="100"/>
      <c r="BR3" s="100"/>
      <c r="BS3" s="100"/>
      <c r="BT3" s="99"/>
      <c r="BU3" s="99"/>
      <c r="BV3" s="100"/>
      <c r="BW3" s="100" t="s">
        <v>873</v>
      </c>
      <c r="BX3" s="100">
        <v>1</v>
      </c>
      <c r="BY3" s="182"/>
      <c r="BZ3" s="156" t="s">
        <v>876</v>
      </c>
      <c r="CA3" s="156" t="s">
        <v>426</v>
      </c>
    </row>
    <row r="4" spans="1:82" ht="13" customHeight="1" x14ac:dyDescent="0.2">
      <c r="A4" s="96">
        <v>13042</v>
      </c>
      <c r="B4" s="155">
        <v>42566</v>
      </c>
      <c r="C4" s="181" t="s">
        <v>868</v>
      </c>
      <c r="D4" s="182" t="s">
        <v>663</v>
      </c>
      <c r="E4" s="160"/>
      <c r="F4" s="99" t="s">
        <v>869</v>
      </c>
      <c r="G4" s="97">
        <v>42551</v>
      </c>
      <c r="H4" s="100" t="s">
        <v>672</v>
      </c>
      <c r="I4" s="100" t="s">
        <v>673</v>
      </c>
      <c r="J4" s="100"/>
      <c r="K4" s="99" t="s">
        <v>132</v>
      </c>
      <c r="L4" s="182" t="s">
        <v>882</v>
      </c>
      <c r="M4" s="183">
        <v>79.463636363636354</v>
      </c>
      <c r="N4" s="183">
        <v>28.554545454545451</v>
      </c>
      <c r="O4" s="99"/>
      <c r="P4" s="99"/>
      <c r="Q4" s="99" t="s">
        <v>871</v>
      </c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 t="s">
        <v>871</v>
      </c>
      <c r="AF4" s="101" t="s">
        <v>871</v>
      </c>
      <c r="AG4" s="99" t="s">
        <v>871</v>
      </c>
      <c r="AH4" s="99" t="s">
        <v>871</v>
      </c>
      <c r="AI4" s="99" t="s">
        <v>871</v>
      </c>
      <c r="AJ4" s="99" t="s">
        <v>871</v>
      </c>
      <c r="AK4" s="99" t="s">
        <v>871</v>
      </c>
      <c r="AL4" s="99" t="s">
        <v>871</v>
      </c>
      <c r="AM4" s="99" t="s">
        <v>871</v>
      </c>
      <c r="AN4" s="99" t="s">
        <v>871</v>
      </c>
      <c r="AO4" s="99" t="s">
        <v>872</v>
      </c>
      <c r="AP4" s="100" t="s">
        <v>673</v>
      </c>
      <c r="AQ4" s="100"/>
      <c r="AR4" s="100"/>
      <c r="AS4" s="102"/>
      <c r="AT4" s="100">
        <v>14</v>
      </c>
      <c r="AU4" s="100"/>
      <c r="AV4" s="100"/>
      <c r="AW4" s="100"/>
      <c r="AX4" s="100" t="s">
        <v>673</v>
      </c>
      <c r="AY4" s="99"/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>
        <v>0</v>
      </c>
      <c r="BH4" s="100">
        <v>0</v>
      </c>
      <c r="BI4" s="100">
        <v>0</v>
      </c>
      <c r="BJ4" s="100">
        <v>0</v>
      </c>
      <c r="BK4" s="100">
        <v>0</v>
      </c>
      <c r="BL4" s="100"/>
      <c r="BM4" s="100" t="s">
        <v>673</v>
      </c>
      <c r="BN4" s="100"/>
      <c r="BO4" s="100" t="s">
        <v>673</v>
      </c>
      <c r="BP4" s="222"/>
      <c r="BQ4" s="100"/>
      <c r="BR4" s="100"/>
      <c r="BS4" s="100"/>
      <c r="BT4" s="184"/>
      <c r="BU4" s="184"/>
      <c r="BV4" s="100"/>
      <c r="BW4" s="100" t="s">
        <v>873</v>
      </c>
      <c r="BX4" s="100">
        <v>1</v>
      </c>
      <c r="BY4" s="99" t="s">
        <v>883</v>
      </c>
      <c r="BZ4" s="185" t="s">
        <v>884</v>
      </c>
      <c r="CA4" t="s">
        <v>588</v>
      </c>
    </row>
    <row r="5" spans="1:82" x14ac:dyDescent="0.15">
      <c r="A5" s="96">
        <v>958</v>
      </c>
      <c r="B5" s="155">
        <v>42567</v>
      </c>
      <c r="C5" s="181" t="s">
        <v>868</v>
      </c>
      <c r="D5" s="182" t="s">
        <v>663</v>
      </c>
      <c r="E5" s="160"/>
      <c r="F5" s="99" t="s">
        <v>869</v>
      </c>
      <c r="G5" s="97">
        <v>42551</v>
      </c>
      <c r="H5" s="100" t="s">
        <v>672</v>
      </c>
      <c r="I5" s="100" t="s">
        <v>673</v>
      </c>
      <c r="J5" s="100"/>
      <c r="K5" s="99" t="s">
        <v>133</v>
      </c>
      <c r="L5" s="99" t="s">
        <v>721</v>
      </c>
      <c r="M5" s="183">
        <v>88.8</v>
      </c>
      <c r="N5" s="183">
        <v>32.409090909090907</v>
      </c>
      <c r="O5" s="99" t="s">
        <v>875</v>
      </c>
      <c r="P5" s="101">
        <v>1000</v>
      </c>
      <c r="Q5" s="183">
        <v>33.25454545454545</v>
      </c>
      <c r="R5" s="99"/>
      <c r="S5" s="99"/>
      <c r="T5" s="99"/>
      <c r="U5" s="183"/>
      <c r="V5" s="99"/>
      <c r="W5" s="99"/>
      <c r="X5" s="99"/>
      <c r="Y5" s="99"/>
      <c r="Z5" s="99"/>
      <c r="AA5" s="99"/>
      <c r="AB5" s="99"/>
      <c r="AC5" s="99"/>
      <c r="AD5" s="99"/>
      <c r="AE5" s="99" t="s">
        <v>871</v>
      </c>
      <c r="AF5" s="101" t="s">
        <v>871</v>
      </c>
      <c r="AG5" s="99" t="s">
        <v>871</v>
      </c>
      <c r="AH5" s="99" t="s">
        <v>871</v>
      </c>
      <c r="AI5" s="99" t="s">
        <v>871</v>
      </c>
      <c r="AJ5" s="99" t="s">
        <v>871</v>
      </c>
      <c r="AK5" s="99" t="s">
        <v>871</v>
      </c>
      <c r="AL5" s="99" t="s">
        <v>871</v>
      </c>
      <c r="AM5" s="99" t="s">
        <v>871</v>
      </c>
      <c r="AN5" s="99" t="s">
        <v>871</v>
      </c>
      <c r="AO5" s="99" t="s">
        <v>872</v>
      </c>
      <c r="AP5" s="100" t="s">
        <v>673</v>
      </c>
      <c r="AQ5" s="100"/>
      <c r="AR5" s="100"/>
      <c r="AS5" s="102"/>
      <c r="AT5" s="100">
        <v>11.6</v>
      </c>
      <c r="AU5" s="100"/>
      <c r="AV5" s="100"/>
      <c r="AW5" s="100"/>
      <c r="AX5" s="100" t="s">
        <v>673</v>
      </c>
      <c r="AY5" s="99"/>
      <c r="AZ5" s="100">
        <v>0</v>
      </c>
      <c r="BA5" s="100">
        <v>0</v>
      </c>
      <c r="BB5" s="100">
        <v>0</v>
      </c>
      <c r="BC5" s="100">
        <v>0</v>
      </c>
      <c r="BD5" s="100">
        <v>0</v>
      </c>
      <c r="BE5" s="100">
        <v>0</v>
      </c>
      <c r="BF5" s="100">
        <v>0</v>
      </c>
      <c r="BG5" s="100">
        <v>0</v>
      </c>
      <c r="BH5" s="100">
        <v>0</v>
      </c>
      <c r="BI5" s="100">
        <v>0</v>
      </c>
      <c r="BJ5" s="100">
        <v>0</v>
      </c>
      <c r="BK5" s="100">
        <v>0</v>
      </c>
      <c r="BL5" s="100"/>
      <c r="BM5" s="100" t="s">
        <v>673</v>
      </c>
      <c r="BN5" s="100"/>
      <c r="BO5" s="100" t="s">
        <v>673</v>
      </c>
      <c r="BP5" s="222"/>
      <c r="BQ5" s="100"/>
      <c r="BR5" s="100"/>
      <c r="BS5" s="100"/>
      <c r="BT5" s="103"/>
      <c r="BU5" s="99"/>
      <c r="BV5" s="100"/>
      <c r="BW5" s="100" t="s">
        <v>873</v>
      </c>
      <c r="BX5" s="100"/>
      <c r="BY5" s="99"/>
      <c r="BZ5" s="185" t="s">
        <v>885</v>
      </c>
      <c r="CA5" s="70" t="s">
        <v>426</v>
      </c>
    </row>
    <row r="6" spans="1:82" x14ac:dyDescent="0.15">
      <c r="A6" s="96">
        <v>11132</v>
      </c>
      <c r="B6" s="227">
        <v>42605</v>
      </c>
      <c r="C6" s="228" t="s">
        <v>662</v>
      </c>
      <c r="D6" s="226" t="s">
        <v>663</v>
      </c>
      <c r="E6" s="226"/>
      <c r="F6" s="226" t="s">
        <v>716</v>
      </c>
      <c r="G6" s="236">
        <v>42494</v>
      </c>
      <c r="H6" s="229" t="s">
        <v>665</v>
      </c>
      <c r="I6" s="229" t="s">
        <v>666</v>
      </c>
      <c r="J6" s="229"/>
      <c r="K6" s="226" t="s">
        <v>949</v>
      </c>
      <c r="L6" s="226" t="s">
        <v>945</v>
      </c>
      <c r="M6" s="230">
        <v>86.95</v>
      </c>
      <c r="N6" s="230">
        <v>33.26</v>
      </c>
      <c r="O6" s="226" t="s">
        <v>671</v>
      </c>
      <c r="P6" s="231">
        <v>300</v>
      </c>
      <c r="Q6" s="230">
        <v>35.89</v>
      </c>
      <c r="R6" s="231">
        <v>700</v>
      </c>
      <c r="S6" s="230">
        <v>38.950000000000003</v>
      </c>
      <c r="T6" s="231">
        <v>1500</v>
      </c>
      <c r="U6" s="230">
        <v>39.869999999999997</v>
      </c>
      <c r="V6" s="232"/>
      <c r="W6" s="232"/>
      <c r="X6" s="226"/>
      <c r="Y6" s="230"/>
      <c r="Z6" s="230"/>
      <c r="AA6" s="230"/>
      <c r="AB6" s="230"/>
      <c r="AC6" s="230"/>
      <c r="AD6" s="230"/>
      <c r="AE6" s="230"/>
      <c r="AF6" s="231"/>
      <c r="AG6" s="226"/>
      <c r="AH6" s="230"/>
      <c r="AI6" s="226"/>
      <c r="AJ6" s="226"/>
      <c r="AK6" s="230"/>
      <c r="AL6" s="226"/>
      <c r="AM6" s="230"/>
      <c r="AN6" s="230"/>
      <c r="AO6" s="226" t="s">
        <v>726</v>
      </c>
      <c r="AP6" s="229" t="s">
        <v>666</v>
      </c>
      <c r="AQ6" s="229"/>
      <c r="AR6" s="229"/>
      <c r="AS6" s="233">
        <v>10</v>
      </c>
      <c r="AT6" s="229">
        <v>12</v>
      </c>
      <c r="AU6" s="229"/>
      <c r="AV6" s="229"/>
      <c r="AW6" s="229"/>
      <c r="AX6" s="229" t="s">
        <v>666</v>
      </c>
      <c r="AY6" s="226"/>
      <c r="AZ6" s="229">
        <v>0</v>
      </c>
      <c r="BA6" s="229">
        <v>0</v>
      </c>
      <c r="BB6" s="229">
        <v>7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666</v>
      </c>
      <c r="BN6" s="229"/>
      <c r="BO6" s="229" t="s">
        <v>666</v>
      </c>
      <c r="BP6" s="234"/>
      <c r="BQ6" s="229"/>
      <c r="BR6" s="229"/>
      <c r="BS6" s="229"/>
      <c r="BT6" s="226"/>
      <c r="BU6" s="226"/>
      <c r="BV6" s="229"/>
      <c r="BW6" s="229" t="s">
        <v>728</v>
      </c>
      <c r="BX6" s="229"/>
      <c r="BY6" s="226"/>
      <c r="BZ6" s="237" t="s">
        <v>888</v>
      </c>
      <c r="CA6" s="235" t="s">
        <v>426</v>
      </c>
    </row>
    <row r="7" spans="1:82" x14ac:dyDescent="0.15">
      <c r="A7" s="96">
        <v>962</v>
      </c>
      <c r="B7" s="155">
        <v>42566</v>
      </c>
      <c r="C7" s="181" t="s">
        <v>868</v>
      </c>
      <c r="D7" s="182" t="s">
        <v>663</v>
      </c>
      <c r="E7" s="160"/>
      <c r="F7" s="99" t="s">
        <v>869</v>
      </c>
      <c r="G7" s="97">
        <v>42551</v>
      </c>
      <c r="H7" s="100" t="s">
        <v>672</v>
      </c>
      <c r="I7" s="100" t="s">
        <v>673</v>
      </c>
      <c r="J7" s="100"/>
      <c r="K7" s="99" t="s">
        <v>135</v>
      </c>
      <c r="L7" s="99" t="s">
        <v>721</v>
      </c>
      <c r="M7" s="183">
        <v>88.8</v>
      </c>
      <c r="N7" s="183">
        <v>32.409090909090907</v>
      </c>
      <c r="O7" s="99" t="s">
        <v>875</v>
      </c>
      <c r="P7" s="101">
        <v>1000</v>
      </c>
      <c r="Q7" s="183">
        <v>33.25454545454545</v>
      </c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 t="s">
        <v>871</v>
      </c>
      <c r="AF7" s="101" t="s">
        <v>871</v>
      </c>
      <c r="AG7" s="99" t="s">
        <v>871</v>
      </c>
      <c r="AH7" s="99" t="s">
        <v>871</v>
      </c>
      <c r="AI7" s="99" t="s">
        <v>871</v>
      </c>
      <c r="AJ7" s="99" t="s">
        <v>871</v>
      </c>
      <c r="AK7" s="99" t="s">
        <v>871</v>
      </c>
      <c r="AL7" s="99" t="s">
        <v>871</v>
      </c>
      <c r="AM7" s="99" t="s">
        <v>871</v>
      </c>
      <c r="AN7" s="99" t="s">
        <v>871</v>
      </c>
      <c r="AO7" s="99" t="s">
        <v>872</v>
      </c>
      <c r="AP7" s="100" t="s">
        <v>673</v>
      </c>
      <c r="AQ7" s="100"/>
      <c r="AR7" s="100"/>
      <c r="AS7" s="102"/>
      <c r="AT7" s="100">
        <v>11.6</v>
      </c>
      <c r="AU7" s="100"/>
      <c r="AV7" s="100"/>
      <c r="AW7" s="100"/>
      <c r="AX7" s="100" t="s">
        <v>638</v>
      </c>
      <c r="AY7" s="99"/>
      <c r="AZ7" s="100">
        <v>0</v>
      </c>
      <c r="BA7" s="100">
        <v>0</v>
      </c>
      <c r="BB7" s="100">
        <v>0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0</v>
      </c>
      <c r="BI7" s="100">
        <v>0</v>
      </c>
      <c r="BJ7" s="100">
        <v>0</v>
      </c>
      <c r="BK7" s="100">
        <v>0</v>
      </c>
      <c r="BL7" s="100"/>
      <c r="BM7" s="100" t="s">
        <v>673</v>
      </c>
      <c r="BN7" s="100"/>
      <c r="BO7" s="100" t="s">
        <v>673</v>
      </c>
      <c r="BP7" s="222"/>
      <c r="BQ7" s="100"/>
      <c r="BR7" s="100"/>
      <c r="BS7" s="100"/>
      <c r="BT7" s="99"/>
      <c r="BU7" s="99"/>
      <c r="BV7" s="100"/>
      <c r="BW7" s="100" t="s">
        <v>873</v>
      </c>
      <c r="BX7" s="100"/>
      <c r="BY7" s="99"/>
      <c r="BZ7" s="156" t="s">
        <v>893</v>
      </c>
      <c r="CA7" s="70" t="s">
        <v>588</v>
      </c>
    </row>
    <row r="8" spans="1:82" x14ac:dyDescent="0.15">
      <c r="A8" s="96">
        <v>10289</v>
      </c>
      <c r="B8" s="155">
        <v>42566</v>
      </c>
      <c r="C8" s="181" t="s">
        <v>868</v>
      </c>
      <c r="D8" s="182" t="s">
        <v>663</v>
      </c>
      <c r="E8" s="160"/>
      <c r="F8" s="99" t="s">
        <v>869</v>
      </c>
      <c r="G8" s="97">
        <v>42551</v>
      </c>
      <c r="H8" s="100" t="s">
        <v>672</v>
      </c>
      <c r="I8" s="100" t="s">
        <v>673</v>
      </c>
      <c r="J8" s="100"/>
      <c r="K8" s="99" t="s">
        <v>136</v>
      </c>
      <c r="L8" s="99" t="s">
        <v>688</v>
      </c>
      <c r="M8" s="183">
        <v>77.999999999999986</v>
      </c>
      <c r="N8" s="183">
        <v>34.518181818181816</v>
      </c>
      <c r="O8" s="99"/>
      <c r="P8" s="101"/>
      <c r="Q8" s="183" t="s">
        <v>871</v>
      </c>
      <c r="R8" s="99"/>
      <c r="S8" s="99"/>
      <c r="T8" s="99"/>
      <c r="U8" s="99"/>
      <c r="V8" s="99"/>
      <c r="W8" s="99"/>
      <c r="X8" s="101"/>
      <c r="Y8" s="99"/>
      <c r="Z8" s="101"/>
      <c r="AA8" s="99"/>
      <c r="AB8" s="101"/>
      <c r="AC8" s="99"/>
      <c r="AD8" s="99"/>
      <c r="AE8" s="99" t="s">
        <v>871</v>
      </c>
      <c r="AF8" s="101" t="s">
        <v>871</v>
      </c>
      <c r="AG8" s="99" t="s">
        <v>871</v>
      </c>
      <c r="AH8" s="99" t="s">
        <v>871</v>
      </c>
      <c r="AI8" s="99" t="s">
        <v>871</v>
      </c>
      <c r="AJ8" s="99" t="s">
        <v>871</v>
      </c>
      <c r="AK8" s="99" t="s">
        <v>871</v>
      </c>
      <c r="AL8" s="99" t="s">
        <v>871</v>
      </c>
      <c r="AM8" s="99" t="s">
        <v>871</v>
      </c>
      <c r="AN8" s="99" t="s">
        <v>871</v>
      </c>
      <c r="AO8" s="99" t="s">
        <v>872</v>
      </c>
      <c r="AP8" s="100" t="s">
        <v>673</v>
      </c>
      <c r="AQ8" s="100"/>
      <c r="AR8" s="100"/>
      <c r="AS8" s="102"/>
      <c r="AT8" s="100">
        <v>11.5</v>
      </c>
      <c r="AU8" s="100"/>
      <c r="AV8" s="100"/>
      <c r="AW8" s="100"/>
      <c r="AX8" s="100" t="s">
        <v>638</v>
      </c>
      <c r="AY8" s="99"/>
      <c r="AZ8" s="100">
        <v>6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>
        <v>0</v>
      </c>
      <c r="BH8" s="100">
        <v>0</v>
      </c>
      <c r="BI8" s="100">
        <v>0</v>
      </c>
      <c r="BJ8" s="100">
        <v>0</v>
      </c>
      <c r="BK8" s="100">
        <v>0</v>
      </c>
      <c r="BL8" s="100"/>
      <c r="BM8" s="100" t="s">
        <v>673</v>
      </c>
      <c r="BN8" s="100">
        <v>12</v>
      </c>
      <c r="BO8" s="100" t="s">
        <v>673</v>
      </c>
      <c r="BP8" s="222"/>
      <c r="BQ8" s="100"/>
      <c r="BR8" s="100">
        <v>12</v>
      </c>
      <c r="BS8" s="100"/>
      <c r="BT8" s="99"/>
      <c r="BU8" s="99"/>
      <c r="BV8" s="100"/>
      <c r="BW8" s="100" t="s">
        <v>873</v>
      </c>
      <c r="BX8" s="100"/>
      <c r="BY8" s="99"/>
      <c r="BZ8" t="s">
        <v>895</v>
      </c>
      <c r="CA8" s="70" t="s">
        <v>588</v>
      </c>
    </row>
    <row r="9" spans="1:82" x14ac:dyDescent="0.15">
      <c r="A9" s="96">
        <v>11895</v>
      </c>
      <c r="B9" s="155">
        <v>42566</v>
      </c>
      <c r="C9" s="181" t="s">
        <v>868</v>
      </c>
      <c r="D9" s="182" t="s">
        <v>663</v>
      </c>
      <c r="E9" s="160"/>
      <c r="F9" s="99" t="s">
        <v>869</v>
      </c>
      <c r="G9" s="104">
        <v>42551</v>
      </c>
      <c r="H9" s="100" t="s">
        <v>672</v>
      </c>
      <c r="I9" s="100" t="s">
        <v>673</v>
      </c>
      <c r="J9" s="100"/>
      <c r="K9" s="99" t="s">
        <v>137</v>
      </c>
      <c r="L9" s="182" t="s">
        <v>901</v>
      </c>
      <c r="M9" s="183">
        <v>82.554545454545448</v>
      </c>
      <c r="N9" s="183">
        <v>30.95454545454545</v>
      </c>
      <c r="O9" s="99" t="s">
        <v>875</v>
      </c>
      <c r="P9" s="101">
        <v>1000</v>
      </c>
      <c r="Q9" s="183">
        <v>31.609090909090909</v>
      </c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 t="s">
        <v>871</v>
      </c>
      <c r="AF9" s="101" t="s">
        <v>871</v>
      </c>
      <c r="AG9" s="99" t="s">
        <v>871</v>
      </c>
      <c r="AH9" s="99" t="s">
        <v>871</v>
      </c>
      <c r="AI9" s="99" t="s">
        <v>871</v>
      </c>
      <c r="AJ9" s="99" t="s">
        <v>871</v>
      </c>
      <c r="AK9" s="99" t="s">
        <v>871</v>
      </c>
      <c r="AL9" s="99" t="s">
        <v>871</v>
      </c>
      <c r="AM9" s="99" t="s">
        <v>871</v>
      </c>
      <c r="AN9" s="99" t="s">
        <v>871</v>
      </c>
      <c r="AO9" s="99" t="s">
        <v>872</v>
      </c>
      <c r="AP9" s="100" t="s">
        <v>673</v>
      </c>
      <c r="AQ9" s="100"/>
      <c r="AR9" s="100"/>
      <c r="AS9" s="102"/>
      <c r="AT9" s="100">
        <v>15</v>
      </c>
      <c r="AU9" s="100"/>
      <c r="AV9" s="100"/>
      <c r="AW9" s="100"/>
      <c r="AX9" s="161" t="s">
        <v>638</v>
      </c>
      <c r="AY9" s="99"/>
      <c r="AZ9" s="100">
        <v>0</v>
      </c>
      <c r="BA9" s="100">
        <v>0</v>
      </c>
      <c r="BB9" s="100">
        <v>0</v>
      </c>
      <c r="BC9" s="100">
        <v>0</v>
      </c>
      <c r="BD9" s="100">
        <v>0</v>
      </c>
      <c r="BE9" s="100">
        <v>0</v>
      </c>
      <c r="BF9" s="100">
        <v>0</v>
      </c>
      <c r="BG9" s="100">
        <v>0</v>
      </c>
      <c r="BH9" s="100">
        <v>0</v>
      </c>
      <c r="BI9" s="100">
        <v>0</v>
      </c>
      <c r="BJ9" s="100">
        <v>0</v>
      </c>
      <c r="BK9" s="100">
        <v>0</v>
      </c>
      <c r="BL9" s="100"/>
      <c r="BM9" s="100" t="s">
        <v>673</v>
      </c>
      <c r="BN9" s="100"/>
      <c r="BO9" s="100" t="s">
        <v>673</v>
      </c>
      <c r="BP9" s="222"/>
      <c r="BQ9" s="100"/>
      <c r="BR9" s="100"/>
      <c r="BS9" s="100"/>
      <c r="BT9" s="99" t="s">
        <v>902</v>
      </c>
      <c r="BU9" s="99"/>
      <c r="BV9" s="100"/>
      <c r="BW9" s="100" t="s">
        <v>873</v>
      </c>
      <c r="BX9" s="100"/>
      <c r="BY9" s="103"/>
      <c r="BZ9" s="185" t="s">
        <v>903</v>
      </c>
      <c r="CA9" s="70" t="s">
        <v>588</v>
      </c>
    </row>
    <row r="10" spans="1:82" x14ac:dyDescent="0.15">
      <c r="A10" s="96">
        <v>990</v>
      </c>
      <c r="B10" s="155">
        <v>42566</v>
      </c>
      <c r="C10" s="181" t="s">
        <v>868</v>
      </c>
      <c r="D10" s="182" t="s">
        <v>663</v>
      </c>
      <c r="E10" s="160"/>
      <c r="F10" s="99" t="s">
        <v>869</v>
      </c>
      <c r="G10" s="97">
        <v>42551</v>
      </c>
      <c r="H10" s="100" t="s">
        <v>672</v>
      </c>
      <c r="I10" s="100" t="s">
        <v>673</v>
      </c>
      <c r="J10" s="100"/>
      <c r="K10" s="99" t="s">
        <v>138</v>
      </c>
      <c r="L10" s="99" t="s">
        <v>904</v>
      </c>
      <c r="M10" s="183">
        <v>91.527272727272731</v>
      </c>
      <c r="N10" s="183">
        <v>32.454545454545453</v>
      </c>
      <c r="O10" s="99"/>
      <c r="P10" s="101"/>
      <c r="Q10" s="183" t="s">
        <v>871</v>
      </c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 t="s">
        <v>871</v>
      </c>
      <c r="AF10" s="101" t="s">
        <v>871</v>
      </c>
      <c r="AG10" s="99" t="s">
        <v>871</v>
      </c>
      <c r="AH10" s="99" t="s">
        <v>871</v>
      </c>
      <c r="AI10" s="99" t="s">
        <v>871</v>
      </c>
      <c r="AJ10" s="99" t="s">
        <v>871</v>
      </c>
      <c r="AK10" s="99" t="s">
        <v>871</v>
      </c>
      <c r="AL10" s="99" t="s">
        <v>871</v>
      </c>
      <c r="AM10" s="99" t="s">
        <v>871</v>
      </c>
      <c r="AN10" s="99" t="s">
        <v>871</v>
      </c>
      <c r="AO10" s="99" t="s">
        <v>872</v>
      </c>
      <c r="AP10" s="100" t="s">
        <v>673</v>
      </c>
      <c r="AQ10" s="100"/>
      <c r="AR10" s="100"/>
      <c r="AS10" s="102"/>
      <c r="AT10" s="100">
        <v>6.8</v>
      </c>
      <c r="AU10" s="100"/>
      <c r="AV10" s="100"/>
      <c r="AW10" s="100"/>
      <c r="AX10" s="100" t="s">
        <v>673</v>
      </c>
      <c r="AY10" s="99"/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0</v>
      </c>
      <c r="BH10" s="100">
        <v>0</v>
      </c>
      <c r="BI10" s="100">
        <v>0</v>
      </c>
      <c r="BJ10" s="100">
        <v>0</v>
      </c>
      <c r="BK10" s="100">
        <v>0</v>
      </c>
      <c r="BL10" s="100"/>
      <c r="BM10" s="100" t="s">
        <v>673</v>
      </c>
      <c r="BN10" s="100"/>
      <c r="BO10" s="100" t="s">
        <v>673</v>
      </c>
      <c r="BP10" s="222"/>
      <c r="BQ10" s="100"/>
      <c r="BR10" s="100"/>
      <c r="BS10" s="100"/>
      <c r="BT10" s="99"/>
      <c r="BU10" s="99"/>
      <c r="BV10" s="100"/>
      <c r="BW10" s="100" t="s">
        <v>873</v>
      </c>
      <c r="BX10" s="100"/>
      <c r="BY10" s="99"/>
      <c r="BZ10" s="156" t="s">
        <v>905</v>
      </c>
      <c r="CA10" s="157" t="s">
        <v>588</v>
      </c>
    </row>
    <row r="11" spans="1:82" x14ac:dyDescent="0.15">
      <c r="A11" s="96">
        <v>10575</v>
      </c>
      <c r="B11" s="155">
        <v>42566</v>
      </c>
      <c r="C11" s="181" t="s">
        <v>868</v>
      </c>
      <c r="D11" s="182" t="s">
        <v>663</v>
      </c>
      <c r="E11" s="160"/>
      <c r="F11" s="99" t="s">
        <v>869</v>
      </c>
      <c r="G11" s="104">
        <v>42551</v>
      </c>
      <c r="H11" s="100" t="s">
        <v>672</v>
      </c>
      <c r="I11" s="100" t="s">
        <v>673</v>
      </c>
      <c r="J11" s="100"/>
      <c r="K11" s="99" t="s">
        <v>139</v>
      </c>
      <c r="L11" s="99" t="s">
        <v>703</v>
      </c>
      <c r="M11" s="183">
        <v>77.918181818181807</v>
      </c>
      <c r="N11" s="183">
        <v>34.527272727272724</v>
      </c>
      <c r="O11" s="99" t="s">
        <v>875</v>
      </c>
      <c r="P11" s="101">
        <v>1000</v>
      </c>
      <c r="Q11" s="183">
        <v>36.845454545454544</v>
      </c>
      <c r="R11" s="99"/>
      <c r="S11" s="99"/>
      <c r="T11" s="99"/>
      <c r="U11" s="99"/>
      <c r="V11" s="99"/>
      <c r="W11" s="99"/>
      <c r="X11" s="99"/>
      <c r="Y11" s="99"/>
      <c r="Z11" s="101"/>
      <c r="AA11" s="99"/>
      <c r="AB11" s="101"/>
      <c r="AC11" s="99"/>
      <c r="AD11" s="99"/>
      <c r="AE11" s="99" t="s">
        <v>871</v>
      </c>
      <c r="AF11" s="101" t="s">
        <v>871</v>
      </c>
      <c r="AG11" s="99" t="s">
        <v>871</v>
      </c>
      <c r="AH11" s="99" t="s">
        <v>871</v>
      </c>
      <c r="AI11" s="99" t="s">
        <v>871</v>
      </c>
      <c r="AJ11" s="99" t="s">
        <v>871</v>
      </c>
      <c r="AK11" s="99" t="s">
        <v>871</v>
      </c>
      <c r="AL11" s="99" t="s">
        <v>871</v>
      </c>
      <c r="AM11" s="99" t="s">
        <v>871</v>
      </c>
      <c r="AN11" s="99" t="s">
        <v>871</v>
      </c>
      <c r="AO11" s="99" t="s">
        <v>872</v>
      </c>
      <c r="AP11" s="100" t="s">
        <v>673</v>
      </c>
      <c r="AQ11" s="100"/>
      <c r="AR11" s="100"/>
      <c r="AS11" s="102"/>
      <c r="AT11" s="100">
        <v>8</v>
      </c>
      <c r="AU11" s="100"/>
      <c r="AV11" s="100"/>
      <c r="AW11" s="100"/>
      <c r="AX11" s="100" t="s">
        <v>638</v>
      </c>
      <c r="AY11" s="99"/>
      <c r="AZ11" s="100">
        <v>13</v>
      </c>
      <c r="BA11" s="100">
        <v>0</v>
      </c>
      <c r="BB11" s="100">
        <v>0</v>
      </c>
      <c r="BC11" s="100">
        <v>0</v>
      </c>
      <c r="BD11" s="100">
        <v>0</v>
      </c>
      <c r="BE11" s="100">
        <v>0</v>
      </c>
      <c r="BF11" s="100">
        <v>0</v>
      </c>
      <c r="BG11" s="100">
        <v>0</v>
      </c>
      <c r="BH11" s="100">
        <v>0</v>
      </c>
      <c r="BI11" s="100">
        <v>0</v>
      </c>
      <c r="BJ11" s="100">
        <v>0</v>
      </c>
      <c r="BK11" s="100">
        <v>0</v>
      </c>
      <c r="BL11" s="100"/>
      <c r="BM11" s="100" t="s">
        <v>673</v>
      </c>
      <c r="BN11" s="100">
        <v>12</v>
      </c>
      <c r="BO11" s="100" t="s">
        <v>673</v>
      </c>
      <c r="BP11" s="222"/>
      <c r="BQ11" s="100"/>
      <c r="BR11" s="100"/>
      <c r="BS11" s="100"/>
      <c r="BT11" s="103"/>
      <c r="BU11" s="103"/>
      <c r="BV11" s="100"/>
      <c r="BW11" s="100" t="s">
        <v>873</v>
      </c>
      <c r="BX11" s="100"/>
      <c r="BY11" s="186"/>
      <c r="BZ11" s="156" t="s">
        <v>906</v>
      </c>
      <c r="CA11" s="156" t="s">
        <v>588</v>
      </c>
    </row>
    <row r="12" spans="1:82" x14ac:dyDescent="0.15">
      <c r="A12" s="96">
        <v>13107</v>
      </c>
      <c r="B12" s="155">
        <v>42566</v>
      </c>
      <c r="C12" s="181" t="s">
        <v>868</v>
      </c>
      <c r="D12" s="182" t="s">
        <v>663</v>
      </c>
      <c r="E12" s="160"/>
      <c r="F12" s="99" t="s">
        <v>869</v>
      </c>
      <c r="G12" s="97">
        <v>42551</v>
      </c>
      <c r="H12" s="100" t="s">
        <v>672</v>
      </c>
      <c r="I12" s="100" t="s">
        <v>673</v>
      </c>
      <c r="J12" s="100"/>
      <c r="K12" s="99" t="s">
        <v>140</v>
      </c>
      <c r="L12" s="99" t="s">
        <v>914</v>
      </c>
      <c r="M12" s="183">
        <v>71.536363636363632</v>
      </c>
      <c r="N12" s="183">
        <v>30.518181818181816</v>
      </c>
      <c r="O12" s="99"/>
      <c r="P12" s="101"/>
      <c r="Q12" s="183" t="s">
        <v>871</v>
      </c>
      <c r="R12" s="99"/>
      <c r="S12" s="99"/>
      <c r="T12" s="99"/>
      <c r="U12" s="99"/>
      <c r="V12" s="99"/>
      <c r="W12" s="99"/>
      <c r="X12" s="99"/>
      <c r="Y12" s="99"/>
      <c r="Z12" s="101"/>
      <c r="AA12" s="99"/>
      <c r="AB12" s="101"/>
      <c r="AC12" s="99"/>
      <c r="AD12" s="99"/>
      <c r="AE12" s="99" t="s">
        <v>871</v>
      </c>
      <c r="AF12" s="101" t="s">
        <v>871</v>
      </c>
      <c r="AG12" s="99" t="s">
        <v>871</v>
      </c>
      <c r="AH12" s="99" t="s">
        <v>871</v>
      </c>
      <c r="AI12" s="99" t="s">
        <v>871</v>
      </c>
      <c r="AJ12" s="99" t="s">
        <v>871</v>
      </c>
      <c r="AK12" s="99" t="s">
        <v>871</v>
      </c>
      <c r="AL12" s="99" t="s">
        <v>871</v>
      </c>
      <c r="AM12" s="99" t="s">
        <v>871</v>
      </c>
      <c r="AN12" s="99" t="s">
        <v>871</v>
      </c>
      <c r="AO12" s="99" t="s">
        <v>872</v>
      </c>
      <c r="AP12" s="100" t="s">
        <v>673</v>
      </c>
      <c r="AQ12" s="100"/>
      <c r="AR12" s="100"/>
      <c r="AS12" s="102"/>
      <c r="AT12" s="100">
        <v>12.4</v>
      </c>
      <c r="AU12" s="100"/>
      <c r="AV12" s="100"/>
      <c r="AW12" s="100"/>
      <c r="AX12" s="100" t="s">
        <v>638</v>
      </c>
      <c r="AY12" s="99"/>
      <c r="AZ12" s="100">
        <v>0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0</v>
      </c>
      <c r="BH12" s="100">
        <v>0</v>
      </c>
      <c r="BI12" s="100">
        <v>0</v>
      </c>
      <c r="BJ12" s="100">
        <v>0</v>
      </c>
      <c r="BK12" s="100">
        <v>0</v>
      </c>
      <c r="BL12" s="100"/>
      <c r="BM12" s="100" t="s">
        <v>673</v>
      </c>
      <c r="BN12" s="100">
        <v>12</v>
      </c>
      <c r="BO12" s="100" t="s">
        <v>673</v>
      </c>
      <c r="BP12" s="222"/>
      <c r="BQ12" s="100"/>
      <c r="BR12" s="100"/>
      <c r="BS12" s="223"/>
      <c r="BT12" s="99"/>
      <c r="BU12" s="99"/>
      <c r="BV12" s="100"/>
      <c r="BW12" s="100" t="s">
        <v>873</v>
      </c>
      <c r="BX12" s="100"/>
      <c r="BY12" s="182"/>
      <c r="BZ12" s="185" t="s">
        <v>915</v>
      </c>
      <c r="CA12" t="s">
        <v>588</v>
      </c>
    </row>
    <row r="13" spans="1:82" x14ac:dyDescent="0.15">
      <c r="A13" s="96">
        <v>11320</v>
      </c>
      <c r="B13" s="155">
        <v>42566</v>
      </c>
      <c r="C13" s="181" t="s">
        <v>868</v>
      </c>
      <c r="D13" s="182" t="s">
        <v>663</v>
      </c>
      <c r="E13" s="160"/>
      <c r="F13" s="99" t="s">
        <v>869</v>
      </c>
      <c r="G13" s="104">
        <v>42551</v>
      </c>
      <c r="H13" s="100" t="s">
        <v>672</v>
      </c>
      <c r="I13" s="100" t="s">
        <v>673</v>
      </c>
      <c r="J13" s="100"/>
      <c r="K13" s="99" t="s">
        <v>141</v>
      </c>
      <c r="L13" s="99" t="s">
        <v>919</v>
      </c>
      <c r="M13" s="183">
        <v>107</v>
      </c>
      <c r="N13" s="183">
        <v>31.781818181818181</v>
      </c>
      <c r="O13" s="99"/>
      <c r="P13" s="101"/>
      <c r="Q13" s="183" t="s">
        <v>871</v>
      </c>
      <c r="R13" s="99"/>
      <c r="S13" s="99"/>
      <c r="T13" s="99"/>
      <c r="U13" s="99"/>
      <c r="V13" s="99"/>
      <c r="W13" s="99"/>
      <c r="X13" s="101"/>
      <c r="Y13" s="99"/>
      <c r="Z13" s="101"/>
      <c r="AA13" s="99"/>
      <c r="AB13" s="101"/>
      <c r="AC13" s="99"/>
      <c r="AD13" s="99"/>
      <c r="AE13" s="99" t="s">
        <v>871</v>
      </c>
      <c r="AF13" s="101" t="s">
        <v>871</v>
      </c>
      <c r="AG13" s="99" t="s">
        <v>871</v>
      </c>
      <c r="AH13" s="99" t="s">
        <v>871</v>
      </c>
      <c r="AI13" s="99" t="s">
        <v>871</v>
      </c>
      <c r="AJ13" s="99" t="s">
        <v>871</v>
      </c>
      <c r="AK13" s="99" t="s">
        <v>871</v>
      </c>
      <c r="AL13" s="99" t="s">
        <v>871</v>
      </c>
      <c r="AM13" s="99" t="s">
        <v>871</v>
      </c>
      <c r="AN13" s="99" t="s">
        <v>871</v>
      </c>
      <c r="AO13" s="99" t="s">
        <v>872</v>
      </c>
      <c r="AP13" s="100" t="s">
        <v>673</v>
      </c>
      <c r="AQ13" s="100"/>
      <c r="AR13" s="100"/>
      <c r="AS13" s="102"/>
      <c r="AT13" s="100">
        <v>14.2</v>
      </c>
      <c r="AU13" s="100"/>
      <c r="AV13" s="100"/>
      <c r="AW13" s="100"/>
      <c r="AX13" s="100" t="s">
        <v>638</v>
      </c>
      <c r="AY13" s="99"/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>
        <v>0</v>
      </c>
      <c r="BH13" s="100">
        <v>0</v>
      </c>
      <c r="BI13" s="100">
        <v>0</v>
      </c>
      <c r="BJ13" s="100">
        <v>0</v>
      </c>
      <c r="BK13" s="100">
        <v>0</v>
      </c>
      <c r="BL13" s="100"/>
      <c r="BM13" s="100" t="s">
        <v>673</v>
      </c>
      <c r="BN13" s="100"/>
      <c r="BO13" s="100" t="s">
        <v>673</v>
      </c>
      <c r="BP13" s="222"/>
      <c r="BQ13" s="100"/>
      <c r="BR13" s="100"/>
      <c r="BS13" s="100"/>
      <c r="BT13" s="99"/>
      <c r="BU13" s="99"/>
      <c r="BV13" s="100"/>
      <c r="BW13" s="100" t="s">
        <v>873</v>
      </c>
      <c r="BX13" s="100"/>
      <c r="BY13" s="99"/>
      <c r="BZ13" s="185" t="s">
        <v>920</v>
      </c>
      <c r="CA13" s="156" t="s">
        <v>588</v>
      </c>
    </row>
    <row r="14" spans="1:82" x14ac:dyDescent="0.15">
      <c r="A14" s="96">
        <v>10995</v>
      </c>
      <c r="B14" s="155">
        <v>42605</v>
      </c>
      <c r="C14" s="181" t="s">
        <v>868</v>
      </c>
      <c r="D14" s="182" t="s">
        <v>663</v>
      </c>
      <c r="E14" s="160"/>
      <c r="F14" s="99" t="s">
        <v>869</v>
      </c>
      <c r="G14" s="97">
        <v>42593</v>
      </c>
      <c r="H14" s="100" t="s">
        <v>672</v>
      </c>
      <c r="I14" s="100" t="s">
        <v>673</v>
      </c>
      <c r="J14" s="100"/>
      <c r="K14" s="99" t="s">
        <v>708</v>
      </c>
      <c r="L14" s="99" t="s">
        <v>894</v>
      </c>
      <c r="M14" s="183">
        <v>70</v>
      </c>
      <c r="N14" s="183">
        <v>27.27</v>
      </c>
      <c r="O14" s="99"/>
      <c r="P14" s="101"/>
      <c r="Q14" s="183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 t="s">
        <v>871</v>
      </c>
      <c r="AF14" s="101" t="s">
        <v>871</v>
      </c>
      <c r="AG14" s="99" t="s">
        <v>871</v>
      </c>
      <c r="AH14" s="99" t="s">
        <v>871</v>
      </c>
      <c r="AI14" s="99" t="s">
        <v>871</v>
      </c>
      <c r="AJ14" s="99" t="s">
        <v>871</v>
      </c>
      <c r="AK14" s="99" t="s">
        <v>871</v>
      </c>
      <c r="AL14" s="99" t="s">
        <v>871</v>
      </c>
      <c r="AM14" s="99" t="s">
        <v>871</v>
      </c>
      <c r="AN14" s="99" t="s">
        <v>871</v>
      </c>
      <c r="AO14" s="99" t="s">
        <v>872</v>
      </c>
      <c r="AP14" s="100" t="s">
        <v>673</v>
      </c>
      <c r="AQ14" s="100"/>
      <c r="AR14" s="100"/>
      <c r="AS14" s="102"/>
      <c r="AT14" s="100">
        <v>14</v>
      </c>
      <c r="AU14" s="100"/>
      <c r="AV14" s="100"/>
      <c r="AW14" s="100"/>
      <c r="AX14" s="100" t="s">
        <v>638</v>
      </c>
      <c r="AY14" s="99"/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>
        <v>0</v>
      </c>
      <c r="BJ14" s="100">
        <v>0</v>
      </c>
      <c r="BK14" s="100">
        <v>0</v>
      </c>
      <c r="BL14" s="100"/>
      <c r="BM14" s="100" t="s">
        <v>673</v>
      </c>
      <c r="BN14" s="100"/>
      <c r="BO14" s="100" t="s">
        <v>673</v>
      </c>
      <c r="BP14" s="222">
        <v>185.35</v>
      </c>
      <c r="BQ14" s="100"/>
      <c r="BR14" s="100"/>
      <c r="BS14" s="223">
        <v>42916</v>
      </c>
      <c r="BT14" s="99"/>
      <c r="BU14" s="99"/>
      <c r="BV14" s="100"/>
      <c r="BW14" s="100" t="s">
        <v>873</v>
      </c>
      <c r="BX14" s="100"/>
      <c r="BY14" s="182" t="s">
        <v>946</v>
      </c>
      <c r="BZ14" s="185" t="s">
        <v>947</v>
      </c>
      <c r="CA14" s="157" t="s">
        <v>426</v>
      </c>
      <c r="CD14" s="183"/>
    </row>
    <row r="15" spans="1:82" x14ac:dyDescent="0.15">
      <c r="A15" s="96">
        <v>13156</v>
      </c>
      <c r="B15" s="155">
        <v>42566</v>
      </c>
      <c r="C15" s="181" t="s">
        <v>868</v>
      </c>
      <c r="D15" s="182" t="s">
        <v>663</v>
      </c>
      <c r="E15" s="160"/>
      <c r="F15" s="99" t="s">
        <v>869</v>
      </c>
      <c r="G15" s="97">
        <v>42551</v>
      </c>
      <c r="H15" s="100" t="s">
        <v>672</v>
      </c>
      <c r="I15" s="100" t="s">
        <v>673</v>
      </c>
      <c r="J15" s="100"/>
      <c r="K15" s="99" t="s">
        <v>142</v>
      </c>
      <c r="L15" s="99" t="s">
        <v>921</v>
      </c>
      <c r="M15" s="183">
        <v>97</v>
      </c>
      <c r="N15" s="183">
        <v>32.781818181818181</v>
      </c>
      <c r="O15" s="99"/>
      <c r="P15" s="101"/>
      <c r="Q15" s="183" t="s">
        <v>871</v>
      </c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 t="s">
        <v>871</v>
      </c>
      <c r="AF15" s="99" t="s">
        <v>871</v>
      </c>
      <c r="AG15" s="99" t="s">
        <v>871</v>
      </c>
      <c r="AH15" s="99" t="s">
        <v>871</v>
      </c>
      <c r="AI15" s="99" t="s">
        <v>871</v>
      </c>
      <c r="AJ15" s="99" t="s">
        <v>871</v>
      </c>
      <c r="AK15" s="99" t="s">
        <v>871</v>
      </c>
      <c r="AL15" s="99" t="s">
        <v>871</v>
      </c>
      <c r="AM15" s="99" t="s">
        <v>871</v>
      </c>
      <c r="AN15" s="99" t="s">
        <v>871</v>
      </c>
      <c r="AO15" s="99" t="s">
        <v>872</v>
      </c>
      <c r="AP15" s="100" t="s">
        <v>673</v>
      </c>
      <c r="AQ15" s="100"/>
      <c r="AR15" s="100"/>
      <c r="AS15" s="102"/>
      <c r="AT15" s="100">
        <v>15</v>
      </c>
      <c r="AU15" s="100"/>
      <c r="AV15" s="100"/>
      <c r="AW15" s="100"/>
      <c r="AX15" s="100" t="s">
        <v>673</v>
      </c>
      <c r="AY15" s="99"/>
      <c r="AZ15" s="100">
        <v>0</v>
      </c>
      <c r="BA15" s="100">
        <v>8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0</v>
      </c>
      <c r="BH15" s="100">
        <v>0</v>
      </c>
      <c r="BI15" s="100">
        <v>0</v>
      </c>
      <c r="BJ15" s="100">
        <v>0</v>
      </c>
      <c r="BK15" s="100">
        <v>0</v>
      </c>
      <c r="BL15" s="100"/>
      <c r="BM15" s="100" t="s">
        <v>673</v>
      </c>
      <c r="BN15" s="100"/>
      <c r="BO15" s="100" t="s">
        <v>673</v>
      </c>
      <c r="BP15" s="222"/>
      <c r="BQ15" s="100"/>
      <c r="BR15" s="100"/>
      <c r="BS15" s="100"/>
      <c r="BT15" s="99"/>
      <c r="BU15" s="99"/>
      <c r="BV15" s="100"/>
      <c r="BW15" s="100" t="s">
        <v>873</v>
      </c>
      <c r="BX15" s="100">
        <v>1</v>
      </c>
      <c r="BY15" s="99"/>
      <c r="BZ15" t="s">
        <v>922</v>
      </c>
      <c r="CA15" s="156" t="s">
        <v>588</v>
      </c>
    </row>
    <row r="16" spans="1:82" x14ac:dyDescent="0.15">
      <c r="A16" s="96">
        <v>13002</v>
      </c>
      <c r="B16" s="155">
        <v>42566</v>
      </c>
      <c r="C16" s="181" t="s">
        <v>868</v>
      </c>
      <c r="D16" s="182" t="s">
        <v>663</v>
      </c>
      <c r="E16" s="160"/>
      <c r="F16" s="99" t="s">
        <v>869</v>
      </c>
      <c r="G16" s="97">
        <v>42551</v>
      </c>
      <c r="H16" s="100" t="s">
        <v>673</v>
      </c>
      <c r="I16" s="100" t="s">
        <v>722</v>
      </c>
      <c r="J16" s="100"/>
      <c r="K16" s="99" t="s">
        <v>614</v>
      </c>
      <c r="L16" s="182" t="s">
        <v>877</v>
      </c>
      <c r="M16" s="183">
        <v>85.009090909090901</v>
      </c>
      <c r="N16" s="183">
        <v>30.545454545454543</v>
      </c>
      <c r="O16" s="99" t="s">
        <v>875</v>
      </c>
      <c r="P16" s="101">
        <v>1000</v>
      </c>
      <c r="Q16" s="183">
        <v>30.545454545454543</v>
      </c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 t="s">
        <v>871</v>
      </c>
      <c r="AF16" s="101" t="s">
        <v>871</v>
      </c>
      <c r="AG16" s="99" t="s">
        <v>871</v>
      </c>
      <c r="AH16" s="99" t="s">
        <v>871</v>
      </c>
      <c r="AI16" s="99" t="s">
        <v>871</v>
      </c>
      <c r="AJ16" s="99" t="s">
        <v>871</v>
      </c>
      <c r="AK16" s="99" t="s">
        <v>871</v>
      </c>
      <c r="AL16" s="99" t="s">
        <v>871</v>
      </c>
      <c r="AM16" s="99" t="s">
        <v>871</v>
      </c>
      <c r="AN16" s="99" t="s">
        <v>871</v>
      </c>
      <c r="AO16" s="99" t="s">
        <v>872</v>
      </c>
      <c r="AP16" s="100" t="s">
        <v>673</v>
      </c>
      <c r="AQ16" s="100"/>
      <c r="AR16" s="100"/>
      <c r="AS16" s="102"/>
      <c r="AT16" s="100">
        <v>14</v>
      </c>
      <c r="AU16" s="100"/>
      <c r="AV16" s="100"/>
      <c r="AW16" s="100"/>
      <c r="AX16" s="100" t="s">
        <v>673</v>
      </c>
      <c r="AY16" s="99"/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>
        <v>0</v>
      </c>
      <c r="BJ16" s="100">
        <v>0</v>
      </c>
      <c r="BK16" s="100">
        <v>0</v>
      </c>
      <c r="BL16" s="100"/>
      <c r="BM16" s="100" t="s">
        <v>673</v>
      </c>
      <c r="BN16" s="100"/>
      <c r="BO16" s="100" t="s">
        <v>673</v>
      </c>
      <c r="BP16" s="222"/>
      <c r="BQ16" s="100"/>
      <c r="BR16" s="100"/>
      <c r="BS16" s="100"/>
      <c r="BT16" s="103"/>
      <c r="BU16" s="99"/>
      <c r="BV16" s="100"/>
      <c r="BW16" s="100" t="s">
        <v>873</v>
      </c>
      <c r="BX16" s="100">
        <v>1</v>
      </c>
      <c r="BY16" s="99"/>
      <c r="BZ16" s="185" t="s">
        <v>878</v>
      </c>
      <c r="CA16" s="156" t="s">
        <v>588</v>
      </c>
    </row>
    <row r="17" spans="1:79" x14ac:dyDescent="0.15">
      <c r="A17" s="96">
        <v>10701</v>
      </c>
      <c r="B17" s="155">
        <v>42566</v>
      </c>
      <c r="C17" s="181" t="s">
        <v>868</v>
      </c>
      <c r="D17" s="182" t="s">
        <v>663</v>
      </c>
      <c r="E17" s="160"/>
      <c r="F17" s="99" t="s">
        <v>869</v>
      </c>
      <c r="G17" s="97">
        <v>42551</v>
      </c>
      <c r="H17" s="100" t="s">
        <v>672</v>
      </c>
      <c r="I17" s="100" t="s">
        <v>673</v>
      </c>
      <c r="J17" s="100"/>
      <c r="K17" s="182" t="s">
        <v>714</v>
      </c>
      <c r="L17" s="182" t="s">
        <v>715</v>
      </c>
      <c r="M17" s="183">
        <v>103.62727272727271</v>
      </c>
      <c r="N17" s="183">
        <v>26.727272727272723</v>
      </c>
      <c r="O17" s="99"/>
      <c r="P17" s="101"/>
      <c r="Q17" s="183" t="s">
        <v>871</v>
      </c>
      <c r="R17" s="99"/>
      <c r="S17" s="99"/>
      <c r="T17" s="99"/>
      <c r="U17" s="99"/>
      <c r="V17" s="99"/>
      <c r="W17" s="99"/>
      <c r="X17" s="101"/>
      <c r="Y17" s="99"/>
      <c r="Z17" s="101"/>
      <c r="AA17" s="99"/>
      <c r="AB17" s="101"/>
      <c r="AC17" s="99"/>
      <c r="AD17" s="99"/>
      <c r="AE17" s="99" t="s">
        <v>871</v>
      </c>
      <c r="AF17" s="101" t="s">
        <v>871</v>
      </c>
      <c r="AG17" s="99" t="s">
        <v>871</v>
      </c>
      <c r="AH17" s="99" t="s">
        <v>871</v>
      </c>
      <c r="AI17" s="99" t="s">
        <v>871</v>
      </c>
      <c r="AJ17" s="99" t="s">
        <v>871</v>
      </c>
      <c r="AK17" s="99" t="s">
        <v>871</v>
      </c>
      <c r="AL17" s="99" t="s">
        <v>871</v>
      </c>
      <c r="AM17" s="99" t="s">
        <v>871</v>
      </c>
      <c r="AN17" s="99" t="s">
        <v>871</v>
      </c>
      <c r="AO17" s="99" t="s">
        <v>872</v>
      </c>
      <c r="AP17" s="100" t="s">
        <v>673</v>
      </c>
      <c r="AQ17" s="100"/>
      <c r="AR17" s="100"/>
      <c r="AS17" s="102"/>
      <c r="AT17" s="100">
        <v>7.5</v>
      </c>
      <c r="AU17" s="100"/>
      <c r="AV17" s="100"/>
      <c r="AW17" s="100"/>
      <c r="AX17" s="100" t="s">
        <v>638</v>
      </c>
      <c r="AY17" s="99"/>
      <c r="AZ17" s="100">
        <v>0</v>
      </c>
      <c r="BA17" s="100">
        <v>0</v>
      </c>
      <c r="BB17" s="100">
        <v>6</v>
      </c>
      <c r="BC17" s="100">
        <v>0</v>
      </c>
      <c r="BD17" s="100">
        <v>0</v>
      </c>
      <c r="BE17" s="100">
        <v>0</v>
      </c>
      <c r="BF17" s="100">
        <v>0</v>
      </c>
      <c r="BG17" s="100">
        <v>0</v>
      </c>
      <c r="BH17" s="100">
        <v>0</v>
      </c>
      <c r="BI17" s="100">
        <v>0</v>
      </c>
      <c r="BJ17" s="100">
        <v>0</v>
      </c>
      <c r="BK17" s="100">
        <v>0</v>
      </c>
      <c r="BL17" s="100"/>
      <c r="BM17" s="100" t="s">
        <v>673</v>
      </c>
      <c r="BN17" s="100"/>
      <c r="BO17" s="100" t="s">
        <v>673</v>
      </c>
      <c r="BP17" s="222"/>
      <c r="BQ17" s="100"/>
      <c r="BR17" s="100"/>
      <c r="BS17" s="100"/>
      <c r="BT17" s="103"/>
      <c r="BU17" s="103"/>
      <c r="BV17" s="100"/>
      <c r="BW17" s="100" t="s">
        <v>873</v>
      </c>
      <c r="BX17" s="100">
        <v>1</v>
      </c>
      <c r="BY17" s="182" t="s">
        <v>916</v>
      </c>
      <c r="BZ17" s="185" t="s">
        <v>917</v>
      </c>
      <c r="CA17" t="s">
        <v>588</v>
      </c>
    </row>
    <row r="18" spans="1:79" x14ac:dyDescent="0.15">
      <c r="A18" s="96">
        <v>10052</v>
      </c>
      <c r="B18" s="155">
        <v>42570</v>
      </c>
      <c r="C18" s="181" t="s">
        <v>868</v>
      </c>
      <c r="D18" s="182" t="s">
        <v>663</v>
      </c>
      <c r="E18" s="160"/>
      <c r="F18" s="99" t="s">
        <v>869</v>
      </c>
      <c r="G18" s="97">
        <v>42565</v>
      </c>
      <c r="H18" s="161" t="s">
        <v>673</v>
      </c>
      <c r="I18" s="161" t="s">
        <v>722</v>
      </c>
      <c r="J18" s="100"/>
      <c r="K18" s="182" t="s">
        <v>779</v>
      </c>
      <c r="L18" s="182" t="s">
        <v>724</v>
      </c>
      <c r="M18" s="183">
        <v>78.900000000000006</v>
      </c>
      <c r="N18" s="183">
        <v>24.045454545454543</v>
      </c>
      <c r="O18" s="99"/>
      <c r="P18" s="101"/>
      <c r="Q18" s="183" t="s">
        <v>871</v>
      </c>
      <c r="R18" s="99"/>
      <c r="S18" s="99"/>
      <c r="T18" s="99"/>
      <c r="U18" s="99"/>
      <c r="V18" s="99"/>
      <c r="W18" s="99"/>
      <c r="X18" s="101"/>
      <c r="Y18" s="99"/>
      <c r="Z18" s="101"/>
      <c r="AA18" s="99"/>
      <c r="AB18" s="101"/>
      <c r="AC18" s="99"/>
      <c r="AD18" s="99"/>
      <c r="AE18" s="99" t="s">
        <v>871</v>
      </c>
      <c r="AF18" s="101" t="s">
        <v>871</v>
      </c>
      <c r="AG18" s="99" t="s">
        <v>871</v>
      </c>
      <c r="AH18" s="99" t="s">
        <v>871</v>
      </c>
      <c r="AI18" s="99" t="s">
        <v>871</v>
      </c>
      <c r="AJ18" s="99" t="s">
        <v>871</v>
      </c>
      <c r="AK18" s="99" t="s">
        <v>871</v>
      </c>
      <c r="AL18" s="99" t="s">
        <v>871</v>
      </c>
      <c r="AM18" s="99" t="s">
        <v>871</v>
      </c>
      <c r="AN18" s="99" t="s">
        <v>871</v>
      </c>
      <c r="AO18" s="99" t="s">
        <v>872</v>
      </c>
      <c r="AP18" s="100" t="s">
        <v>673</v>
      </c>
      <c r="AQ18" s="100"/>
      <c r="AR18" s="100"/>
      <c r="AS18" s="102"/>
      <c r="AT18" s="100"/>
      <c r="AU18" s="100"/>
      <c r="AV18" s="100"/>
      <c r="AW18" s="100"/>
      <c r="AX18" s="100" t="s">
        <v>673</v>
      </c>
      <c r="AY18" s="99"/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>
        <v>0</v>
      </c>
      <c r="BJ18" s="100">
        <v>0</v>
      </c>
      <c r="BK18" s="100">
        <v>0</v>
      </c>
      <c r="BL18" s="100"/>
      <c r="BM18" s="100" t="s">
        <v>673</v>
      </c>
      <c r="BN18" s="100"/>
      <c r="BO18" s="100" t="s">
        <v>673</v>
      </c>
      <c r="BP18" s="222">
        <v>35.454545454545453</v>
      </c>
      <c r="BQ18" s="100"/>
      <c r="BR18" s="100"/>
      <c r="BS18" s="100"/>
      <c r="BT18" s="99"/>
      <c r="BU18" s="99"/>
      <c r="BV18" s="100"/>
      <c r="BW18" s="100" t="s">
        <v>873</v>
      </c>
      <c r="BX18" s="100">
        <v>1</v>
      </c>
      <c r="BY18" s="182" t="s">
        <v>912</v>
      </c>
      <c r="BZ18" s="156" t="s">
        <v>913</v>
      </c>
      <c r="CA18" s="157" t="s">
        <v>426</v>
      </c>
    </row>
    <row r="19" spans="1:79" x14ac:dyDescent="0.15">
      <c r="A19" s="96">
        <v>13297</v>
      </c>
      <c r="B19" s="155">
        <v>42568</v>
      </c>
      <c r="C19" s="181" t="s">
        <v>868</v>
      </c>
      <c r="D19" s="182" t="s">
        <v>663</v>
      </c>
      <c r="E19" s="160"/>
      <c r="F19" s="99" t="s">
        <v>869</v>
      </c>
      <c r="G19" s="155">
        <v>42566</v>
      </c>
      <c r="H19" s="100" t="s">
        <v>673</v>
      </c>
      <c r="I19" s="100" t="s">
        <v>722</v>
      </c>
      <c r="J19" s="100"/>
      <c r="K19" s="99" t="s">
        <v>720</v>
      </c>
      <c r="L19" s="99" t="s">
        <v>879</v>
      </c>
      <c r="M19" s="183">
        <v>84.36363636363636</v>
      </c>
      <c r="N19" s="183">
        <v>31.209090909090904</v>
      </c>
      <c r="O19" s="99"/>
      <c r="P19" s="101"/>
      <c r="Q19" s="183" t="s">
        <v>871</v>
      </c>
      <c r="R19" s="99"/>
      <c r="S19" s="99"/>
      <c r="T19" s="99"/>
      <c r="U19" s="99"/>
      <c r="V19" s="99"/>
      <c r="W19" s="99"/>
      <c r="X19" s="101"/>
      <c r="Y19" s="99"/>
      <c r="Z19" s="101"/>
      <c r="AA19" s="99"/>
      <c r="AB19" s="101"/>
      <c r="AC19" s="99"/>
      <c r="AD19" s="99"/>
      <c r="AE19" s="99" t="s">
        <v>871</v>
      </c>
      <c r="AF19" s="101" t="s">
        <v>871</v>
      </c>
      <c r="AG19" s="99" t="s">
        <v>871</v>
      </c>
      <c r="AH19" s="99" t="s">
        <v>871</v>
      </c>
      <c r="AI19" s="99" t="s">
        <v>871</v>
      </c>
      <c r="AJ19" s="99" t="s">
        <v>871</v>
      </c>
      <c r="AK19" s="99" t="s">
        <v>871</v>
      </c>
      <c r="AL19" s="99" t="s">
        <v>871</v>
      </c>
      <c r="AM19" s="99" t="s">
        <v>871</v>
      </c>
      <c r="AN19" s="99" t="s">
        <v>871</v>
      </c>
      <c r="AO19" s="99" t="s">
        <v>872</v>
      </c>
      <c r="AP19" s="100" t="s">
        <v>673</v>
      </c>
      <c r="AQ19" s="100"/>
      <c r="AR19" s="100"/>
      <c r="AS19" s="102"/>
      <c r="AT19" s="100"/>
      <c r="AU19" s="100"/>
      <c r="AV19" s="100"/>
      <c r="AW19" s="100"/>
      <c r="AX19" s="100" t="s">
        <v>638</v>
      </c>
      <c r="AY19" s="99"/>
      <c r="AZ19" s="100">
        <v>0</v>
      </c>
      <c r="BA19" s="100">
        <v>0</v>
      </c>
      <c r="BB19" s="100">
        <v>0</v>
      </c>
      <c r="BC19" s="100">
        <v>0</v>
      </c>
      <c r="BD19" s="100">
        <v>0</v>
      </c>
      <c r="BE19" s="100">
        <v>0</v>
      </c>
      <c r="BF19" s="100">
        <v>0</v>
      </c>
      <c r="BG19" s="100">
        <v>0</v>
      </c>
      <c r="BH19" s="100">
        <v>0</v>
      </c>
      <c r="BI19" s="100">
        <v>0</v>
      </c>
      <c r="BJ19" s="100">
        <v>0</v>
      </c>
      <c r="BK19" s="100">
        <v>0</v>
      </c>
      <c r="BL19" s="100"/>
      <c r="BM19" s="100" t="s">
        <v>673</v>
      </c>
      <c r="BN19" s="100"/>
      <c r="BO19" s="100" t="s">
        <v>673</v>
      </c>
      <c r="BP19" s="222">
        <v>109.09090909090908</v>
      </c>
      <c r="BQ19" s="100"/>
      <c r="BR19" s="100"/>
      <c r="BS19" s="100"/>
      <c r="BT19" s="103"/>
      <c r="BU19" s="99"/>
      <c r="BV19" s="100"/>
      <c r="BW19" s="100" t="s">
        <v>873</v>
      </c>
      <c r="BX19" s="100">
        <v>1</v>
      </c>
      <c r="BY19" s="103" t="s">
        <v>880</v>
      </c>
      <c r="BZ19" s="185" t="s">
        <v>881</v>
      </c>
      <c r="CA19" t="s">
        <v>729</v>
      </c>
    </row>
    <row r="20" spans="1:79" x14ac:dyDescent="0.15">
      <c r="A20" s="96">
        <v>57</v>
      </c>
      <c r="B20" s="155">
        <v>42566</v>
      </c>
      <c r="C20" s="238" t="s">
        <v>868</v>
      </c>
      <c r="D20" s="182" t="s">
        <v>663</v>
      </c>
      <c r="E20" s="160"/>
      <c r="F20" s="99" t="s">
        <v>869</v>
      </c>
      <c r="G20" s="155">
        <v>42413</v>
      </c>
      <c r="H20" s="100" t="s">
        <v>672</v>
      </c>
      <c r="I20" s="100" t="s">
        <v>673</v>
      </c>
      <c r="J20" s="100"/>
      <c r="K20" s="99" t="s">
        <v>886</v>
      </c>
      <c r="L20" s="99" t="s">
        <v>721</v>
      </c>
      <c r="M20" s="183">
        <v>96.518181818181816</v>
      </c>
      <c r="N20" s="183">
        <v>30.227272727272723</v>
      </c>
      <c r="O20" s="99"/>
      <c r="P20" s="101"/>
      <c r="Q20" s="183" t="s">
        <v>871</v>
      </c>
      <c r="R20" s="99"/>
      <c r="S20" s="99"/>
      <c r="T20" s="99"/>
      <c r="U20" s="99"/>
      <c r="V20" s="99"/>
      <c r="W20" s="99"/>
      <c r="X20" s="101"/>
      <c r="Y20" s="99"/>
      <c r="Z20" s="101"/>
      <c r="AA20" s="99"/>
      <c r="AB20" s="101"/>
      <c r="AC20" s="99"/>
      <c r="AD20" s="99"/>
      <c r="AE20" s="99" t="s">
        <v>871</v>
      </c>
      <c r="AF20" s="101" t="s">
        <v>871</v>
      </c>
      <c r="AG20" s="99" t="s">
        <v>871</v>
      </c>
      <c r="AH20" s="99" t="s">
        <v>871</v>
      </c>
      <c r="AI20" s="99" t="s">
        <v>871</v>
      </c>
      <c r="AJ20" s="99" t="s">
        <v>871</v>
      </c>
      <c r="AK20" s="99" t="s">
        <v>871</v>
      </c>
      <c r="AL20" s="99" t="s">
        <v>871</v>
      </c>
      <c r="AM20" s="99" t="s">
        <v>871</v>
      </c>
      <c r="AN20" s="99" t="s">
        <v>871</v>
      </c>
      <c r="AO20" s="99" t="s">
        <v>872</v>
      </c>
      <c r="AP20" s="100" t="s">
        <v>673</v>
      </c>
      <c r="AQ20" s="100"/>
      <c r="AR20" s="100"/>
      <c r="AS20" s="102"/>
      <c r="AT20" s="100">
        <v>15</v>
      </c>
      <c r="AU20" s="100"/>
      <c r="AV20" s="100"/>
      <c r="AW20" s="100"/>
      <c r="AX20" s="100" t="s">
        <v>673</v>
      </c>
      <c r="AY20" s="99"/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/>
      <c r="BM20" s="100" t="s">
        <v>673</v>
      </c>
      <c r="BN20" s="100"/>
      <c r="BO20" s="100" t="s">
        <v>673</v>
      </c>
      <c r="BP20" s="222">
        <v>119.99999999999999</v>
      </c>
      <c r="BQ20" s="100"/>
      <c r="BR20" s="100"/>
      <c r="BS20" s="100"/>
      <c r="BT20" s="103"/>
      <c r="BU20" s="99"/>
      <c r="BV20" s="100"/>
      <c r="BW20" s="100" t="s">
        <v>873</v>
      </c>
      <c r="BX20" s="100">
        <v>1</v>
      </c>
      <c r="BY20" s="103"/>
      <c r="BZ20" s="185" t="s">
        <v>887</v>
      </c>
      <c r="CA20" t="s">
        <v>588</v>
      </c>
    </row>
    <row r="21" spans="1:79" x14ac:dyDescent="0.15">
      <c r="A21" s="96">
        <v>13080</v>
      </c>
      <c r="B21" s="155">
        <v>42567</v>
      </c>
      <c r="C21" s="181" t="s">
        <v>868</v>
      </c>
      <c r="D21" s="182" t="s">
        <v>663</v>
      </c>
      <c r="E21" s="160"/>
      <c r="F21" s="99" t="s">
        <v>869</v>
      </c>
      <c r="G21" s="155">
        <v>42551</v>
      </c>
      <c r="H21" s="100" t="s">
        <v>672</v>
      </c>
      <c r="I21" s="100" t="s">
        <v>673</v>
      </c>
      <c r="J21" s="100"/>
      <c r="K21" s="99" t="s">
        <v>889</v>
      </c>
      <c r="L21" s="99" t="s">
        <v>890</v>
      </c>
      <c r="M21" s="183">
        <v>94.554545454545448</v>
      </c>
      <c r="N21" s="183">
        <v>32.999999999999993</v>
      </c>
      <c r="O21" s="99"/>
      <c r="P21" s="101"/>
      <c r="Q21" s="183" t="s">
        <v>871</v>
      </c>
      <c r="R21" s="99"/>
      <c r="S21" s="99"/>
      <c r="T21" s="99"/>
      <c r="U21" s="99"/>
      <c r="V21" s="99"/>
      <c r="W21" s="99"/>
      <c r="X21" s="101"/>
      <c r="Y21" s="99"/>
      <c r="Z21" s="101"/>
      <c r="AA21" s="99"/>
      <c r="AB21" s="101"/>
      <c r="AC21" s="99"/>
      <c r="AD21" s="99"/>
      <c r="AE21" s="99" t="s">
        <v>871</v>
      </c>
      <c r="AF21" s="101" t="s">
        <v>871</v>
      </c>
      <c r="AG21" s="99" t="s">
        <v>871</v>
      </c>
      <c r="AH21" s="99" t="s">
        <v>871</v>
      </c>
      <c r="AI21" s="99" t="s">
        <v>871</v>
      </c>
      <c r="AJ21" s="99" t="s">
        <v>871</v>
      </c>
      <c r="AK21" s="99" t="s">
        <v>871</v>
      </c>
      <c r="AL21" s="99" t="s">
        <v>871</v>
      </c>
      <c r="AM21" s="99" t="s">
        <v>871</v>
      </c>
      <c r="AN21" s="99" t="s">
        <v>871</v>
      </c>
      <c r="AO21" s="99" t="s">
        <v>872</v>
      </c>
      <c r="AP21" s="100" t="s">
        <v>673</v>
      </c>
      <c r="AQ21" s="100"/>
      <c r="AR21" s="100"/>
      <c r="AS21" s="102"/>
      <c r="AT21" s="100">
        <v>6</v>
      </c>
      <c r="AU21" s="100"/>
      <c r="AV21" s="100"/>
      <c r="AW21" s="100"/>
      <c r="AX21" s="100" t="s">
        <v>638</v>
      </c>
      <c r="AY21" s="99"/>
      <c r="AZ21" s="100">
        <v>0</v>
      </c>
      <c r="BA21" s="100">
        <v>10</v>
      </c>
      <c r="BB21" s="100">
        <v>0</v>
      </c>
      <c r="BC21" s="100">
        <v>0</v>
      </c>
      <c r="BD21" s="100">
        <v>3</v>
      </c>
      <c r="BE21" s="100">
        <v>0</v>
      </c>
      <c r="BF21" s="100">
        <v>0</v>
      </c>
      <c r="BG21" s="100">
        <v>0</v>
      </c>
      <c r="BH21" s="100">
        <v>0</v>
      </c>
      <c r="BI21" s="100">
        <v>0</v>
      </c>
      <c r="BJ21" s="100">
        <v>0</v>
      </c>
      <c r="BK21" s="100">
        <v>0</v>
      </c>
      <c r="BL21" s="100"/>
      <c r="BM21" s="100" t="s">
        <v>673</v>
      </c>
      <c r="BN21" s="100"/>
      <c r="BO21" s="100" t="s">
        <v>673</v>
      </c>
      <c r="BP21" s="222"/>
      <c r="BQ21" s="100"/>
      <c r="BR21" s="100"/>
      <c r="BS21" s="100"/>
      <c r="BT21" s="103"/>
      <c r="BU21" s="99"/>
      <c r="BV21" s="100"/>
      <c r="BW21" s="100" t="s">
        <v>873</v>
      </c>
      <c r="BX21" s="100"/>
      <c r="BY21" s="103" t="s">
        <v>891</v>
      </c>
      <c r="BZ21" s="185" t="s">
        <v>892</v>
      </c>
      <c r="CA21" t="s">
        <v>588</v>
      </c>
    </row>
    <row r="22" spans="1:79" x14ac:dyDescent="0.15">
      <c r="A22" s="96">
        <v>12043</v>
      </c>
      <c r="B22" s="227">
        <v>42605</v>
      </c>
      <c r="C22" s="228" t="s">
        <v>662</v>
      </c>
      <c r="D22" s="226" t="s">
        <v>663</v>
      </c>
      <c r="E22" s="226"/>
      <c r="F22" s="226" t="s">
        <v>716</v>
      </c>
      <c r="G22" s="227">
        <v>42587</v>
      </c>
      <c r="H22" s="229" t="s">
        <v>665</v>
      </c>
      <c r="I22" s="229" t="s">
        <v>666</v>
      </c>
      <c r="J22" s="229"/>
      <c r="K22" s="226" t="s">
        <v>896</v>
      </c>
      <c r="L22" s="226" t="s">
        <v>897</v>
      </c>
      <c r="M22" s="230">
        <v>85.799999999999983</v>
      </c>
      <c r="N22" s="230">
        <v>28.25454545454545</v>
      </c>
      <c r="O22" s="226"/>
      <c r="P22" s="226"/>
      <c r="Q22" s="230"/>
      <c r="R22" s="231"/>
      <c r="S22" s="230"/>
      <c r="T22" s="226"/>
      <c r="U22" s="230"/>
      <c r="V22" s="232"/>
      <c r="W22" s="232"/>
      <c r="X22" s="231"/>
      <c r="Y22" s="230"/>
      <c r="Z22" s="230"/>
      <c r="AA22" s="230"/>
      <c r="AB22" s="230"/>
      <c r="AC22" s="230"/>
      <c r="AD22" s="230"/>
      <c r="AE22" s="230"/>
      <c r="AF22" s="231"/>
      <c r="AG22" s="226"/>
      <c r="AH22" s="230"/>
      <c r="AI22" s="226"/>
      <c r="AJ22" s="226"/>
      <c r="AK22" s="230"/>
      <c r="AL22" s="226"/>
      <c r="AM22" s="230"/>
      <c r="AN22" s="230"/>
      <c r="AO22" s="226" t="s">
        <v>726</v>
      </c>
      <c r="AP22" s="229" t="s">
        <v>666</v>
      </c>
      <c r="AQ22" s="229"/>
      <c r="AR22" s="229"/>
      <c r="AS22" s="233"/>
      <c r="AT22" s="229">
        <v>4</v>
      </c>
      <c r="AU22" s="229"/>
      <c r="AV22" s="229"/>
      <c r="AW22" s="229"/>
      <c r="AX22" s="229" t="s">
        <v>673</v>
      </c>
      <c r="AY22" s="226"/>
      <c r="AZ22" s="229">
        <v>0</v>
      </c>
      <c r="BA22" s="229">
        <v>0</v>
      </c>
      <c r="BB22" s="229"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/>
      <c r="BM22" s="229" t="s">
        <v>666</v>
      </c>
      <c r="BN22" s="229">
        <v>12</v>
      </c>
      <c r="BO22" s="229" t="s">
        <v>666</v>
      </c>
      <c r="BP22" s="234"/>
      <c r="BQ22" s="229"/>
      <c r="BR22" s="229"/>
      <c r="BS22" s="229"/>
      <c r="BT22" s="226"/>
      <c r="BU22" s="235"/>
      <c r="BV22" s="229"/>
      <c r="BW22" s="229" t="s">
        <v>728</v>
      </c>
      <c r="BX22" s="229">
        <v>1</v>
      </c>
      <c r="BY22" s="235"/>
      <c r="BZ22" s="185" t="s">
        <v>950</v>
      </c>
      <c r="CA22" s="226" t="s">
        <v>426</v>
      </c>
    </row>
    <row r="23" spans="1:79" x14ac:dyDescent="0.15">
      <c r="A23" s="96">
        <v>6</v>
      </c>
      <c r="B23" s="227">
        <v>42605</v>
      </c>
      <c r="C23" s="228" t="s">
        <v>662</v>
      </c>
      <c r="D23" s="226" t="s">
        <v>663</v>
      </c>
      <c r="E23" s="226"/>
      <c r="F23" s="226" t="s">
        <v>716</v>
      </c>
      <c r="G23" s="227">
        <v>42571</v>
      </c>
      <c r="H23" s="229" t="s">
        <v>665</v>
      </c>
      <c r="I23" s="229" t="s">
        <v>666</v>
      </c>
      <c r="J23" s="229"/>
      <c r="K23" s="226" t="s">
        <v>951</v>
      </c>
      <c r="L23" s="226" t="s">
        <v>898</v>
      </c>
      <c r="M23" s="230">
        <v>99.999999999999986</v>
      </c>
      <c r="N23" s="230">
        <v>25.7</v>
      </c>
      <c r="O23" s="226" t="s">
        <v>875</v>
      </c>
      <c r="P23" s="226">
        <v>1000</v>
      </c>
      <c r="Q23" s="230">
        <v>33.999999999999993</v>
      </c>
      <c r="R23" s="231"/>
      <c r="S23" s="230"/>
      <c r="T23" s="226"/>
      <c r="U23" s="230"/>
      <c r="V23" s="232"/>
      <c r="W23" s="232"/>
      <c r="X23" s="231"/>
      <c r="Y23" s="230"/>
      <c r="Z23" s="230"/>
      <c r="AA23" s="230"/>
      <c r="AB23" s="230"/>
      <c r="AC23" s="230"/>
      <c r="AD23" s="230"/>
      <c r="AE23" s="230"/>
      <c r="AF23" s="231"/>
      <c r="AG23" s="226"/>
      <c r="AH23" s="230"/>
      <c r="AI23" s="226"/>
      <c r="AJ23" s="226"/>
      <c r="AK23" s="230"/>
      <c r="AL23" s="226"/>
      <c r="AM23" s="230"/>
      <c r="AN23" s="230"/>
      <c r="AO23" s="226" t="s">
        <v>726</v>
      </c>
      <c r="AP23" s="229" t="s">
        <v>666</v>
      </c>
      <c r="AQ23" s="229"/>
      <c r="AR23" s="229"/>
      <c r="AS23" s="233"/>
      <c r="AT23" s="229">
        <v>3</v>
      </c>
      <c r="AU23" s="229"/>
      <c r="AV23" s="229"/>
      <c r="AW23" s="229"/>
      <c r="AX23" s="229" t="s">
        <v>673</v>
      </c>
      <c r="AY23" s="226"/>
      <c r="AZ23" s="229">
        <v>0</v>
      </c>
      <c r="BA23" s="229">
        <v>0</v>
      </c>
      <c r="BB23" s="229">
        <v>7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/>
      <c r="BM23" s="229" t="s">
        <v>666</v>
      </c>
      <c r="BN23" s="229"/>
      <c r="BO23" s="229" t="s">
        <v>666</v>
      </c>
      <c r="BP23" s="234"/>
      <c r="BQ23" s="229"/>
      <c r="BR23" s="229"/>
      <c r="BS23" s="229"/>
      <c r="BT23" s="226"/>
      <c r="BU23" s="235"/>
      <c r="BV23" s="229"/>
      <c r="BW23" s="229" t="s">
        <v>728</v>
      </c>
      <c r="BX23" s="229"/>
      <c r="BY23" s="235"/>
      <c r="BZ23" s="237" t="s">
        <v>952</v>
      </c>
      <c r="CA23" s="235" t="s">
        <v>426</v>
      </c>
    </row>
    <row r="24" spans="1:79" x14ac:dyDescent="0.15">
      <c r="A24" s="96">
        <v>11186</v>
      </c>
      <c r="B24" s="155">
        <v>42566</v>
      </c>
      <c r="C24" s="181" t="s">
        <v>868</v>
      </c>
      <c r="D24" s="182" t="s">
        <v>663</v>
      </c>
      <c r="E24" s="160"/>
      <c r="F24" s="99" t="s">
        <v>869</v>
      </c>
      <c r="G24" s="155">
        <v>42551</v>
      </c>
      <c r="H24" s="100" t="s">
        <v>672</v>
      </c>
      <c r="I24" s="100" t="s">
        <v>673</v>
      </c>
      <c r="J24" s="100"/>
      <c r="K24" s="99" t="s">
        <v>899</v>
      </c>
      <c r="L24" s="99" t="s">
        <v>721</v>
      </c>
      <c r="M24" s="183">
        <v>106.52727272727273</v>
      </c>
      <c r="N24" s="183">
        <v>23.790909090909089</v>
      </c>
      <c r="O24" s="99"/>
      <c r="P24" s="101"/>
      <c r="Q24" s="183" t="s">
        <v>871</v>
      </c>
      <c r="R24" s="99"/>
      <c r="S24" s="99"/>
      <c r="T24" s="99"/>
      <c r="U24" s="99"/>
      <c r="V24" s="99"/>
      <c r="W24" s="99"/>
      <c r="X24" s="101"/>
      <c r="Y24" s="99"/>
      <c r="Z24" s="101"/>
      <c r="AA24" s="99"/>
      <c r="AB24" s="101"/>
      <c r="AC24" s="99"/>
      <c r="AD24" s="99"/>
      <c r="AE24" s="99" t="s">
        <v>871</v>
      </c>
      <c r="AF24" s="101" t="s">
        <v>871</v>
      </c>
      <c r="AG24" s="99" t="s">
        <v>871</v>
      </c>
      <c r="AH24" s="99" t="s">
        <v>871</v>
      </c>
      <c r="AI24" s="99" t="s">
        <v>871</v>
      </c>
      <c r="AJ24" s="99" t="s">
        <v>871</v>
      </c>
      <c r="AK24" s="99" t="s">
        <v>871</v>
      </c>
      <c r="AL24" s="99" t="s">
        <v>871</v>
      </c>
      <c r="AM24" s="99" t="s">
        <v>871</v>
      </c>
      <c r="AN24" s="99" t="s">
        <v>871</v>
      </c>
      <c r="AO24" s="99" t="s">
        <v>872</v>
      </c>
      <c r="AP24" s="100" t="s">
        <v>673</v>
      </c>
      <c r="AQ24" s="100"/>
      <c r="AR24" s="100"/>
      <c r="AS24" s="102"/>
      <c r="AT24" s="100">
        <v>4.1100000000000003</v>
      </c>
      <c r="AU24" s="100"/>
      <c r="AV24" s="100"/>
      <c r="AW24" s="100"/>
      <c r="AX24" s="100" t="s">
        <v>673</v>
      </c>
      <c r="AY24" s="99"/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0</v>
      </c>
      <c r="BI24" s="100">
        <v>0</v>
      </c>
      <c r="BJ24" s="100">
        <v>0</v>
      </c>
      <c r="BK24" s="100">
        <v>0</v>
      </c>
      <c r="BL24" s="100"/>
      <c r="BM24" s="100" t="s">
        <v>673</v>
      </c>
      <c r="BN24" s="100"/>
      <c r="BO24" s="100" t="s">
        <v>673</v>
      </c>
      <c r="BP24" s="222"/>
      <c r="BQ24" s="100"/>
      <c r="BR24" s="100"/>
      <c r="BS24" s="100"/>
      <c r="BT24" s="103"/>
      <c r="BU24" s="99"/>
      <c r="BV24" s="100"/>
      <c r="BW24" s="100" t="s">
        <v>873</v>
      </c>
      <c r="BX24" s="100">
        <v>1</v>
      </c>
      <c r="BY24" s="103"/>
      <c r="BZ24" s="185" t="s">
        <v>900</v>
      </c>
      <c r="CA24" t="s">
        <v>588</v>
      </c>
    </row>
    <row r="25" spans="1:79" x14ac:dyDescent="0.15">
      <c r="A25" s="96">
        <v>12712</v>
      </c>
      <c r="B25" s="155">
        <v>42566</v>
      </c>
      <c r="C25" s="181" t="s">
        <v>868</v>
      </c>
      <c r="D25" s="182" t="s">
        <v>663</v>
      </c>
      <c r="E25" s="160"/>
      <c r="F25" s="99" t="s">
        <v>869</v>
      </c>
      <c r="G25" s="155">
        <v>42551</v>
      </c>
      <c r="H25" s="100" t="s">
        <v>672</v>
      </c>
      <c r="I25" s="100" t="s">
        <v>673</v>
      </c>
      <c r="J25" s="100"/>
      <c r="K25" s="99" t="s">
        <v>907</v>
      </c>
      <c r="L25" s="99" t="s">
        <v>908</v>
      </c>
      <c r="M25" s="183">
        <v>99.999999999999986</v>
      </c>
      <c r="N25" s="183">
        <v>27.499999999999996</v>
      </c>
      <c r="O25" s="99"/>
      <c r="P25" s="101"/>
      <c r="Q25" s="183" t="s">
        <v>871</v>
      </c>
      <c r="R25" s="99"/>
      <c r="S25" s="99"/>
      <c r="T25" s="99"/>
      <c r="U25" s="99"/>
      <c r="V25" s="99"/>
      <c r="W25" s="99"/>
      <c r="X25" s="101"/>
      <c r="Y25" s="99"/>
      <c r="Z25" s="101"/>
      <c r="AA25" s="99"/>
      <c r="AB25" s="101"/>
      <c r="AC25" s="99"/>
      <c r="AD25" s="99"/>
      <c r="AE25" s="99" t="s">
        <v>871</v>
      </c>
      <c r="AF25" s="101" t="s">
        <v>871</v>
      </c>
      <c r="AG25" s="99" t="s">
        <v>871</v>
      </c>
      <c r="AH25" s="99" t="s">
        <v>871</v>
      </c>
      <c r="AI25" s="99" t="s">
        <v>871</v>
      </c>
      <c r="AJ25" s="99" t="s">
        <v>871</v>
      </c>
      <c r="AK25" s="99" t="s">
        <v>871</v>
      </c>
      <c r="AL25" s="99" t="s">
        <v>871</v>
      </c>
      <c r="AM25" s="99" t="s">
        <v>871</v>
      </c>
      <c r="AN25" s="99" t="s">
        <v>871</v>
      </c>
      <c r="AO25" s="99" t="s">
        <v>872</v>
      </c>
      <c r="AP25" s="100" t="s">
        <v>673</v>
      </c>
      <c r="AQ25" s="100"/>
      <c r="AR25" s="100"/>
      <c r="AS25" s="102"/>
      <c r="AT25" s="100">
        <v>8</v>
      </c>
      <c r="AU25" s="100"/>
      <c r="AV25" s="100"/>
      <c r="AW25" s="100"/>
      <c r="AX25" s="100" t="s">
        <v>672</v>
      </c>
      <c r="AY25" s="99" t="s">
        <v>909</v>
      </c>
      <c r="AZ25" s="100">
        <v>0</v>
      </c>
      <c r="BA25" s="100">
        <v>0</v>
      </c>
      <c r="BB25" s="100">
        <v>0</v>
      </c>
      <c r="BC25" s="100">
        <v>0</v>
      </c>
      <c r="BD25" s="100">
        <v>0</v>
      </c>
      <c r="BE25" s="100">
        <v>0</v>
      </c>
      <c r="BF25" s="100">
        <v>0</v>
      </c>
      <c r="BG25" s="100">
        <v>0</v>
      </c>
      <c r="BH25" s="100">
        <v>0</v>
      </c>
      <c r="BI25" s="100">
        <v>0</v>
      </c>
      <c r="BJ25" s="100">
        <v>0</v>
      </c>
      <c r="BK25" s="100">
        <v>0</v>
      </c>
      <c r="BL25" s="100"/>
      <c r="BM25" s="100" t="s">
        <v>673</v>
      </c>
      <c r="BN25" s="100"/>
      <c r="BO25" s="100" t="s">
        <v>673</v>
      </c>
      <c r="BP25" s="222"/>
      <c r="BQ25" s="100"/>
      <c r="BR25" s="100"/>
      <c r="BS25" s="100"/>
      <c r="BT25" s="103"/>
      <c r="BU25" s="99"/>
      <c r="BV25" s="100"/>
      <c r="BW25" s="100" t="s">
        <v>873</v>
      </c>
      <c r="BX25" s="100">
        <v>1</v>
      </c>
      <c r="BY25" s="103" t="s">
        <v>910</v>
      </c>
      <c r="BZ25" s="185" t="s">
        <v>911</v>
      </c>
      <c r="CA25" t="s">
        <v>588</v>
      </c>
    </row>
    <row r="26" spans="1:79" x14ac:dyDescent="0.15">
      <c r="A26" s="96"/>
      <c r="B26" s="155">
        <v>42606</v>
      </c>
      <c r="C26" s="181" t="s">
        <v>868</v>
      </c>
      <c r="D26" s="182" t="s">
        <v>663</v>
      </c>
      <c r="E26" s="160"/>
      <c r="F26" s="99" t="s">
        <v>869</v>
      </c>
      <c r="G26" s="155">
        <v>42587</v>
      </c>
      <c r="H26" s="100" t="s">
        <v>672</v>
      </c>
      <c r="I26" s="100" t="s">
        <v>673</v>
      </c>
      <c r="J26" s="100"/>
      <c r="K26" s="99" t="s">
        <v>918</v>
      </c>
      <c r="L26" s="182" t="s">
        <v>955</v>
      </c>
      <c r="M26" s="183">
        <v>68.09</v>
      </c>
      <c r="N26" s="183">
        <v>29.44</v>
      </c>
      <c r="O26" s="99"/>
      <c r="P26" s="101"/>
      <c r="Q26" s="183" t="s">
        <v>871</v>
      </c>
      <c r="R26" s="99"/>
      <c r="S26" s="99"/>
      <c r="T26" s="99"/>
      <c r="U26" s="99"/>
      <c r="V26" s="99"/>
      <c r="W26" s="99"/>
      <c r="X26" s="101"/>
      <c r="Y26" s="99"/>
      <c r="Z26" s="101"/>
      <c r="AA26" s="99"/>
      <c r="AB26" s="101"/>
      <c r="AC26" s="99"/>
      <c r="AD26" s="99"/>
      <c r="AE26" s="99" t="s">
        <v>871</v>
      </c>
      <c r="AF26" s="101" t="s">
        <v>871</v>
      </c>
      <c r="AG26" s="99" t="s">
        <v>871</v>
      </c>
      <c r="AH26" s="99" t="s">
        <v>871</v>
      </c>
      <c r="AI26" s="99" t="s">
        <v>871</v>
      </c>
      <c r="AJ26" s="99" t="s">
        <v>871</v>
      </c>
      <c r="AK26" s="99" t="s">
        <v>871</v>
      </c>
      <c r="AL26" s="99" t="s">
        <v>871</v>
      </c>
      <c r="AM26" s="99" t="s">
        <v>871</v>
      </c>
      <c r="AN26" s="99" t="s">
        <v>871</v>
      </c>
      <c r="AO26" s="99" t="s">
        <v>872</v>
      </c>
      <c r="AP26" s="100" t="s">
        <v>673</v>
      </c>
      <c r="AQ26" s="100"/>
      <c r="AR26" s="100"/>
      <c r="AS26" s="102"/>
      <c r="AT26" s="100">
        <v>7</v>
      </c>
      <c r="AU26" s="100"/>
      <c r="AV26" s="100"/>
      <c r="AW26" s="100"/>
      <c r="AX26" s="100" t="s">
        <v>673</v>
      </c>
      <c r="AY26" s="99"/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0</v>
      </c>
      <c r="BI26" s="100">
        <v>0</v>
      </c>
      <c r="BJ26" s="100">
        <v>0</v>
      </c>
      <c r="BK26" s="100">
        <v>0</v>
      </c>
      <c r="BL26" s="100"/>
      <c r="BM26" s="100" t="s">
        <v>673</v>
      </c>
      <c r="BN26" s="100"/>
      <c r="BO26" s="100" t="s">
        <v>673</v>
      </c>
      <c r="BP26" s="222"/>
      <c r="BQ26" s="100"/>
      <c r="BR26" s="100"/>
      <c r="BS26" s="100"/>
      <c r="BT26" s="103"/>
      <c r="BU26" s="99"/>
      <c r="BV26" s="100"/>
      <c r="BW26" s="100" t="s">
        <v>873</v>
      </c>
      <c r="BX26" s="100"/>
      <c r="BY26" s="103"/>
      <c r="BZ26" s="185" t="s">
        <v>956</v>
      </c>
      <c r="CA26" s="156" t="s">
        <v>426</v>
      </c>
    </row>
    <row r="27" spans="1:79" x14ac:dyDescent="0.15">
      <c r="A27" s="96">
        <v>11284</v>
      </c>
      <c r="B27" s="227">
        <v>42605</v>
      </c>
      <c r="C27" s="228" t="s">
        <v>662</v>
      </c>
      <c r="D27" s="226" t="s">
        <v>663</v>
      </c>
      <c r="E27" s="226"/>
      <c r="F27" s="226" t="s">
        <v>664</v>
      </c>
      <c r="G27" s="227">
        <v>42551</v>
      </c>
      <c r="H27" s="229" t="s">
        <v>665</v>
      </c>
      <c r="I27" s="229" t="s">
        <v>666</v>
      </c>
      <c r="J27" s="229"/>
      <c r="K27" s="226" t="s">
        <v>667</v>
      </c>
      <c r="L27" s="226" t="s">
        <v>870</v>
      </c>
      <c r="M27" s="230">
        <v>69.927272727272722</v>
      </c>
      <c r="N27" s="230">
        <v>29.836363636363636</v>
      </c>
      <c r="O27" s="226"/>
      <c r="P27" s="231"/>
      <c r="Q27" s="230"/>
      <c r="R27" s="231"/>
      <c r="S27" s="230"/>
      <c r="T27" s="231"/>
      <c r="U27" s="230"/>
      <c r="V27" s="232"/>
      <c r="W27" s="232"/>
      <c r="X27" s="226"/>
      <c r="Y27" s="230"/>
      <c r="Z27" s="230"/>
      <c r="AA27" s="230"/>
      <c r="AB27" s="230"/>
      <c r="AC27" s="230"/>
      <c r="AD27" s="230"/>
      <c r="AE27" s="230">
        <v>14.781818181818181</v>
      </c>
      <c r="AF27" s="231"/>
      <c r="AG27" s="226"/>
      <c r="AH27" s="230"/>
      <c r="AI27" s="226"/>
      <c r="AJ27" s="226"/>
      <c r="AK27" s="230"/>
      <c r="AL27" s="226"/>
      <c r="AM27" s="230"/>
      <c r="AN27" s="230"/>
      <c r="AO27" s="226" t="s">
        <v>764</v>
      </c>
      <c r="AP27" s="229" t="s">
        <v>666</v>
      </c>
      <c r="AQ27" s="229"/>
      <c r="AR27" s="229"/>
      <c r="AS27" s="233"/>
      <c r="AT27" s="229">
        <v>12.4</v>
      </c>
      <c r="AU27" s="229"/>
      <c r="AV27" s="229"/>
      <c r="AW27" s="229"/>
      <c r="AX27" s="229" t="s">
        <v>727</v>
      </c>
      <c r="AY27" s="226"/>
      <c r="AZ27" s="229">
        <v>0</v>
      </c>
      <c r="BA27" s="229">
        <v>0</v>
      </c>
      <c r="BB27" s="229"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/>
      <c r="BM27" s="229" t="s">
        <v>666</v>
      </c>
      <c r="BN27" s="229">
        <v>12</v>
      </c>
      <c r="BO27" s="229" t="s">
        <v>666</v>
      </c>
      <c r="BP27" s="234"/>
      <c r="BQ27" s="229"/>
      <c r="BR27" s="229"/>
      <c r="BS27" s="229"/>
      <c r="BT27" s="235"/>
      <c r="BU27" s="235"/>
      <c r="BV27" s="229"/>
      <c r="BW27" s="229" t="s">
        <v>728</v>
      </c>
      <c r="BX27" s="229"/>
      <c r="BY27" s="226"/>
      <c r="BZ27" s="185" t="s">
        <v>925</v>
      </c>
      <c r="CA27" s="235" t="s">
        <v>426</v>
      </c>
    </row>
    <row r="28" spans="1:79" x14ac:dyDescent="0.15">
      <c r="A28" s="96">
        <v>10485</v>
      </c>
      <c r="B28" s="155">
        <v>42567</v>
      </c>
      <c r="C28" s="181" t="s">
        <v>868</v>
      </c>
      <c r="D28" s="182" t="s">
        <v>663</v>
      </c>
      <c r="E28" s="160"/>
      <c r="F28" s="99" t="s">
        <v>923</v>
      </c>
      <c r="G28" s="104">
        <v>42567</v>
      </c>
      <c r="H28" s="100" t="s">
        <v>672</v>
      </c>
      <c r="I28" s="100" t="s">
        <v>673</v>
      </c>
      <c r="J28" s="100"/>
      <c r="K28" s="99" t="s">
        <v>131</v>
      </c>
      <c r="L28" s="182" t="s">
        <v>670</v>
      </c>
      <c r="M28" s="183">
        <v>83</v>
      </c>
      <c r="N28" s="183">
        <v>30.154545454545453</v>
      </c>
      <c r="O28" s="99" t="s">
        <v>875</v>
      </c>
      <c r="P28" s="101">
        <v>300</v>
      </c>
      <c r="Q28" s="183">
        <v>33.590909090909093</v>
      </c>
      <c r="R28" s="101"/>
      <c r="S28" s="183"/>
      <c r="T28" s="101"/>
      <c r="U28" s="183"/>
      <c r="V28" s="99"/>
      <c r="W28" s="99"/>
      <c r="X28" s="99"/>
      <c r="Y28" s="99"/>
      <c r="Z28" s="99"/>
      <c r="AA28" s="99"/>
      <c r="AB28" s="99"/>
      <c r="AC28" s="99"/>
      <c r="AD28" s="99"/>
      <c r="AE28" s="183">
        <v>16.618181818181817</v>
      </c>
      <c r="AF28" s="183" t="s">
        <v>871</v>
      </c>
      <c r="AG28" s="183" t="s">
        <v>871</v>
      </c>
      <c r="AH28" s="99" t="s">
        <v>871</v>
      </c>
      <c r="AI28" s="99" t="s">
        <v>871</v>
      </c>
      <c r="AJ28" s="99" t="s">
        <v>871</v>
      </c>
      <c r="AK28" s="99" t="s">
        <v>871</v>
      </c>
      <c r="AL28" s="99" t="s">
        <v>871</v>
      </c>
      <c r="AM28" s="99" t="s">
        <v>871</v>
      </c>
      <c r="AN28" s="99" t="s">
        <v>871</v>
      </c>
      <c r="AO28" s="99" t="s">
        <v>924</v>
      </c>
      <c r="AP28" s="100" t="s">
        <v>673</v>
      </c>
      <c r="AQ28" s="100"/>
      <c r="AR28" s="100"/>
      <c r="AS28" s="102"/>
      <c r="AT28" s="100">
        <v>9.5</v>
      </c>
      <c r="AU28" s="100"/>
      <c r="AV28" s="100"/>
      <c r="AW28" s="100"/>
      <c r="AX28" s="100" t="s">
        <v>673</v>
      </c>
      <c r="AY28" s="99"/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0</v>
      </c>
      <c r="BI28" s="100">
        <v>0</v>
      </c>
      <c r="BJ28" s="100">
        <v>0</v>
      </c>
      <c r="BK28" s="100">
        <v>0</v>
      </c>
      <c r="BL28" s="100"/>
      <c r="BM28" s="100" t="s">
        <v>673</v>
      </c>
      <c r="BN28" s="100"/>
      <c r="BO28" s="100" t="s">
        <v>673</v>
      </c>
      <c r="BP28" s="222"/>
      <c r="BQ28" s="100"/>
      <c r="BR28" s="100"/>
      <c r="BS28" s="100"/>
      <c r="BT28" s="99"/>
      <c r="BU28" s="99"/>
      <c r="BV28" s="100"/>
      <c r="BW28" s="100" t="s">
        <v>873</v>
      </c>
      <c r="BX28" s="100">
        <v>1</v>
      </c>
      <c r="BY28" s="182"/>
      <c r="BZ28" s="156" t="s">
        <v>926</v>
      </c>
      <c r="CA28" s="156" t="s">
        <v>426</v>
      </c>
    </row>
    <row r="29" spans="1:79" ht="13" customHeight="1" x14ac:dyDescent="0.2">
      <c r="A29" s="96">
        <v>13043</v>
      </c>
      <c r="B29" s="155">
        <v>42566</v>
      </c>
      <c r="C29" s="181" t="s">
        <v>868</v>
      </c>
      <c r="D29" s="182" t="s">
        <v>663</v>
      </c>
      <c r="E29" s="160"/>
      <c r="F29" s="99" t="s">
        <v>923</v>
      </c>
      <c r="G29" s="97">
        <v>42551</v>
      </c>
      <c r="H29" s="100" t="s">
        <v>672</v>
      </c>
      <c r="I29" s="100" t="s">
        <v>673</v>
      </c>
      <c r="J29" s="100"/>
      <c r="K29" s="99" t="s">
        <v>132</v>
      </c>
      <c r="L29" s="182" t="s">
        <v>882</v>
      </c>
      <c r="M29" s="183">
        <v>79.463636363636354</v>
      </c>
      <c r="N29" s="183">
        <v>28.554545454545451</v>
      </c>
      <c r="O29" s="99"/>
      <c r="P29" s="101"/>
      <c r="Q29" s="183" t="s">
        <v>871</v>
      </c>
      <c r="R29" s="101"/>
      <c r="S29" s="183"/>
      <c r="T29" s="101"/>
      <c r="U29" s="183"/>
      <c r="V29" s="99"/>
      <c r="W29" s="99"/>
      <c r="X29" s="99"/>
      <c r="Y29" s="99"/>
      <c r="Z29" s="99"/>
      <c r="AA29" s="99"/>
      <c r="AB29" s="99"/>
      <c r="AC29" s="99"/>
      <c r="AD29" s="99"/>
      <c r="AE29" s="183">
        <v>14.727272727272725</v>
      </c>
      <c r="AF29" s="183" t="s">
        <v>871</v>
      </c>
      <c r="AG29" s="183" t="s">
        <v>871</v>
      </c>
      <c r="AH29" s="99" t="s">
        <v>871</v>
      </c>
      <c r="AI29" s="99" t="s">
        <v>871</v>
      </c>
      <c r="AJ29" s="99" t="s">
        <v>871</v>
      </c>
      <c r="AK29" s="99" t="s">
        <v>871</v>
      </c>
      <c r="AL29" s="99" t="s">
        <v>871</v>
      </c>
      <c r="AM29" s="99" t="s">
        <v>871</v>
      </c>
      <c r="AN29" s="99" t="s">
        <v>871</v>
      </c>
      <c r="AO29" s="99" t="s">
        <v>924</v>
      </c>
      <c r="AP29" s="100" t="s">
        <v>673</v>
      </c>
      <c r="AQ29" s="100"/>
      <c r="AR29" s="100"/>
      <c r="AS29" s="102"/>
      <c r="AT29" s="100">
        <v>14</v>
      </c>
      <c r="AU29" s="100"/>
      <c r="AV29" s="100"/>
      <c r="AW29" s="100"/>
      <c r="AX29" s="100" t="s">
        <v>673</v>
      </c>
      <c r="AY29" s="99"/>
      <c r="AZ29" s="100">
        <v>0</v>
      </c>
      <c r="BA29" s="100">
        <v>0</v>
      </c>
      <c r="BB29" s="100">
        <v>0</v>
      </c>
      <c r="BC29" s="100">
        <v>0</v>
      </c>
      <c r="BD29" s="100">
        <v>0</v>
      </c>
      <c r="BE29" s="100">
        <v>0</v>
      </c>
      <c r="BF29" s="100">
        <v>0</v>
      </c>
      <c r="BG29" s="100">
        <v>0</v>
      </c>
      <c r="BH29" s="100">
        <v>0</v>
      </c>
      <c r="BI29" s="100">
        <v>0</v>
      </c>
      <c r="BJ29" s="100">
        <v>0</v>
      </c>
      <c r="BK29" s="100">
        <v>0</v>
      </c>
      <c r="BL29" s="100"/>
      <c r="BM29" s="100" t="s">
        <v>673</v>
      </c>
      <c r="BN29" s="100"/>
      <c r="BO29" s="100" t="s">
        <v>673</v>
      </c>
      <c r="BP29" s="222"/>
      <c r="BQ29" s="100"/>
      <c r="BR29" s="100"/>
      <c r="BS29" s="100"/>
      <c r="BT29" s="184"/>
      <c r="BU29" s="184"/>
      <c r="BV29" s="100"/>
      <c r="BW29" s="100" t="s">
        <v>873</v>
      </c>
      <c r="BX29" s="100">
        <v>1</v>
      </c>
      <c r="BY29" s="99" t="s">
        <v>883</v>
      </c>
      <c r="BZ29" s="185" t="s">
        <v>929</v>
      </c>
      <c r="CA29" t="s">
        <v>588</v>
      </c>
    </row>
    <row r="30" spans="1:79" x14ac:dyDescent="0.15">
      <c r="A30" s="96">
        <v>957</v>
      </c>
      <c r="B30" s="155">
        <v>42567</v>
      </c>
      <c r="C30" s="181" t="s">
        <v>868</v>
      </c>
      <c r="D30" s="182" t="s">
        <v>663</v>
      </c>
      <c r="E30" s="160"/>
      <c r="F30" s="99" t="s">
        <v>923</v>
      </c>
      <c r="G30" s="97">
        <v>42551</v>
      </c>
      <c r="H30" s="100" t="s">
        <v>672</v>
      </c>
      <c r="I30" s="100" t="s">
        <v>673</v>
      </c>
      <c r="J30" s="100"/>
      <c r="K30" s="99" t="s">
        <v>133</v>
      </c>
      <c r="L30" s="99" t="s">
        <v>721</v>
      </c>
      <c r="M30" s="183">
        <v>88.8</v>
      </c>
      <c r="N30" s="183">
        <v>32.409090909090907</v>
      </c>
      <c r="O30" s="99" t="s">
        <v>875</v>
      </c>
      <c r="P30" s="101">
        <v>1000</v>
      </c>
      <c r="Q30" s="183">
        <v>33.25454545454545</v>
      </c>
      <c r="R30" s="101"/>
      <c r="S30" s="183"/>
      <c r="T30" s="101"/>
      <c r="U30" s="183"/>
      <c r="V30" s="99"/>
      <c r="W30" s="99"/>
      <c r="X30" s="99"/>
      <c r="Y30" s="99"/>
      <c r="Z30" s="99"/>
      <c r="AA30" s="99"/>
      <c r="AB30" s="99"/>
      <c r="AC30" s="99"/>
      <c r="AD30" s="99"/>
      <c r="AE30" s="183">
        <v>18.072727272727271</v>
      </c>
      <c r="AF30" s="183" t="s">
        <v>871</v>
      </c>
      <c r="AG30" s="183" t="s">
        <v>871</v>
      </c>
      <c r="AH30" s="99" t="s">
        <v>871</v>
      </c>
      <c r="AI30" s="99" t="s">
        <v>871</v>
      </c>
      <c r="AJ30" s="99" t="s">
        <v>871</v>
      </c>
      <c r="AK30" s="99" t="s">
        <v>871</v>
      </c>
      <c r="AL30" s="99" t="s">
        <v>871</v>
      </c>
      <c r="AM30" s="99" t="s">
        <v>871</v>
      </c>
      <c r="AN30" s="99" t="s">
        <v>871</v>
      </c>
      <c r="AO30" s="99" t="s">
        <v>924</v>
      </c>
      <c r="AP30" s="100" t="s">
        <v>673</v>
      </c>
      <c r="AQ30" s="100"/>
      <c r="AR30" s="100"/>
      <c r="AS30" s="102"/>
      <c r="AT30" s="100">
        <v>11.6</v>
      </c>
      <c r="AU30" s="100"/>
      <c r="AV30" s="100"/>
      <c r="AW30" s="100"/>
      <c r="AX30" s="100" t="s">
        <v>673</v>
      </c>
      <c r="AY30" s="99"/>
      <c r="AZ30" s="100">
        <v>0</v>
      </c>
      <c r="BA30" s="100">
        <v>0</v>
      </c>
      <c r="BB30" s="100">
        <v>0</v>
      </c>
      <c r="BC30" s="100">
        <v>0</v>
      </c>
      <c r="BD30" s="100">
        <v>0</v>
      </c>
      <c r="BE30" s="100">
        <v>0</v>
      </c>
      <c r="BF30" s="100">
        <v>0</v>
      </c>
      <c r="BG30" s="100">
        <v>0</v>
      </c>
      <c r="BH30" s="100">
        <v>0</v>
      </c>
      <c r="BI30" s="100">
        <v>0</v>
      </c>
      <c r="BJ30" s="100">
        <v>0</v>
      </c>
      <c r="BK30" s="100">
        <v>0</v>
      </c>
      <c r="BL30" s="100"/>
      <c r="BM30" s="100" t="s">
        <v>673</v>
      </c>
      <c r="BN30" s="100"/>
      <c r="BO30" s="100" t="s">
        <v>673</v>
      </c>
      <c r="BP30" s="222"/>
      <c r="BQ30" s="100"/>
      <c r="BR30" s="100"/>
      <c r="BS30" s="100"/>
      <c r="BT30" s="103"/>
      <c r="BU30" s="99"/>
      <c r="BV30" s="100"/>
      <c r="BW30" s="100" t="s">
        <v>873</v>
      </c>
      <c r="BX30" s="100"/>
      <c r="BY30" s="99"/>
      <c r="BZ30" s="185" t="s">
        <v>930</v>
      </c>
      <c r="CA30" s="70" t="s">
        <v>426</v>
      </c>
    </row>
    <row r="31" spans="1:79" x14ac:dyDescent="0.15">
      <c r="A31" s="96">
        <v>11089</v>
      </c>
      <c r="B31" s="155">
        <v>42567</v>
      </c>
      <c r="C31" s="181" t="s">
        <v>868</v>
      </c>
      <c r="D31" s="182" t="s">
        <v>663</v>
      </c>
      <c r="E31" s="160"/>
      <c r="F31" s="99" t="s">
        <v>923</v>
      </c>
      <c r="G31" s="104">
        <v>42494</v>
      </c>
      <c r="H31" s="100" t="s">
        <v>672</v>
      </c>
      <c r="I31" s="100" t="s">
        <v>673</v>
      </c>
      <c r="J31" s="100"/>
      <c r="K31" s="99" t="s">
        <v>134</v>
      </c>
      <c r="L31" s="182" t="s">
        <v>945</v>
      </c>
      <c r="M31" s="183">
        <v>86.95</v>
      </c>
      <c r="N31" s="183">
        <v>33.26</v>
      </c>
      <c r="O31" s="99" t="s">
        <v>875</v>
      </c>
      <c r="P31" s="101">
        <v>300</v>
      </c>
      <c r="Q31" s="183">
        <v>35.89</v>
      </c>
      <c r="R31" s="101">
        <v>700</v>
      </c>
      <c r="S31" s="183">
        <v>38.950000000000003</v>
      </c>
      <c r="T31" s="101">
        <v>1500</v>
      </c>
      <c r="U31" s="183">
        <v>39.869999999999997</v>
      </c>
      <c r="V31" s="99"/>
      <c r="W31" s="99"/>
      <c r="X31" s="99"/>
      <c r="Y31" s="99"/>
      <c r="Z31" s="99"/>
      <c r="AA31" s="99"/>
      <c r="AB31" s="99"/>
      <c r="AC31" s="99"/>
      <c r="AD31" s="99"/>
      <c r="AE31" s="183">
        <v>19.954545454545453</v>
      </c>
      <c r="AF31" s="183" t="s">
        <v>871</v>
      </c>
      <c r="AG31" s="183" t="s">
        <v>871</v>
      </c>
      <c r="AH31" s="99" t="s">
        <v>871</v>
      </c>
      <c r="AI31" s="99" t="s">
        <v>871</v>
      </c>
      <c r="AJ31" s="99" t="s">
        <v>871</v>
      </c>
      <c r="AK31" s="99" t="s">
        <v>871</v>
      </c>
      <c r="AL31" s="99" t="s">
        <v>871</v>
      </c>
      <c r="AM31" s="99" t="s">
        <v>871</v>
      </c>
      <c r="AN31" s="99" t="s">
        <v>871</v>
      </c>
      <c r="AO31" s="99" t="s">
        <v>924</v>
      </c>
      <c r="AP31" s="100" t="s">
        <v>673</v>
      </c>
      <c r="AQ31" s="100"/>
      <c r="AR31" s="100"/>
      <c r="AS31" s="102">
        <v>10</v>
      </c>
      <c r="AT31" s="100">
        <v>12</v>
      </c>
      <c r="AU31" s="100"/>
      <c r="AV31" s="100"/>
      <c r="AW31" s="100"/>
      <c r="AX31" s="100" t="s">
        <v>673</v>
      </c>
      <c r="AY31" s="99"/>
      <c r="AZ31" s="100">
        <v>0</v>
      </c>
      <c r="BA31" s="100">
        <v>0</v>
      </c>
      <c r="BB31" s="100">
        <v>7</v>
      </c>
      <c r="BC31" s="100">
        <v>0</v>
      </c>
      <c r="BD31" s="100">
        <v>0</v>
      </c>
      <c r="BE31" s="100">
        <v>0</v>
      </c>
      <c r="BF31" s="100">
        <v>0</v>
      </c>
      <c r="BG31" s="100">
        <v>0</v>
      </c>
      <c r="BH31" s="100">
        <v>0</v>
      </c>
      <c r="BI31" s="100">
        <v>0</v>
      </c>
      <c r="BJ31" s="100">
        <v>0</v>
      </c>
      <c r="BK31" s="100">
        <v>0</v>
      </c>
      <c r="BL31" s="100"/>
      <c r="BM31" s="100" t="s">
        <v>673</v>
      </c>
      <c r="BN31" s="100"/>
      <c r="BO31" s="100" t="s">
        <v>673</v>
      </c>
      <c r="BP31" s="222"/>
      <c r="BQ31" s="100"/>
      <c r="BR31" s="100"/>
      <c r="BS31" s="100"/>
      <c r="BT31" s="99"/>
      <c r="BU31" s="99"/>
      <c r="BV31" s="100"/>
      <c r="BW31" s="100" t="s">
        <v>873</v>
      </c>
      <c r="BX31" s="100"/>
      <c r="BY31" s="99"/>
      <c r="BZ31" t="s">
        <v>931</v>
      </c>
      <c r="CA31" s="70" t="s">
        <v>426</v>
      </c>
    </row>
    <row r="32" spans="1:79" x14ac:dyDescent="0.15">
      <c r="A32" s="96">
        <v>961</v>
      </c>
      <c r="B32" s="155">
        <v>42566</v>
      </c>
      <c r="C32" s="181" t="s">
        <v>868</v>
      </c>
      <c r="D32" s="182" t="s">
        <v>663</v>
      </c>
      <c r="E32" s="160"/>
      <c r="F32" s="99" t="s">
        <v>923</v>
      </c>
      <c r="G32" s="97">
        <v>42551</v>
      </c>
      <c r="H32" s="100" t="s">
        <v>672</v>
      </c>
      <c r="I32" s="100" t="s">
        <v>673</v>
      </c>
      <c r="J32" s="100"/>
      <c r="K32" s="99" t="s">
        <v>135</v>
      </c>
      <c r="L32" s="99" t="s">
        <v>721</v>
      </c>
      <c r="M32" s="183">
        <v>88.8</v>
      </c>
      <c r="N32" s="183">
        <v>32.409090909090907</v>
      </c>
      <c r="O32" s="99" t="s">
        <v>875</v>
      </c>
      <c r="P32" s="101">
        <v>1000</v>
      </c>
      <c r="Q32" s="183">
        <v>33.25454545454545</v>
      </c>
      <c r="R32" s="101"/>
      <c r="S32" s="183"/>
      <c r="T32" s="101"/>
      <c r="U32" s="183"/>
      <c r="V32" s="99"/>
      <c r="W32" s="99"/>
      <c r="X32" s="99"/>
      <c r="Y32" s="99"/>
      <c r="Z32" s="99"/>
      <c r="AA32" s="99"/>
      <c r="AB32" s="99"/>
      <c r="AC32" s="99"/>
      <c r="AD32" s="99"/>
      <c r="AE32" s="183">
        <v>18.072727272727271</v>
      </c>
      <c r="AF32" s="183" t="s">
        <v>871</v>
      </c>
      <c r="AG32" s="183" t="s">
        <v>871</v>
      </c>
      <c r="AH32" s="99" t="s">
        <v>871</v>
      </c>
      <c r="AI32" s="99" t="s">
        <v>871</v>
      </c>
      <c r="AJ32" s="99" t="s">
        <v>871</v>
      </c>
      <c r="AK32" s="99" t="s">
        <v>871</v>
      </c>
      <c r="AL32" s="99" t="s">
        <v>871</v>
      </c>
      <c r="AM32" s="99" t="s">
        <v>871</v>
      </c>
      <c r="AN32" s="99" t="s">
        <v>871</v>
      </c>
      <c r="AO32" s="99" t="s">
        <v>924</v>
      </c>
      <c r="AP32" s="100" t="s">
        <v>673</v>
      </c>
      <c r="AQ32" s="100"/>
      <c r="AR32" s="100"/>
      <c r="AS32" s="102"/>
      <c r="AT32" s="100">
        <v>11.6</v>
      </c>
      <c r="AU32" s="100"/>
      <c r="AV32" s="100"/>
      <c r="AW32" s="100"/>
      <c r="AX32" s="100" t="s">
        <v>638</v>
      </c>
      <c r="AY32" s="99"/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>
        <v>0</v>
      </c>
      <c r="BJ32" s="100">
        <v>0</v>
      </c>
      <c r="BK32" s="100">
        <v>0</v>
      </c>
      <c r="BL32" s="100"/>
      <c r="BM32" s="100" t="s">
        <v>673</v>
      </c>
      <c r="BN32" s="100"/>
      <c r="BO32" s="100" t="s">
        <v>673</v>
      </c>
      <c r="BP32" s="222"/>
      <c r="BQ32" s="100"/>
      <c r="BR32" s="100"/>
      <c r="BS32" s="100"/>
      <c r="BT32" s="99"/>
      <c r="BU32" s="99"/>
      <c r="BV32" s="100"/>
      <c r="BW32" s="100" t="s">
        <v>873</v>
      </c>
      <c r="BX32" s="100"/>
      <c r="BY32" s="99"/>
      <c r="BZ32" s="156" t="s">
        <v>934</v>
      </c>
      <c r="CA32" s="70" t="s">
        <v>588</v>
      </c>
    </row>
    <row r="33" spans="1:79" x14ac:dyDescent="0.15">
      <c r="A33" s="96">
        <v>10288</v>
      </c>
      <c r="B33" s="155">
        <v>42566</v>
      </c>
      <c r="C33" s="181" t="s">
        <v>868</v>
      </c>
      <c r="D33" s="182" t="s">
        <v>663</v>
      </c>
      <c r="E33" s="160"/>
      <c r="F33" s="99" t="s">
        <v>923</v>
      </c>
      <c r="G33" s="97">
        <v>42551</v>
      </c>
      <c r="H33" s="100" t="s">
        <v>672</v>
      </c>
      <c r="I33" s="100" t="s">
        <v>673</v>
      </c>
      <c r="J33" s="100"/>
      <c r="K33" s="99" t="s">
        <v>136</v>
      </c>
      <c r="L33" s="99" t="s">
        <v>688</v>
      </c>
      <c r="M33" s="183">
        <v>77.999999999999986</v>
      </c>
      <c r="N33" s="183">
        <v>34.518181818181816</v>
      </c>
      <c r="O33" s="99"/>
      <c r="P33" s="101"/>
      <c r="Q33" s="183" t="s">
        <v>871</v>
      </c>
      <c r="R33" s="101"/>
      <c r="S33" s="183"/>
      <c r="T33" s="101"/>
      <c r="U33" s="183"/>
      <c r="V33" s="99"/>
      <c r="W33" s="99"/>
      <c r="X33" s="101"/>
      <c r="Y33" s="99"/>
      <c r="Z33" s="101"/>
      <c r="AA33" s="99"/>
      <c r="AB33" s="101"/>
      <c r="AC33" s="99"/>
      <c r="AD33" s="99"/>
      <c r="AE33" s="183">
        <v>16.972727272727273</v>
      </c>
      <c r="AF33" s="183" t="s">
        <v>871</v>
      </c>
      <c r="AG33" s="183" t="s">
        <v>871</v>
      </c>
      <c r="AH33" s="99" t="s">
        <v>871</v>
      </c>
      <c r="AI33" s="99" t="s">
        <v>871</v>
      </c>
      <c r="AJ33" s="99" t="s">
        <v>871</v>
      </c>
      <c r="AK33" s="99" t="s">
        <v>871</v>
      </c>
      <c r="AL33" s="99" t="s">
        <v>871</v>
      </c>
      <c r="AM33" s="99" t="s">
        <v>871</v>
      </c>
      <c r="AN33" s="99" t="s">
        <v>871</v>
      </c>
      <c r="AO33" s="99" t="s">
        <v>924</v>
      </c>
      <c r="AP33" s="100" t="s">
        <v>673</v>
      </c>
      <c r="AQ33" s="100"/>
      <c r="AR33" s="100"/>
      <c r="AS33" s="102"/>
      <c r="AT33" s="100">
        <v>11.5</v>
      </c>
      <c r="AU33" s="100"/>
      <c r="AV33" s="100"/>
      <c r="AW33" s="100"/>
      <c r="AX33" s="100" t="s">
        <v>638</v>
      </c>
      <c r="AY33" s="99"/>
      <c r="AZ33" s="100">
        <v>6</v>
      </c>
      <c r="BA33" s="100">
        <v>0</v>
      </c>
      <c r="BB33" s="100"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0</v>
      </c>
      <c r="BH33" s="100">
        <v>0</v>
      </c>
      <c r="BI33" s="100">
        <v>0</v>
      </c>
      <c r="BJ33" s="100">
        <v>0</v>
      </c>
      <c r="BK33" s="100">
        <v>0</v>
      </c>
      <c r="BL33" s="100"/>
      <c r="BM33" s="100" t="s">
        <v>673</v>
      </c>
      <c r="BN33" s="100">
        <v>12</v>
      </c>
      <c r="BO33" s="100" t="s">
        <v>673</v>
      </c>
      <c r="BP33" s="222"/>
      <c r="BQ33" s="100"/>
      <c r="BR33" s="100">
        <v>12</v>
      </c>
      <c r="BS33" s="100"/>
      <c r="BT33" s="99"/>
      <c r="BU33" s="99"/>
      <c r="BV33" s="100"/>
      <c r="BW33" s="100" t="s">
        <v>873</v>
      </c>
      <c r="BX33" s="100"/>
      <c r="BY33" s="99"/>
      <c r="BZ33" t="s">
        <v>936</v>
      </c>
      <c r="CA33" s="70" t="s">
        <v>588</v>
      </c>
    </row>
    <row r="34" spans="1:79" x14ac:dyDescent="0.15">
      <c r="A34" s="96">
        <v>11894</v>
      </c>
      <c r="B34" s="155">
        <v>42566</v>
      </c>
      <c r="C34" s="181" t="s">
        <v>868</v>
      </c>
      <c r="D34" s="182" t="s">
        <v>663</v>
      </c>
      <c r="E34" s="160"/>
      <c r="F34" s="99" t="s">
        <v>923</v>
      </c>
      <c r="G34" s="104">
        <v>42551</v>
      </c>
      <c r="H34" s="100" t="s">
        <v>672</v>
      </c>
      <c r="I34" s="100" t="s">
        <v>673</v>
      </c>
      <c r="J34" s="100"/>
      <c r="K34" s="99" t="s">
        <v>137</v>
      </c>
      <c r="L34" s="182" t="s">
        <v>901</v>
      </c>
      <c r="M34" s="183">
        <v>82.554545454545448</v>
      </c>
      <c r="N34" s="183">
        <v>30.95454545454545</v>
      </c>
      <c r="O34" s="99" t="s">
        <v>875</v>
      </c>
      <c r="P34" s="101">
        <v>1000</v>
      </c>
      <c r="Q34" s="183">
        <v>31.609090909090909</v>
      </c>
      <c r="R34" s="101"/>
      <c r="S34" s="183"/>
      <c r="T34" s="101"/>
      <c r="U34" s="183"/>
      <c r="V34" s="99"/>
      <c r="W34" s="99"/>
      <c r="X34" s="99"/>
      <c r="Y34" s="99"/>
      <c r="Z34" s="99"/>
      <c r="AA34" s="99"/>
      <c r="AB34" s="99"/>
      <c r="AC34" s="99"/>
      <c r="AD34" s="99"/>
      <c r="AE34" s="183">
        <v>18.68181818181818</v>
      </c>
      <c r="AF34" s="183" t="s">
        <v>871</v>
      </c>
      <c r="AG34" s="183" t="s">
        <v>871</v>
      </c>
      <c r="AH34" s="99" t="s">
        <v>871</v>
      </c>
      <c r="AI34" s="99" t="s">
        <v>871</v>
      </c>
      <c r="AJ34" s="99" t="s">
        <v>871</v>
      </c>
      <c r="AK34" s="99" t="s">
        <v>871</v>
      </c>
      <c r="AL34" t="s">
        <v>871</v>
      </c>
      <c r="AM34" t="s">
        <v>871</v>
      </c>
      <c r="AN34" t="s">
        <v>871</v>
      </c>
      <c r="AO34" t="s">
        <v>924</v>
      </c>
      <c r="AP34" s="100" t="s">
        <v>673</v>
      </c>
      <c r="AQ34" s="100"/>
      <c r="AR34" s="100"/>
      <c r="AS34" s="102"/>
      <c r="AT34" s="100">
        <v>15</v>
      </c>
      <c r="AU34" s="100"/>
      <c r="AV34" s="100"/>
      <c r="AW34" s="100"/>
      <c r="AX34" s="161" t="s">
        <v>638</v>
      </c>
      <c r="AY34" s="99"/>
      <c r="AZ34" s="100">
        <v>0</v>
      </c>
      <c r="BA34" s="100">
        <v>0</v>
      </c>
      <c r="BB34" s="100">
        <v>0</v>
      </c>
      <c r="BC34" s="100">
        <v>0</v>
      </c>
      <c r="BD34" s="100">
        <v>0</v>
      </c>
      <c r="BE34" s="100">
        <v>0</v>
      </c>
      <c r="BF34" s="100">
        <v>0</v>
      </c>
      <c r="BG34" s="100">
        <v>0</v>
      </c>
      <c r="BH34" s="100">
        <v>0</v>
      </c>
      <c r="BI34" s="100">
        <v>0</v>
      </c>
      <c r="BJ34" s="100">
        <v>0</v>
      </c>
      <c r="BK34" s="100">
        <v>0</v>
      </c>
      <c r="BL34" s="100"/>
      <c r="BM34" s="100" t="s">
        <v>673</v>
      </c>
      <c r="BN34" s="100"/>
      <c r="BO34" s="100" t="s">
        <v>673</v>
      </c>
      <c r="BP34" s="222"/>
      <c r="BQ34" s="100"/>
      <c r="BR34" s="100"/>
      <c r="BS34" s="100"/>
      <c r="BT34" s="99" t="s">
        <v>902</v>
      </c>
      <c r="BU34" s="99"/>
      <c r="BV34" s="100"/>
      <c r="BW34" s="100" t="s">
        <v>873</v>
      </c>
      <c r="BX34" s="100"/>
      <c r="BY34" s="103"/>
      <c r="BZ34" s="185" t="s">
        <v>938</v>
      </c>
      <c r="CA34" s="70" t="s">
        <v>588</v>
      </c>
    </row>
    <row r="35" spans="1:79" x14ac:dyDescent="0.15">
      <c r="A35" s="96">
        <v>987</v>
      </c>
      <c r="B35" s="155">
        <v>42566</v>
      </c>
      <c r="C35" s="181" t="s">
        <v>868</v>
      </c>
      <c r="D35" s="182" t="s">
        <v>663</v>
      </c>
      <c r="E35" s="160"/>
      <c r="F35" s="99" t="s">
        <v>923</v>
      </c>
      <c r="G35" s="97">
        <v>42551</v>
      </c>
      <c r="H35" s="100" t="s">
        <v>672</v>
      </c>
      <c r="I35" s="100" t="s">
        <v>673</v>
      </c>
      <c r="J35" s="100"/>
      <c r="K35" s="99" t="s">
        <v>138</v>
      </c>
      <c r="L35" s="99" t="s">
        <v>904</v>
      </c>
      <c r="M35" s="183">
        <v>97.627272727272725</v>
      </c>
      <c r="N35" s="183">
        <v>33.25454545454545</v>
      </c>
      <c r="O35" s="99"/>
      <c r="P35" s="101"/>
      <c r="Q35" s="183" t="s">
        <v>871</v>
      </c>
      <c r="R35" s="101"/>
      <c r="S35" s="183"/>
      <c r="T35" s="101"/>
      <c r="U35" s="183"/>
      <c r="V35" s="99"/>
      <c r="W35" s="99"/>
      <c r="X35" s="99"/>
      <c r="Y35" s="99"/>
      <c r="Z35" s="99"/>
      <c r="AA35" s="99"/>
      <c r="AB35" s="99"/>
      <c r="AC35" s="99"/>
      <c r="AD35" s="99"/>
      <c r="AE35" s="183">
        <v>13.69090909090909</v>
      </c>
      <c r="AF35" s="183" t="s">
        <v>871</v>
      </c>
      <c r="AG35" s="183" t="s">
        <v>871</v>
      </c>
      <c r="AH35" s="99" t="s">
        <v>871</v>
      </c>
      <c r="AI35" s="99" t="s">
        <v>871</v>
      </c>
      <c r="AJ35" s="99" t="s">
        <v>871</v>
      </c>
      <c r="AK35" s="99" t="s">
        <v>871</v>
      </c>
      <c r="AL35" s="99" t="s">
        <v>871</v>
      </c>
      <c r="AM35" s="99" t="s">
        <v>871</v>
      </c>
      <c r="AN35" s="99" t="s">
        <v>871</v>
      </c>
      <c r="AO35" s="99" t="s">
        <v>924</v>
      </c>
      <c r="AP35" s="100" t="s">
        <v>673</v>
      </c>
      <c r="AQ35" s="100"/>
      <c r="AR35" s="100"/>
      <c r="AS35" s="102"/>
      <c r="AT35" s="100">
        <v>6.8</v>
      </c>
      <c r="AU35" s="100"/>
      <c r="AV35" s="100"/>
      <c r="AW35" s="100"/>
      <c r="AX35" s="100" t="s">
        <v>673</v>
      </c>
      <c r="AY35" s="99"/>
      <c r="AZ35" s="100">
        <v>0</v>
      </c>
      <c r="BA35" s="100">
        <v>0</v>
      </c>
      <c r="BB35" s="100">
        <v>0</v>
      </c>
      <c r="BC35" s="100">
        <v>0</v>
      </c>
      <c r="BD35" s="100">
        <v>0</v>
      </c>
      <c r="BE35" s="100">
        <v>0</v>
      </c>
      <c r="BF35" s="100">
        <v>0</v>
      </c>
      <c r="BG35" s="100">
        <v>0</v>
      </c>
      <c r="BH35" s="100">
        <v>0</v>
      </c>
      <c r="BI35" s="100">
        <v>0</v>
      </c>
      <c r="BJ35" s="100">
        <v>0</v>
      </c>
      <c r="BK35" s="100">
        <v>0</v>
      </c>
      <c r="BL35" s="100"/>
      <c r="BM35" s="100" t="s">
        <v>673</v>
      </c>
      <c r="BN35" s="100"/>
      <c r="BO35" s="100" t="s">
        <v>673</v>
      </c>
      <c r="BP35" s="222"/>
      <c r="BQ35" s="100"/>
      <c r="BR35" s="100"/>
      <c r="BS35" s="100"/>
      <c r="BT35" s="99"/>
      <c r="BU35" s="99"/>
      <c r="BV35" s="100"/>
      <c r="BW35" s="100" t="s">
        <v>873</v>
      </c>
      <c r="BX35" s="100"/>
      <c r="BY35" s="99"/>
      <c r="BZ35" s="156" t="s">
        <v>939</v>
      </c>
      <c r="CA35" s="157" t="s">
        <v>588</v>
      </c>
    </row>
    <row r="36" spans="1:79" x14ac:dyDescent="0.15">
      <c r="A36" s="96">
        <v>10576</v>
      </c>
      <c r="B36" s="155">
        <v>42566</v>
      </c>
      <c r="C36" s="181" t="s">
        <v>868</v>
      </c>
      <c r="D36" s="182" t="s">
        <v>663</v>
      </c>
      <c r="E36" s="160"/>
      <c r="F36" s="99" t="s">
        <v>923</v>
      </c>
      <c r="G36" s="104">
        <v>42551</v>
      </c>
      <c r="H36" s="100" t="s">
        <v>672</v>
      </c>
      <c r="I36" s="100" t="s">
        <v>673</v>
      </c>
      <c r="J36" s="100"/>
      <c r="K36" s="99" t="s">
        <v>139</v>
      </c>
      <c r="L36" s="99" t="s">
        <v>703</v>
      </c>
      <c r="M36" s="183">
        <v>77.918181818181807</v>
      </c>
      <c r="N36" s="183">
        <v>34.527272727272724</v>
      </c>
      <c r="O36" s="99" t="s">
        <v>875</v>
      </c>
      <c r="P36" s="101">
        <v>1000</v>
      </c>
      <c r="Q36" s="183">
        <v>36.845454545454544</v>
      </c>
      <c r="R36" s="101"/>
      <c r="S36" s="183"/>
      <c r="T36" s="101"/>
      <c r="U36" s="183"/>
      <c r="V36" s="99"/>
      <c r="W36" s="99"/>
      <c r="X36" s="99"/>
      <c r="Y36" s="99"/>
      <c r="Z36" s="101"/>
      <c r="AA36" s="99"/>
      <c r="AB36" s="101"/>
      <c r="AC36" s="99"/>
      <c r="AD36" s="99"/>
      <c r="AE36" s="183">
        <v>16.718181818181819</v>
      </c>
      <c r="AF36" s="183" t="s">
        <v>871</v>
      </c>
      <c r="AG36" s="183" t="s">
        <v>871</v>
      </c>
      <c r="AH36" s="99" t="s">
        <v>871</v>
      </c>
      <c r="AI36" s="99" t="s">
        <v>871</v>
      </c>
      <c r="AJ36" s="99" t="s">
        <v>871</v>
      </c>
      <c r="AK36" s="99" t="s">
        <v>871</v>
      </c>
      <c r="AL36" s="99" t="s">
        <v>871</v>
      </c>
      <c r="AM36" s="99" t="s">
        <v>871</v>
      </c>
      <c r="AN36" s="99" t="s">
        <v>871</v>
      </c>
      <c r="AO36" s="99" t="s">
        <v>924</v>
      </c>
      <c r="AP36" s="100" t="s">
        <v>673</v>
      </c>
      <c r="AQ36" s="100"/>
      <c r="AR36" s="100"/>
      <c r="AS36" s="102"/>
      <c r="AT36" s="100">
        <v>8</v>
      </c>
      <c r="AU36" s="100"/>
      <c r="AV36" s="100"/>
      <c r="AW36" s="100"/>
      <c r="AX36" s="100" t="s">
        <v>638</v>
      </c>
      <c r="AY36" s="99"/>
      <c r="AZ36" s="100">
        <v>13</v>
      </c>
      <c r="BA36" s="100">
        <v>0</v>
      </c>
      <c r="BB36" s="100">
        <v>0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0</v>
      </c>
      <c r="BI36" s="100">
        <v>0</v>
      </c>
      <c r="BJ36" s="100">
        <v>0</v>
      </c>
      <c r="BK36" s="100">
        <v>0</v>
      </c>
      <c r="BL36" s="100"/>
      <c r="BM36" s="100" t="s">
        <v>673</v>
      </c>
      <c r="BN36" s="100">
        <v>12</v>
      </c>
      <c r="BO36" s="100" t="s">
        <v>673</v>
      </c>
      <c r="BP36" s="222"/>
      <c r="BQ36" s="100"/>
      <c r="BR36" s="100"/>
      <c r="BS36" s="100"/>
      <c r="BT36" s="103"/>
      <c r="BU36" s="103"/>
      <c r="BV36" s="100"/>
      <c r="BW36" s="100" t="s">
        <v>873</v>
      </c>
      <c r="BX36" s="100"/>
      <c r="BY36" s="186"/>
      <c r="BZ36" s="156" t="s">
        <v>940</v>
      </c>
      <c r="CA36" s="156" t="s">
        <v>588</v>
      </c>
    </row>
    <row r="37" spans="1:79" x14ac:dyDescent="0.15">
      <c r="A37" s="96">
        <v>13106</v>
      </c>
      <c r="B37" s="155">
        <v>42566</v>
      </c>
      <c r="C37" s="181" t="s">
        <v>868</v>
      </c>
      <c r="D37" s="182" t="s">
        <v>663</v>
      </c>
      <c r="E37" s="160"/>
      <c r="F37" s="99" t="s">
        <v>923</v>
      </c>
      <c r="G37" s="97">
        <v>42551</v>
      </c>
      <c r="H37" s="100" t="s">
        <v>672</v>
      </c>
      <c r="I37" s="100" t="s">
        <v>673</v>
      </c>
      <c r="J37" s="100"/>
      <c r="K37" s="99" t="s">
        <v>140</v>
      </c>
      <c r="L37" s="99" t="s">
        <v>914</v>
      </c>
      <c r="M37" s="183">
        <v>71.536363636363632</v>
      </c>
      <c r="N37" s="183">
        <v>30.518181818181816</v>
      </c>
      <c r="O37" s="99"/>
      <c r="P37" s="101"/>
      <c r="Q37" s="183" t="s">
        <v>871</v>
      </c>
      <c r="R37" s="101"/>
      <c r="S37" s="183"/>
      <c r="T37" s="101"/>
      <c r="U37" s="183"/>
      <c r="V37" s="99"/>
      <c r="W37" s="99"/>
      <c r="X37" s="99"/>
      <c r="Y37" s="99"/>
      <c r="Z37" s="101"/>
      <c r="AA37" s="99"/>
      <c r="AB37" s="101"/>
      <c r="AC37" s="99"/>
      <c r="AD37" s="99"/>
      <c r="AE37" s="183">
        <v>15.118181818181816</v>
      </c>
      <c r="AF37" s="183" t="s">
        <v>871</v>
      </c>
      <c r="AG37" s="183" t="s">
        <v>871</v>
      </c>
      <c r="AH37" s="99" t="s">
        <v>871</v>
      </c>
      <c r="AI37" s="99" t="s">
        <v>871</v>
      </c>
      <c r="AJ37" s="99" t="s">
        <v>871</v>
      </c>
      <c r="AK37" s="99" t="s">
        <v>871</v>
      </c>
      <c r="AL37" s="99" t="s">
        <v>871</v>
      </c>
      <c r="AM37" s="99" t="s">
        <v>871</v>
      </c>
      <c r="AN37" s="99" t="s">
        <v>871</v>
      </c>
      <c r="AO37" s="99" t="s">
        <v>924</v>
      </c>
      <c r="AP37" s="100" t="s">
        <v>673</v>
      </c>
      <c r="AQ37" s="100"/>
      <c r="AR37" s="100"/>
      <c r="AS37" s="102"/>
      <c r="AT37" s="100">
        <v>12.4</v>
      </c>
      <c r="AU37" s="100"/>
      <c r="AV37" s="100"/>
      <c r="AW37" s="100"/>
      <c r="AX37" s="100" t="s">
        <v>638</v>
      </c>
      <c r="AY37" s="99"/>
      <c r="AZ37" s="100">
        <v>0</v>
      </c>
      <c r="BA37" s="100">
        <v>0</v>
      </c>
      <c r="BB37" s="100">
        <v>0</v>
      </c>
      <c r="BC37" s="100">
        <v>0</v>
      </c>
      <c r="BD37" s="100">
        <v>0</v>
      </c>
      <c r="BE37" s="100">
        <v>0</v>
      </c>
      <c r="BF37" s="100">
        <v>0</v>
      </c>
      <c r="BG37" s="100">
        <v>0</v>
      </c>
      <c r="BH37" s="100">
        <v>0</v>
      </c>
      <c r="BI37" s="100">
        <v>0</v>
      </c>
      <c r="BJ37" s="100">
        <v>0</v>
      </c>
      <c r="BK37" s="100">
        <v>0</v>
      </c>
      <c r="BL37" s="100"/>
      <c r="BM37" s="100" t="s">
        <v>673</v>
      </c>
      <c r="BN37" s="100">
        <v>12</v>
      </c>
      <c r="BO37" s="100" t="s">
        <v>673</v>
      </c>
      <c r="BP37" s="222"/>
      <c r="BQ37" s="100"/>
      <c r="BR37" s="100"/>
      <c r="BS37" s="223"/>
      <c r="BT37" s="99"/>
      <c r="BU37" s="99"/>
      <c r="BV37" s="100"/>
      <c r="BW37" s="100" t="s">
        <v>873</v>
      </c>
      <c r="BX37" s="100"/>
      <c r="BY37" s="182"/>
      <c r="BZ37" s="185" t="s">
        <v>942</v>
      </c>
      <c r="CA37" t="s">
        <v>588</v>
      </c>
    </row>
    <row r="38" spans="1:79" x14ac:dyDescent="0.15">
      <c r="A38" s="96">
        <v>11319</v>
      </c>
      <c r="B38" s="155">
        <v>42566</v>
      </c>
      <c r="C38" s="181" t="s">
        <v>868</v>
      </c>
      <c r="D38" s="182" t="s">
        <v>663</v>
      </c>
      <c r="E38" s="160"/>
      <c r="F38" s="99" t="s">
        <v>923</v>
      </c>
      <c r="G38" s="104">
        <v>42551</v>
      </c>
      <c r="H38" s="100" t="s">
        <v>672</v>
      </c>
      <c r="I38" s="100" t="s">
        <v>673</v>
      </c>
      <c r="J38" s="100"/>
      <c r="K38" s="99" t="s">
        <v>141</v>
      </c>
      <c r="L38" s="99" t="s">
        <v>919</v>
      </c>
      <c r="M38" s="183">
        <v>107</v>
      </c>
      <c r="N38" s="183">
        <v>31.781818181818181</v>
      </c>
      <c r="O38" s="99"/>
      <c r="P38" s="101"/>
      <c r="Q38" s="183" t="s">
        <v>871</v>
      </c>
      <c r="R38" s="101"/>
      <c r="S38" s="183"/>
      <c r="T38" s="101"/>
      <c r="U38" s="183"/>
      <c r="V38" s="99"/>
      <c r="W38" s="99"/>
      <c r="X38" s="101"/>
      <c r="Y38" s="99"/>
      <c r="Z38" s="101"/>
      <c r="AA38" s="99"/>
      <c r="AB38" s="101"/>
      <c r="AC38" s="99"/>
      <c r="AD38" s="99"/>
      <c r="AE38" s="183">
        <v>17.454545454545453</v>
      </c>
      <c r="AF38" s="183" t="s">
        <v>871</v>
      </c>
      <c r="AG38" s="183" t="s">
        <v>871</v>
      </c>
      <c r="AH38" s="99" t="s">
        <v>871</v>
      </c>
      <c r="AI38" s="99" t="s">
        <v>871</v>
      </c>
      <c r="AJ38" s="99" t="s">
        <v>871</v>
      </c>
      <c r="AK38" s="99" t="s">
        <v>871</v>
      </c>
      <c r="AL38" s="99" t="s">
        <v>871</v>
      </c>
      <c r="AM38" s="99" t="s">
        <v>871</v>
      </c>
      <c r="AN38" s="99" t="s">
        <v>871</v>
      </c>
      <c r="AO38" s="99" t="s">
        <v>924</v>
      </c>
      <c r="AP38" s="100" t="s">
        <v>673</v>
      </c>
      <c r="AQ38" s="100"/>
      <c r="AR38" s="100"/>
      <c r="AS38" s="102"/>
      <c r="AT38" s="100">
        <v>14.2</v>
      </c>
      <c r="AU38" s="100"/>
      <c r="AV38" s="100"/>
      <c r="AW38" s="100"/>
      <c r="AX38" s="100" t="s">
        <v>638</v>
      </c>
      <c r="AY38" s="99"/>
      <c r="AZ38" s="100">
        <v>0</v>
      </c>
      <c r="BA38" s="100">
        <v>0</v>
      </c>
      <c r="BB38" s="100">
        <v>0</v>
      </c>
      <c r="BC38" s="100">
        <v>0</v>
      </c>
      <c r="BD38" s="100">
        <v>0</v>
      </c>
      <c r="BE38" s="100">
        <v>0</v>
      </c>
      <c r="BF38" s="100">
        <v>0</v>
      </c>
      <c r="BG38" s="100">
        <v>0</v>
      </c>
      <c r="BH38" s="100">
        <v>0</v>
      </c>
      <c r="BI38" s="100">
        <v>0</v>
      </c>
      <c r="BJ38" s="100">
        <v>0</v>
      </c>
      <c r="BK38" s="100">
        <v>0</v>
      </c>
      <c r="BL38" s="100"/>
      <c r="BM38" s="100" t="s">
        <v>673</v>
      </c>
      <c r="BN38" s="100"/>
      <c r="BO38" s="100" t="s">
        <v>673</v>
      </c>
      <c r="BP38" s="100"/>
      <c r="BQ38" s="100"/>
      <c r="BR38" s="100"/>
      <c r="BS38" s="100"/>
      <c r="BT38" s="99"/>
      <c r="BU38" s="99"/>
      <c r="BV38" s="100"/>
      <c r="BW38" s="100" t="s">
        <v>873</v>
      </c>
      <c r="BX38" s="100"/>
      <c r="BY38" s="99"/>
      <c r="BZ38" s="185" t="s">
        <v>943</v>
      </c>
      <c r="CA38" s="156" t="s">
        <v>588</v>
      </c>
    </row>
    <row r="39" spans="1:79" x14ac:dyDescent="0.15">
      <c r="A39" s="96">
        <v>10994</v>
      </c>
      <c r="B39" s="155">
        <v>42605</v>
      </c>
      <c r="C39" s="181" t="s">
        <v>868</v>
      </c>
      <c r="D39" s="182" t="s">
        <v>663</v>
      </c>
      <c r="E39" s="160"/>
      <c r="F39" s="99" t="s">
        <v>923</v>
      </c>
      <c r="G39" s="97">
        <v>42593</v>
      </c>
      <c r="H39" s="100" t="s">
        <v>672</v>
      </c>
      <c r="I39" s="100" t="s">
        <v>673</v>
      </c>
      <c r="J39" s="100"/>
      <c r="K39" s="99" t="s">
        <v>708</v>
      </c>
      <c r="L39" s="99" t="s">
        <v>894</v>
      </c>
      <c r="M39" s="183">
        <v>70</v>
      </c>
      <c r="N39" s="183">
        <v>27.27</v>
      </c>
      <c r="O39" s="99"/>
      <c r="P39" s="101"/>
      <c r="Q39" s="183"/>
      <c r="R39" s="101"/>
      <c r="S39" s="183"/>
      <c r="T39" s="101"/>
      <c r="U39" s="183"/>
      <c r="V39" s="99"/>
      <c r="W39" s="99"/>
      <c r="X39" s="101"/>
      <c r="Y39" s="99"/>
      <c r="Z39" s="101"/>
      <c r="AA39" s="99"/>
      <c r="AB39" s="99"/>
      <c r="AC39" s="99"/>
      <c r="AD39" s="99"/>
      <c r="AE39" s="183">
        <v>18.18</v>
      </c>
      <c r="AF39" s="183" t="s">
        <v>871</v>
      </c>
      <c r="AG39" s="183" t="s">
        <v>871</v>
      </c>
      <c r="AH39" s="99" t="s">
        <v>871</v>
      </c>
      <c r="AI39" s="99" t="s">
        <v>871</v>
      </c>
      <c r="AJ39" s="99" t="s">
        <v>871</v>
      </c>
      <c r="AK39" s="99" t="s">
        <v>871</v>
      </c>
      <c r="AL39" s="99" t="s">
        <v>871</v>
      </c>
      <c r="AM39" s="99" t="s">
        <v>871</v>
      </c>
      <c r="AN39" s="99" t="s">
        <v>871</v>
      </c>
      <c r="AO39" s="99" t="s">
        <v>924</v>
      </c>
      <c r="AP39" s="100" t="s">
        <v>673</v>
      </c>
      <c r="AQ39" s="100"/>
      <c r="AR39" s="100"/>
      <c r="AS39" s="102"/>
      <c r="AT39" s="100">
        <v>16</v>
      </c>
      <c r="AU39" s="100"/>
      <c r="AV39" s="100"/>
      <c r="AW39" s="100"/>
      <c r="AX39" s="100" t="s">
        <v>638</v>
      </c>
      <c r="AY39" s="99"/>
      <c r="AZ39" s="100">
        <v>0</v>
      </c>
      <c r="BA39" s="100">
        <v>0</v>
      </c>
      <c r="BB39" s="100">
        <v>0</v>
      </c>
      <c r="BC39" s="100">
        <v>0</v>
      </c>
      <c r="BD39" s="100">
        <v>0</v>
      </c>
      <c r="BE39" s="100">
        <v>0</v>
      </c>
      <c r="BF39" s="100">
        <v>0</v>
      </c>
      <c r="BG39" s="100">
        <v>0</v>
      </c>
      <c r="BH39" s="100">
        <v>0</v>
      </c>
      <c r="BI39" s="100">
        <v>0</v>
      </c>
      <c r="BJ39" s="100">
        <v>0</v>
      </c>
      <c r="BK39" s="100">
        <v>0</v>
      </c>
      <c r="BL39" s="100"/>
      <c r="BM39" s="100" t="s">
        <v>673</v>
      </c>
      <c r="BN39" s="100"/>
      <c r="BO39" s="100" t="s">
        <v>673</v>
      </c>
      <c r="BP39" s="222">
        <v>185.35</v>
      </c>
      <c r="BQ39" s="100"/>
      <c r="BR39" s="100"/>
      <c r="BS39" s="223">
        <v>42916</v>
      </c>
      <c r="BT39" s="99"/>
      <c r="BU39" s="99"/>
      <c r="BV39" s="100"/>
      <c r="BW39" s="100" t="s">
        <v>873</v>
      </c>
      <c r="BX39" s="100"/>
      <c r="BY39" s="182" t="s">
        <v>946</v>
      </c>
      <c r="BZ39" s="185" t="s">
        <v>935</v>
      </c>
      <c r="CA39" s="157" t="s">
        <v>426</v>
      </c>
    </row>
    <row r="40" spans="1:79" x14ac:dyDescent="0.15">
      <c r="A40" s="96">
        <v>13157</v>
      </c>
      <c r="B40" s="155">
        <v>42566</v>
      </c>
      <c r="C40" s="181" t="s">
        <v>868</v>
      </c>
      <c r="D40" s="182" t="s">
        <v>663</v>
      </c>
      <c r="E40" s="160"/>
      <c r="F40" s="99" t="s">
        <v>923</v>
      </c>
      <c r="G40" s="97">
        <v>42551</v>
      </c>
      <c r="H40" s="100" t="s">
        <v>672</v>
      </c>
      <c r="I40" s="100" t="s">
        <v>673</v>
      </c>
      <c r="J40" s="100"/>
      <c r="K40" s="99" t="s">
        <v>142</v>
      </c>
      <c r="L40" s="99" t="s">
        <v>921</v>
      </c>
      <c r="M40" s="183">
        <v>97</v>
      </c>
      <c r="N40" s="183">
        <v>32.781818181818181</v>
      </c>
      <c r="O40" s="99"/>
      <c r="P40" s="101"/>
      <c r="Q40" s="183" t="s">
        <v>871</v>
      </c>
      <c r="R40" s="101"/>
      <c r="S40" s="183"/>
      <c r="T40" s="101"/>
      <c r="U40" s="183"/>
      <c r="V40" s="99"/>
      <c r="W40" s="99"/>
      <c r="X40" s="99"/>
      <c r="Y40" s="99"/>
      <c r="Z40" s="99"/>
      <c r="AA40" s="99"/>
      <c r="AB40" s="99"/>
      <c r="AC40" s="99"/>
      <c r="AD40" s="99"/>
      <c r="AE40" s="183">
        <v>17.172727272727272</v>
      </c>
      <c r="AF40" s="183" t="s">
        <v>871</v>
      </c>
      <c r="AG40" s="183" t="s">
        <v>871</v>
      </c>
      <c r="AH40" s="99" t="s">
        <v>871</v>
      </c>
      <c r="AI40" s="99" t="s">
        <v>871</v>
      </c>
      <c r="AJ40" s="99" t="s">
        <v>871</v>
      </c>
      <c r="AK40" s="99" t="s">
        <v>871</v>
      </c>
      <c r="AL40" s="99" t="s">
        <v>871</v>
      </c>
      <c r="AM40" s="99" t="s">
        <v>871</v>
      </c>
      <c r="AN40" s="99" t="s">
        <v>871</v>
      </c>
      <c r="AO40" s="99" t="s">
        <v>924</v>
      </c>
      <c r="AP40" s="100" t="s">
        <v>673</v>
      </c>
      <c r="AQ40" s="100"/>
      <c r="AR40" s="100"/>
      <c r="AS40" s="102"/>
      <c r="AT40" s="100">
        <v>15</v>
      </c>
      <c r="AU40" s="100"/>
      <c r="AV40" s="100"/>
      <c r="AW40" s="100"/>
      <c r="AX40" s="100" t="s">
        <v>673</v>
      </c>
      <c r="AY40" s="99"/>
      <c r="AZ40" s="100">
        <v>0</v>
      </c>
      <c r="BA40" s="100">
        <v>8</v>
      </c>
      <c r="BB40" s="100">
        <v>0</v>
      </c>
      <c r="BC40" s="100">
        <v>0</v>
      </c>
      <c r="BD40" s="100">
        <v>0</v>
      </c>
      <c r="BE40" s="100">
        <v>0</v>
      </c>
      <c r="BF40" s="100">
        <v>0</v>
      </c>
      <c r="BG40" s="100">
        <v>0</v>
      </c>
      <c r="BH40" s="100">
        <v>0</v>
      </c>
      <c r="BI40" s="100">
        <v>0</v>
      </c>
      <c r="BJ40" s="100">
        <v>0</v>
      </c>
      <c r="BK40" s="100">
        <v>0</v>
      </c>
      <c r="BL40" s="100"/>
      <c r="BM40" s="100" t="s">
        <v>673</v>
      </c>
      <c r="BN40" s="100"/>
      <c r="BO40" s="100" t="s">
        <v>673</v>
      </c>
      <c r="BP40" s="100"/>
      <c r="BQ40" s="100"/>
      <c r="BR40" s="100"/>
      <c r="BS40" s="100"/>
      <c r="BT40" s="99"/>
      <c r="BU40" s="99"/>
      <c r="BV40" s="100"/>
      <c r="BW40" s="100" t="s">
        <v>873</v>
      </c>
      <c r="BX40" s="100">
        <v>1</v>
      </c>
      <c r="BY40" s="99"/>
      <c r="BZ40" t="s">
        <v>944</v>
      </c>
      <c r="CA40" s="156" t="s">
        <v>588</v>
      </c>
    </row>
    <row r="41" spans="1:79" x14ac:dyDescent="0.15">
      <c r="A41" s="96">
        <v>13003</v>
      </c>
      <c r="B41" s="155">
        <v>42566</v>
      </c>
      <c r="C41" s="181" t="s">
        <v>868</v>
      </c>
      <c r="D41" s="182" t="s">
        <v>663</v>
      </c>
      <c r="E41" s="160"/>
      <c r="F41" s="99" t="s">
        <v>923</v>
      </c>
      <c r="G41" s="97">
        <v>42551</v>
      </c>
      <c r="H41" s="100" t="s">
        <v>673</v>
      </c>
      <c r="I41" s="100" t="s">
        <v>722</v>
      </c>
      <c r="J41" s="100"/>
      <c r="K41" s="99" t="s">
        <v>614</v>
      </c>
      <c r="L41" s="182" t="s">
        <v>877</v>
      </c>
      <c r="M41" s="183">
        <v>85.009090909090901</v>
      </c>
      <c r="N41" s="183">
        <v>30.545454545454543</v>
      </c>
      <c r="O41" s="99" t="s">
        <v>875</v>
      </c>
      <c r="P41" s="101">
        <v>1000</v>
      </c>
      <c r="Q41" s="183">
        <v>30.545454545454543</v>
      </c>
      <c r="R41" s="101"/>
      <c r="S41" s="183"/>
      <c r="T41" s="101"/>
      <c r="U41" s="183"/>
      <c r="V41" s="99"/>
      <c r="W41" s="99"/>
      <c r="X41" s="99"/>
      <c r="Y41" s="99"/>
      <c r="Z41" s="99"/>
      <c r="AA41" s="99"/>
      <c r="AB41" s="99"/>
      <c r="AC41" s="99"/>
      <c r="AD41" s="99"/>
      <c r="AE41" s="183">
        <v>15.754545454545452</v>
      </c>
      <c r="AF41" s="183" t="s">
        <v>871</v>
      </c>
      <c r="AG41" s="183" t="s">
        <v>871</v>
      </c>
      <c r="AH41" s="99" t="s">
        <v>871</v>
      </c>
      <c r="AI41" s="99" t="s">
        <v>871</v>
      </c>
      <c r="AJ41" s="99" t="s">
        <v>871</v>
      </c>
      <c r="AK41" s="99" t="s">
        <v>871</v>
      </c>
      <c r="AL41" s="99" t="s">
        <v>871</v>
      </c>
      <c r="AM41" s="99" t="s">
        <v>871</v>
      </c>
      <c r="AN41" s="99" t="s">
        <v>871</v>
      </c>
      <c r="AO41" s="99" t="s">
        <v>924</v>
      </c>
      <c r="AP41" s="100" t="s">
        <v>673</v>
      </c>
      <c r="AQ41" s="100"/>
      <c r="AR41" s="100"/>
      <c r="AS41" s="102"/>
      <c r="AT41" s="100">
        <v>14</v>
      </c>
      <c r="AU41" s="100"/>
      <c r="AV41" s="100"/>
      <c r="AW41" s="100"/>
      <c r="AX41" s="100" t="s">
        <v>673</v>
      </c>
      <c r="AY41" s="99"/>
      <c r="AZ41" s="100">
        <v>0</v>
      </c>
      <c r="BA41" s="100">
        <v>0</v>
      </c>
      <c r="BB41" s="100">
        <v>0</v>
      </c>
      <c r="BC41" s="100">
        <v>0</v>
      </c>
      <c r="BD41" s="100">
        <v>0</v>
      </c>
      <c r="BE41" s="100">
        <v>0</v>
      </c>
      <c r="BF41" s="100">
        <v>0</v>
      </c>
      <c r="BG41" s="100">
        <v>0</v>
      </c>
      <c r="BH41" s="100">
        <v>0</v>
      </c>
      <c r="BI41" s="100">
        <v>0</v>
      </c>
      <c r="BJ41" s="100">
        <v>0</v>
      </c>
      <c r="BK41" s="100">
        <v>0</v>
      </c>
      <c r="BL41" s="100"/>
      <c r="BM41" s="100" t="s">
        <v>673</v>
      </c>
      <c r="BN41" s="100"/>
      <c r="BO41" s="100" t="s">
        <v>673</v>
      </c>
      <c r="BP41" s="100"/>
      <c r="BQ41" s="100"/>
      <c r="BR41" s="100"/>
      <c r="BS41" s="100"/>
      <c r="BT41" s="103"/>
      <c r="BU41" s="99"/>
      <c r="BV41" s="100"/>
      <c r="BW41" s="100" t="s">
        <v>873</v>
      </c>
      <c r="BX41" s="100">
        <v>1</v>
      </c>
      <c r="BY41" s="99"/>
      <c r="BZ41" t="s">
        <v>927</v>
      </c>
      <c r="CA41" s="156" t="s">
        <v>588</v>
      </c>
    </row>
    <row r="42" spans="1:79" x14ac:dyDescent="0.15">
      <c r="A42" s="96">
        <v>10702</v>
      </c>
      <c r="B42" s="155">
        <v>42566</v>
      </c>
      <c r="C42" s="181" t="s">
        <v>868</v>
      </c>
      <c r="D42" s="182" t="s">
        <v>663</v>
      </c>
      <c r="E42" s="160"/>
      <c r="F42" s="99" t="s">
        <v>923</v>
      </c>
      <c r="G42" s="97">
        <v>42551</v>
      </c>
      <c r="H42" s="100" t="s">
        <v>672</v>
      </c>
      <c r="I42" s="100" t="s">
        <v>673</v>
      </c>
      <c r="J42" s="100"/>
      <c r="K42" s="182" t="s">
        <v>714</v>
      </c>
      <c r="L42" s="182" t="s">
        <v>715</v>
      </c>
      <c r="M42" s="183">
        <v>103.62727272727271</v>
      </c>
      <c r="N42" s="183">
        <v>26.727272727272723</v>
      </c>
      <c r="O42" s="99"/>
      <c r="P42" s="101"/>
      <c r="Q42" s="183" t="s">
        <v>871</v>
      </c>
      <c r="R42" s="101"/>
      <c r="S42" s="183"/>
      <c r="T42" s="101"/>
      <c r="U42" s="183"/>
      <c r="V42" s="99"/>
      <c r="W42" s="99"/>
      <c r="X42" s="101"/>
      <c r="Y42" s="99"/>
      <c r="Z42" s="101"/>
      <c r="AA42" s="99"/>
      <c r="AB42" s="101"/>
      <c r="AC42" s="99"/>
      <c r="AD42" s="99"/>
      <c r="AE42" s="183">
        <v>16.40909090909091</v>
      </c>
      <c r="AF42" s="183" t="s">
        <v>871</v>
      </c>
      <c r="AG42" s="183" t="s">
        <v>871</v>
      </c>
      <c r="AH42" s="99" t="s">
        <v>871</v>
      </c>
      <c r="AI42" s="99" t="s">
        <v>871</v>
      </c>
      <c r="AJ42" s="99" t="s">
        <v>871</v>
      </c>
      <c r="AK42" s="99" t="s">
        <v>871</v>
      </c>
      <c r="AL42" s="99" t="s">
        <v>871</v>
      </c>
      <c r="AM42" s="99" t="s">
        <v>871</v>
      </c>
      <c r="AN42" s="99" t="s">
        <v>871</v>
      </c>
      <c r="AO42" s="99" t="s">
        <v>924</v>
      </c>
      <c r="AP42" s="100" t="s">
        <v>673</v>
      </c>
      <c r="AQ42" s="100"/>
      <c r="AR42" s="100"/>
      <c r="AS42" s="102"/>
      <c r="AT42" s="100">
        <v>7.5</v>
      </c>
      <c r="AU42" s="100"/>
      <c r="AV42" s="100"/>
      <c r="AW42" s="100"/>
      <c r="AX42" s="100" t="s">
        <v>638</v>
      </c>
      <c r="AY42" s="99"/>
      <c r="AZ42" s="100">
        <v>0</v>
      </c>
      <c r="BA42" s="100">
        <v>0</v>
      </c>
      <c r="BB42" s="100">
        <v>6</v>
      </c>
      <c r="BC42" s="100">
        <v>0</v>
      </c>
      <c r="BD42" s="100">
        <v>0</v>
      </c>
      <c r="BE42" s="100">
        <v>0</v>
      </c>
      <c r="BF42" s="100">
        <v>0</v>
      </c>
      <c r="BG42" s="100">
        <v>0</v>
      </c>
      <c r="BH42" s="100">
        <v>0</v>
      </c>
      <c r="BI42" s="100">
        <v>0</v>
      </c>
      <c r="BJ42" s="100">
        <v>0</v>
      </c>
      <c r="BK42" s="100">
        <v>0</v>
      </c>
      <c r="BL42" s="100"/>
      <c r="BM42" s="100" t="s">
        <v>673</v>
      </c>
      <c r="BN42" s="100"/>
      <c r="BO42" s="100" t="s">
        <v>673</v>
      </c>
      <c r="BP42" s="100"/>
      <c r="BQ42" s="100"/>
      <c r="BR42" s="100"/>
      <c r="BS42" s="100"/>
      <c r="BT42" s="103"/>
      <c r="BU42" s="103"/>
      <c r="BV42" s="100"/>
      <c r="BW42" s="100" t="s">
        <v>873</v>
      </c>
      <c r="BX42" s="100">
        <v>1</v>
      </c>
      <c r="BY42" s="182" t="s">
        <v>916</v>
      </c>
      <c r="BZ42" s="185" t="s">
        <v>917</v>
      </c>
      <c r="CA42" t="s">
        <v>588</v>
      </c>
    </row>
    <row r="43" spans="1:79" x14ac:dyDescent="0.15">
      <c r="A43" s="96">
        <v>13298</v>
      </c>
      <c r="B43" s="155">
        <v>42568</v>
      </c>
      <c r="C43" s="181" t="s">
        <v>868</v>
      </c>
      <c r="D43" s="182" t="s">
        <v>663</v>
      </c>
      <c r="E43" s="160"/>
      <c r="F43" s="99" t="s">
        <v>923</v>
      </c>
      <c r="G43" s="97">
        <v>42566</v>
      </c>
      <c r="H43" s="100" t="s">
        <v>673</v>
      </c>
      <c r="I43" s="100" t="s">
        <v>722</v>
      </c>
      <c r="J43" s="100"/>
      <c r="K43" s="182" t="s">
        <v>720</v>
      </c>
      <c r="L43" s="182" t="s">
        <v>879</v>
      </c>
      <c r="M43" s="183">
        <v>84.36363636363636</v>
      </c>
      <c r="N43" s="183">
        <v>31.209090909090904</v>
      </c>
      <c r="O43" s="99"/>
      <c r="P43" s="101"/>
      <c r="Q43" s="183" t="s">
        <v>871</v>
      </c>
      <c r="R43" s="101"/>
      <c r="S43" s="183"/>
      <c r="T43" s="101"/>
      <c r="U43" s="183"/>
      <c r="V43" s="99"/>
      <c r="W43" s="99"/>
      <c r="X43" s="101"/>
      <c r="Y43" s="99"/>
      <c r="Z43" s="101"/>
      <c r="AA43" s="99"/>
      <c r="AB43" s="101"/>
      <c r="AC43" s="99"/>
      <c r="AD43" s="99"/>
      <c r="AE43" s="183">
        <v>17.336363636363636</v>
      </c>
      <c r="AF43" s="183" t="s">
        <v>871</v>
      </c>
      <c r="AG43" s="183" t="s">
        <v>871</v>
      </c>
      <c r="AH43" s="99" t="s">
        <v>871</v>
      </c>
      <c r="AI43" s="99" t="s">
        <v>871</v>
      </c>
      <c r="AJ43" s="99" t="s">
        <v>871</v>
      </c>
      <c r="AK43" s="99" t="s">
        <v>871</v>
      </c>
      <c r="AL43" s="99" t="s">
        <v>871</v>
      </c>
      <c r="AM43" s="99" t="s">
        <v>871</v>
      </c>
      <c r="AN43" s="99" t="s">
        <v>871</v>
      </c>
      <c r="AO43" s="99" t="s">
        <v>924</v>
      </c>
      <c r="AP43" s="100" t="s">
        <v>673</v>
      </c>
      <c r="AQ43" s="100"/>
      <c r="AR43" s="100"/>
      <c r="AS43" s="102"/>
      <c r="AT43" s="100"/>
      <c r="AU43" s="100"/>
      <c r="AV43" s="100"/>
      <c r="AW43" s="100"/>
      <c r="AX43" s="100" t="s">
        <v>638</v>
      </c>
      <c r="AY43" s="99"/>
      <c r="AZ43" s="100">
        <v>0</v>
      </c>
      <c r="BA43" s="100">
        <v>0</v>
      </c>
      <c r="BB43" s="100">
        <v>0</v>
      </c>
      <c r="BC43" s="100">
        <v>0</v>
      </c>
      <c r="BD43" s="100">
        <v>0</v>
      </c>
      <c r="BE43" s="100">
        <v>0</v>
      </c>
      <c r="BF43" s="100">
        <v>0</v>
      </c>
      <c r="BG43" s="100">
        <v>0</v>
      </c>
      <c r="BH43" s="100">
        <v>0</v>
      </c>
      <c r="BI43" s="100">
        <v>0</v>
      </c>
      <c r="BJ43" s="100">
        <v>0</v>
      </c>
      <c r="BK43" s="100">
        <v>0</v>
      </c>
      <c r="BL43" s="100"/>
      <c r="BM43" s="100" t="s">
        <v>673</v>
      </c>
      <c r="BN43" s="100"/>
      <c r="BO43" s="100" t="s">
        <v>673</v>
      </c>
      <c r="BP43" s="100">
        <v>109.09090909090908</v>
      </c>
      <c r="BQ43" s="100"/>
      <c r="BR43" s="100"/>
      <c r="BS43" s="100"/>
      <c r="BT43" s="103"/>
      <c r="BU43" s="103"/>
      <c r="BV43" s="100"/>
      <c r="BW43" s="100" t="s">
        <v>873</v>
      </c>
      <c r="BX43" s="100">
        <v>1</v>
      </c>
      <c r="BY43" s="182" t="s">
        <v>880</v>
      </c>
      <c r="BZ43" s="185" t="s">
        <v>928</v>
      </c>
      <c r="CA43" t="s">
        <v>729</v>
      </c>
    </row>
    <row r="44" spans="1:79" x14ac:dyDescent="0.15">
      <c r="A44" s="96">
        <v>56</v>
      </c>
      <c r="B44" s="155">
        <v>42566</v>
      </c>
      <c r="C44" s="181" t="s">
        <v>868</v>
      </c>
      <c r="D44" s="182" t="s">
        <v>663</v>
      </c>
      <c r="E44" s="160"/>
      <c r="F44" s="99" t="s">
        <v>923</v>
      </c>
      <c r="G44" s="97">
        <v>42413</v>
      </c>
      <c r="H44" s="100" t="s">
        <v>672</v>
      </c>
      <c r="I44" s="100" t="s">
        <v>673</v>
      </c>
      <c r="J44" s="100"/>
      <c r="K44" s="182" t="s">
        <v>886</v>
      </c>
      <c r="L44" s="182" t="s">
        <v>721</v>
      </c>
      <c r="M44" s="183">
        <v>96.518181818181816</v>
      </c>
      <c r="N44" s="183">
        <v>30.227272727272723</v>
      </c>
      <c r="O44" s="99"/>
      <c r="P44" s="101"/>
      <c r="Q44" s="183" t="s">
        <v>871</v>
      </c>
      <c r="R44" s="101"/>
      <c r="S44" s="183"/>
      <c r="T44" s="101"/>
      <c r="U44" s="183"/>
      <c r="V44" s="99"/>
      <c r="W44" s="99"/>
      <c r="X44" s="101"/>
      <c r="Y44" s="99"/>
      <c r="Z44" s="101"/>
      <c r="AA44" s="99"/>
      <c r="AB44" s="101"/>
      <c r="AC44" s="99"/>
      <c r="AD44" s="99"/>
      <c r="AE44" s="183">
        <v>23.118181818181817</v>
      </c>
      <c r="AF44" s="183" t="s">
        <v>871</v>
      </c>
      <c r="AG44" s="183" t="s">
        <v>871</v>
      </c>
      <c r="AH44" s="99" t="s">
        <v>871</v>
      </c>
      <c r="AI44" s="99" t="s">
        <v>871</v>
      </c>
      <c r="AJ44" s="99" t="s">
        <v>871</v>
      </c>
      <c r="AK44" s="99" t="s">
        <v>871</v>
      </c>
      <c r="AL44" s="99" t="s">
        <v>871</v>
      </c>
      <c r="AM44" s="99" t="s">
        <v>871</v>
      </c>
      <c r="AN44" s="99" t="s">
        <v>871</v>
      </c>
      <c r="AO44" s="99" t="s">
        <v>924</v>
      </c>
      <c r="AP44" s="100" t="s">
        <v>673</v>
      </c>
      <c r="AQ44" s="100"/>
      <c r="AR44" s="100"/>
      <c r="AS44" s="102"/>
      <c r="AT44" s="100">
        <v>15</v>
      </c>
      <c r="AU44" s="100"/>
      <c r="AV44" s="100"/>
      <c r="AW44" s="100"/>
      <c r="AX44" s="100" t="s">
        <v>673</v>
      </c>
      <c r="AY44" s="99"/>
      <c r="AZ44" s="100">
        <v>0</v>
      </c>
      <c r="BA44" s="100">
        <v>0</v>
      </c>
      <c r="BB44" s="100">
        <v>0</v>
      </c>
      <c r="BC44" s="100">
        <v>0</v>
      </c>
      <c r="BD44" s="100">
        <v>0</v>
      </c>
      <c r="BE44" s="100">
        <v>0</v>
      </c>
      <c r="BF44" s="100">
        <v>0</v>
      </c>
      <c r="BG44" s="100">
        <v>0</v>
      </c>
      <c r="BH44" s="100">
        <v>0</v>
      </c>
      <c r="BI44" s="100">
        <v>0</v>
      </c>
      <c r="BJ44" s="100">
        <v>0</v>
      </c>
      <c r="BK44" s="100">
        <v>0</v>
      </c>
      <c r="BL44" s="100"/>
      <c r="BM44" s="100" t="s">
        <v>673</v>
      </c>
      <c r="BN44" s="100"/>
      <c r="BO44" s="100" t="s">
        <v>673</v>
      </c>
      <c r="BP44" s="100">
        <v>119.99999999999999</v>
      </c>
      <c r="BQ44" s="100"/>
      <c r="BR44" s="100"/>
      <c r="BS44" s="100"/>
      <c r="BT44" s="103"/>
      <c r="BU44" s="103"/>
      <c r="BV44" s="100"/>
      <c r="BW44" s="100" t="s">
        <v>873</v>
      </c>
      <c r="BX44" s="100">
        <v>1</v>
      </c>
      <c r="BY44" s="182"/>
      <c r="BZ44" s="185" t="s">
        <v>887</v>
      </c>
      <c r="CA44" t="s">
        <v>588</v>
      </c>
    </row>
    <row r="45" spans="1:79" x14ac:dyDescent="0.15">
      <c r="A45" s="96">
        <v>13253</v>
      </c>
      <c r="B45" s="155">
        <v>42567</v>
      </c>
      <c r="C45" s="181" t="s">
        <v>868</v>
      </c>
      <c r="D45" s="182" t="s">
        <v>663</v>
      </c>
      <c r="E45" s="160"/>
      <c r="F45" s="99" t="s">
        <v>923</v>
      </c>
      <c r="G45" s="97">
        <v>42551</v>
      </c>
      <c r="H45" s="100" t="s">
        <v>672</v>
      </c>
      <c r="I45" s="100" t="s">
        <v>673</v>
      </c>
      <c r="J45" s="100"/>
      <c r="K45" s="182" t="s">
        <v>889</v>
      </c>
      <c r="L45" s="182" t="s">
        <v>890</v>
      </c>
      <c r="M45" s="183">
        <v>94.554545454545448</v>
      </c>
      <c r="N45" s="183">
        <v>32.999999999999993</v>
      </c>
      <c r="O45" s="99"/>
      <c r="P45" s="101"/>
      <c r="Q45" s="183" t="s">
        <v>871</v>
      </c>
      <c r="R45" s="101"/>
      <c r="S45" s="183"/>
      <c r="T45" s="101"/>
      <c r="U45" s="183"/>
      <c r="V45" s="99"/>
      <c r="W45" s="99"/>
      <c r="X45" s="101"/>
      <c r="Y45" s="99"/>
      <c r="Z45" s="101"/>
      <c r="AA45" s="99"/>
      <c r="AB45" s="101"/>
      <c r="AC45" s="99"/>
      <c r="AD45" s="99"/>
      <c r="AE45" s="183">
        <v>17.16363636363636</v>
      </c>
      <c r="AF45" s="183" t="s">
        <v>871</v>
      </c>
      <c r="AG45" s="183" t="s">
        <v>871</v>
      </c>
      <c r="AH45" s="99" t="s">
        <v>871</v>
      </c>
      <c r="AI45" s="99" t="s">
        <v>871</v>
      </c>
      <c r="AJ45" s="99" t="s">
        <v>871</v>
      </c>
      <c r="AK45" s="99" t="s">
        <v>871</v>
      </c>
      <c r="AL45" s="99" t="s">
        <v>871</v>
      </c>
      <c r="AM45" s="99" t="s">
        <v>871</v>
      </c>
      <c r="AN45" s="99" t="s">
        <v>871</v>
      </c>
      <c r="AO45" s="99" t="s">
        <v>924</v>
      </c>
      <c r="AP45" s="100" t="s">
        <v>673</v>
      </c>
      <c r="AQ45" s="100"/>
      <c r="AR45" s="100"/>
      <c r="AS45" s="102"/>
      <c r="AT45" s="100">
        <v>6</v>
      </c>
      <c r="AU45" s="100"/>
      <c r="AV45" s="100"/>
      <c r="AW45" s="100"/>
      <c r="AX45" s="100" t="s">
        <v>638</v>
      </c>
      <c r="AY45" s="99"/>
      <c r="AZ45" s="100">
        <v>0</v>
      </c>
      <c r="BA45" s="100">
        <v>10</v>
      </c>
      <c r="BB45" s="100">
        <v>0</v>
      </c>
      <c r="BC45" s="100">
        <v>0</v>
      </c>
      <c r="BD45" s="100">
        <v>0</v>
      </c>
      <c r="BE45" s="100">
        <v>0</v>
      </c>
      <c r="BF45" s="100">
        <v>0</v>
      </c>
      <c r="BG45" s="100">
        <v>0</v>
      </c>
      <c r="BH45" s="100">
        <v>0</v>
      </c>
      <c r="BI45" s="100">
        <v>0</v>
      </c>
      <c r="BJ45" s="100">
        <v>0</v>
      </c>
      <c r="BK45" s="100">
        <v>0</v>
      </c>
      <c r="BL45" s="100"/>
      <c r="BM45" s="100" t="s">
        <v>673</v>
      </c>
      <c r="BN45" s="100"/>
      <c r="BO45" s="100" t="s">
        <v>673</v>
      </c>
      <c r="BP45" s="100"/>
      <c r="BQ45" s="100"/>
      <c r="BR45" s="100"/>
      <c r="BS45" s="100"/>
      <c r="BT45" s="103"/>
      <c r="BU45" s="103"/>
      <c r="BV45" s="100"/>
      <c r="BW45" s="100" t="s">
        <v>873</v>
      </c>
      <c r="BX45" s="100"/>
      <c r="BY45" s="182" t="s">
        <v>932</v>
      </c>
      <c r="BZ45" s="185" t="s">
        <v>933</v>
      </c>
      <c r="CA45" t="s">
        <v>588</v>
      </c>
    </row>
    <row r="46" spans="1:79" x14ac:dyDescent="0.15">
      <c r="A46" s="96">
        <v>12042</v>
      </c>
      <c r="B46" s="227">
        <v>42605</v>
      </c>
      <c r="C46" s="228" t="s">
        <v>662</v>
      </c>
      <c r="D46" s="226" t="s">
        <v>663</v>
      </c>
      <c r="E46" s="226"/>
      <c r="F46" s="226" t="s">
        <v>664</v>
      </c>
      <c r="G46" s="227">
        <v>42587</v>
      </c>
      <c r="H46" s="229" t="s">
        <v>665</v>
      </c>
      <c r="I46" s="229" t="s">
        <v>666</v>
      </c>
      <c r="J46" s="229"/>
      <c r="K46" s="226" t="s">
        <v>896</v>
      </c>
      <c r="L46" s="226" t="s">
        <v>897</v>
      </c>
      <c r="M46" s="230">
        <v>85.799999999999983</v>
      </c>
      <c r="N46" s="230">
        <v>28.25454545454545</v>
      </c>
      <c r="O46" s="226"/>
      <c r="P46" s="226"/>
      <c r="Q46" s="230"/>
      <c r="R46" s="231"/>
      <c r="S46" s="230"/>
      <c r="T46" s="226"/>
      <c r="U46" s="230"/>
      <c r="V46" s="232"/>
      <c r="W46" s="232"/>
      <c r="X46" s="231"/>
      <c r="Y46" s="230"/>
      <c r="Z46" s="230"/>
      <c r="AA46" s="230"/>
      <c r="AB46" s="230"/>
      <c r="AC46" s="230"/>
      <c r="AD46" s="230"/>
      <c r="AE46" s="230">
        <v>15.618181818181817</v>
      </c>
      <c r="AF46" s="231"/>
      <c r="AG46" s="226"/>
      <c r="AH46" s="230"/>
      <c r="AI46" s="226"/>
      <c r="AJ46" s="226"/>
      <c r="AK46" s="230"/>
      <c r="AL46" s="226"/>
      <c r="AM46" s="230"/>
      <c r="AN46" s="230"/>
      <c r="AO46" s="226" t="s">
        <v>764</v>
      </c>
      <c r="AP46" s="229" t="s">
        <v>666</v>
      </c>
      <c r="AQ46" s="229"/>
      <c r="AR46" s="229"/>
      <c r="AS46" s="233"/>
      <c r="AT46" s="229">
        <v>4</v>
      </c>
      <c r="AU46" s="229"/>
      <c r="AV46" s="229"/>
      <c r="AW46" s="229"/>
      <c r="AX46" s="229" t="s">
        <v>673</v>
      </c>
      <c r="AY46" s="226"/>
      <c r="AZ46" s="229">
        <v>0</v>
      </c>
      <c r="BA46" s="229">
        <v>0</v>
      </c>
      <c r="BB46" s="229">
        <v>0</v>
      </c>
      <c r="BC46" s="229">
        <v>0</v>
      </c>
      <c r="BD46" s="229">
        <v>0</v>
      </c>
      <c r="BE46" s="229">
        <v>0</v>
      </c>
      <c r="BF46" s="229">
        <v>0</v>
      </c>
      <c r="BG46" s="229">
        <v>0</v>
      </c>
      <c r="BH46" s="229">
        <v>0</v>
      </c>
      <c r="BI46" s="229">
        <v>0</v>
      </c>
      <c r="BJ46" s="229">
        <v>0</v>
      </c>
      <c r="BK46" s="229">
        <v>0</v>
      </c>
      <c r="BL46" s="229"/>
      <c r="BM46" s="229" t="s">
        <v>666</v>
      </c>
      <c r="BN46" s="229">
        <v>12</v>
      </c>
      <c r="BO46" s="229" t="s">
        <v>666</v>
      </c>
      <c r="BP46" s="234"/>
      <c r="BQ46" s="229"/>
      <c r="BR46" s="229"/>
      <c r="BS46" s="229"/>
      <c r="BT46" s="226"/>
      <c r="BU46" s="235"/>
      <c r="BV46" s="229"/>
      <c r="BW46" s="229" t="s">
        <v>728</v>
      </c>
      <c r="BX46" s="229">
        <v>1</v>
      </c>
      <c r="BY46" s="235"/>
      <c r="BZ46" s="185" t="s">
        <v>953</v>
      </c>
      <c r="CA46" s="226" t="s">
        <v>426</v>
      </c>
    </row>
    <row r="47" spans="1:79" x14ac:dyDescent="0.15">
      <c r="A47" s="96">
        <v>5</v>
      </c>
      <c r="B47" s="227">
        <v>42605</v>
      </c>
      <c r="C47" s="228" t="s">
        <v>662</v>
      </c>
      <c r="D47" s="226" t="s">
        <v>663</v>
      </c>
      <c r="E47" s="226"/>
      <c r="F47" s="226" t="s">
        <v>664</v>
      </c>
      <c r="G47" s="227">
        <v>42571</v>
      </c>
      <c r="H47" s="229" t="s">
        <v>665</v>
      </c>
      <c r="I47" s="229" t="s">
        <v>666</v>
      </c>
      <c r="J47" s="229"/>
      <c r="K47" s="226" t="s">
        <v>951</v>
      </c>
      <c r="L47" s="226" t="s">
        <v>898</v>
      </c>
      <c r="M47" s="230">
        <v>99.999999999999986</v>
      </c>
      <c r="N47" s="230">
        <v>25.7</v>
      </c>
      <c r="O47" s="226" t="s">
        <v>875</v>
      </c>
      <c r="P47" s="226">
        <v>1000</v>
      </c>
      <c r="Q47" s="230">
        <v>33.999999999999993</v>
      </c>
      <c r="R47" s="231"/>
      <c r="S47" s="230"/>
      <c r="T47" s="226"/>
      <c r="U47" s="230"/>
      <c r="V47" s="232"/>
      <c r="W47" s="232"/>
      <c r="X47" s="231"/>
      <c r="Y47" s="230"/>
      <c r="Z47" s="230"/>
      <c r="AA47" s="230"/>
      <c r="AB47" s="230"/>
      <c r="AC47" s="230"/>
      <c r="AD47" s="230"/>
      <c r="AE47" s="230">
        <v>18.999999999999996</v>
      </c>
      <c r="AF47" s="231"/>
      <c r="AG47" s="226"/>
      <c r="AH47" s="230"/>
      <c r="AI47" s="226"/>
      <c r="AJ47" s="226"/>
      <c r="AK47" s="230"/>
      <c r="AL47" s="226"/>
      <c r="AM47" s="230"/>
      <c r="AN47" s="230"/>
      <c r="AO47" s="226" t="s">
        <v>764</v>
      </c>
      <c r="AP47" s="229" t="s">
        <v>666</v>
      </c>
      <c r="AQ47" s="229"/>
      <c r="AR47" s="229"/>
      <c r="AS47" s="233"/>
      <c r="AT47" s="229">
        <v>3</v>
      </c>
      <c r="AU47" s="229"/>
      <c r="AV47" s="229"/>
      <c r="AW47" s="229"/>
      <c r="AX47" s="229" t="s">
        <v>673</v>
      </c>
      <c r="AY47" s="226"/>
      <c r="AZ47" s="229">
        <v>0</v>
      </c>
      <c r="BA47" s="229">
        <v>0</v>
      </c>
      <c r="BB47" s="229">
        <v>7</v>
      </c>
      <c r="BC47" s="229">
        <v>0</v>
      </c>
      <c r="BD47" s="229">
        <v>0</v>
      </c>
      <c r="BE47" s="229">
        <v>0</v>
      </c>
      <c r="BF47" s="229">
        <v>0</v>
      </c>
      <c r="BG47" s="229">
        <v>0</v>
      </c>
      <c r="BH47" s="229">
        <v>0</v>
      </c>
      <c r="BI47" s="229">
        <v>0</v>
      </c>
      <c r="BJ47" s="229">
        <v>0</v>
      </c>
      <c r="BK47" s="229">
        <v>0</v>
      </c>
      <c r="BL47" s="229"/>
      <c r="BM47" s="229" t="s">
        <v>666</v>
      </c>
      <c r="BN47" s="229"/>
      <c r="BO47" s="229" t="s">
        <v>666</v>
      </c>
      <c r="BP47" s="234"/>
      <c r="BQ47" s="229"/>
      <c r="BR47" s="229"/>
      <c r="BS47" s="229"/>
      <c r="BT47" s="226"/>
      <c r="BU47" s="235"/>
      <c r="BV47" s="229"/>
      <c r="BW47" s="229" t="s">
        <v>728</v>
      </c>
      <c r="BX47" s="229"/>
      <c r="BY47" s="235"/>
      <c r="BZ47" s="237" t="s">
        <v>954</v>
      </c>
      <c r="CA47" s="235" t="s">
        <v>426</v>
      </c>
    </row>
    <row r="48" spans="1:79" x14ac:dyDescent="0.15">
      <c r="A48" s="96">
        <v>11187</v>
      </c>
      <c r="B48" s="155">
        <v>42566</v>
      </c>
      <c r="C48" s="181" t="s">
        <v>868</v>
      </c>
      <c r="D48" s="182" t="s">
        <v>663</v>
      </c>
      <c r="E48" s="160"/>
      <c r="F48" s="99" t="s">
        <v>923</v>
      </c>
      <c r="G48" s="97">
        <v>42551</v>
      </c>
      <c r="H48" s="100" t="s">
        <v>672</v>
      </c>
      <c r="I48" s="100" t="s">
        <v>673</v>
      </c>
      <c r="J48" s="100"/>
      <c r="K48" s="182" t="s">
        <v>899</v>
      </c>
      <c r="L48" s="182" t="s">
        <v>721</v>
      </c>
      <c r="M48" s="183">
        <v>106.52727272727273</v>
      </c>
      <c r="N48" s="183">
        <v>23.790909090909089</v>
      </c>
      <c r="O48" s="99"/>
      <c r="P48" s="101"/>
      <c r="Q48" s="183" t="s">
        <v>871</v>
      </c>
      <c r="R48" s="101"/>
      <c r="S48" s="183"/>
      <c r="T48" s="101"/>
      <c r="U48" s="183"/>
      <c r="V48" s="99"/>
      <c r="W48" s="99"/>
      <c r="X48" s="101"/>
      <c r="Y48" s="99"/>
      <c r="Z48" s="101"/>
      <c r="AA48" s="99"/>
      <c r="AB48" s="101"/>
      <c r="AC48" s="99"/>
      <c r="AD48" s="99"/>
      <c r="AE48" s="183">
        <v>17.727272727272727</v>
      </c>
      <c r="AF48" s="183" t="s">
        <v>871</v>
      </c>
      <c r="AG48" s="183" t="s">
        <v>871</v>
      </c>
      <c r="AH48" s="99" t="s">
        <v>871</v>
      </c>
      <c r="AI48" s="99" t="s">
        <v>871</v>
      </c>
      <c r="AJ48" s="99" t="s">
        <v>871</v>
      </c>
      <c r="AK48" s="99" t="s">
        <v>871</v>
      </c>
      <c r="AL48" s="99" t="s">
        <v>871</v>
      </c>
      <c r="AM48" s="99" t="s">
        <v>871</v>
      </c>
      <c r="AN48" s="99" t="s">
        <v>871</v>
      </c>
      <c r="AO48" s="99" t="s">
        <v>924</v>
      </c>
      <c r="AP48" s="100" t="s">
        <v>673</v>
      </c>
      <c r="AQ48" s="100"/>
      <c r="AR48" s="100"/>
      <c r="AS48" s="102"/>
      <c r="AT48" s="100">
        <v>4.1100000000000003</v>
      </c>
      <c r="AU48" s="100"/>
      <c r="AV48" s="100"/>
      <c r="AW48" s="100"/>
      <c r="AX48" s="100" t="s">
        <v>673</v>
      </c>
      <c r="AY48" s="99"/>
      <c r="AZ48" s="100">
        <v>0</v>
      </c>
      <c r="BA48" s="100">
        <v>0</v>
      </c>
      <c r="BB48" s="100">
        <v>0</v>
      </c>
      <c r="BC48" s="100">
        <v>0</v>
      </c>
      <c r="BD48" s="100">
        <v>0</v>
      </c>
      <c r="BE48" s="100">
        <v>0</v>
      </c>
      <c r="BF48" s="100">
        <v>0</v>
      </c>
      <c r="BG48" s="100">
        <v>0</v>
      </c>
      <c r="BH48" s="100">
        <v>0</v>
      </c>
      <c r="BI48" s="100">
        <v>0</v>
      </c>
      <c r="BJ48" s="100">
        <v>0</v>
      </c>
      <c r="BK48" s="100">
        <v>0</v>
      </c>
      <c r="BL48" s="100"/>
      <c r="BM48" s="100" t="s">
        <v>673</v>
      </c>
      <c r="BN48" s="100"/>
      <c r="BO48" s="100" t="s">
        <v>673</v>
      </c>
      <c r="BP48" s="100"/>
      <c r="BQ48" s="100"/>
      <c r="BR48" s="100"/>
      <c r="BS48" s="100"/>
      <c r="BT48" s="103"/>
      <c r="BU48" s="103"/>
      <c r="BV48" s="100"/>
      <c r="BW48" s="100" t="s">
        <v>873</v>
      </c>
      <c r="BX48" s="100">
        <v>1</v>
      </c>
      <c r="BY48" s="182"/>
      <c r="BZ48" s="185" t="s">
        <v>937</v>
      </c>
      <c r="CA48" t="s">
        <v>588</v>
      </c>
    </row>
    <row r="49" spans="1:79" x14ac:dyDescent="0.15">
      <c r="A49" s="96">
        <v>12713</v>
      </c>
      <c r="B49" s="155">
        <v>42566</v>
      </c>
      <c r="C49" s="181" t="s">
        <v>868</v>
      </c>
      <c r="D49" s="182" t="s">
        <v>663</v>
      </c>
      <c r="E49" s="160"/>
      <c r="F49" s="99" t="s">
        <v>923</v>
      </c>
      <c r="G49" s="97">
        <v>42551</v>
      </c>
      <c r="H49" s="100" t="s">
        <v>672</v>
      </c>
      <c r="I49" s="100" t="s">
        <v>673</v>
      </c>
      <c r="J49" s="100"/>
      <c r="K49" s="182" t="s">
        <v>907</v>
      </c>
      <c r="L49" s="182" t="s">
        <v>908</v>
      </c>
      <c r="M49" s="183">
        <v>99.999999999999986</v>
      </c>
      <c r="N49" s="183">
        <v>27.499999999999996</v>
      </c>
      <c r="O49" s="99"/>
      <c r="P49" s="101"/>
      <c r="Q49" s="183" t="s">
        <v>871</v>
      </c>
      <c r="R49" s="101"/>
      <c r="S49" s="183"/>
      <c r="T49" s="101"/>
      <c r="U49" s="183"/>
      <c r="V49" s="99"/>
      <c r="W49" s="99"/>
      <c r="X49" s="101"/>
      <c r="Y49" s="99"/>
      <c r="Z49" s="101"/>
      <c r="AA49" s="99"/>
      <c r="AB49" s="101"/>
      <c r="AC49" s="99"/>
      <c r="AD49" s="99"/>
      <c r="AE49" s="183">
        <v>18.872727272727271</v>
      </c>
      <c r="AF49" s="183" t="s">
        <v>871</v>
      </c>
      <c r="AG49" s="183" t="s">
        <v>871</v>
      </c>
      <c r="AH49" s="99" t="s">
        <v>871</v>
      </c>
      <c r="AI49" s="99" t="s">
        <v>871</v>
      </c>
      <c r="AJ49" s="99" t="s">
        <v>871</v>
      </c>
      <c r="AK49" s="99" t="s">
        <v>871</v>
      </c>
      <c r="AL49" s="99" t="s">
        <v>871</v>
      </c>
      <c r="AM49" s="99" t="s">
        <v>871</v>
      </c>
      <c r="AN49" s="99" t="s">
        <v>871</v>
      </c>
      <c r="AO49" s="99" t="s">
        <v>924</v>
      </c>
      <c r="AP49" s="100" t="s">
        <v>673</v>
      </c>
      <c r="AQ49" s="100"/>
      <c r="AR49" s="100"/>
      <c r="AS49" s="102"/>
      <c r="AT49" s="100">
        <v>8</v>
      </c>
      <c r="AU49" s="100"/>
      <c r="AV49" s="100"/>
      <c r="AW49" s="100"/>
      <c r="AX49" s="100" t="s">
        <v>672</v>
      </c>
      <c r="AY49" s="99" t="s">
        <v>909</v>
      </c>
      <c r="AZ49" s="100">
        <v>0</v>
      </c>
      <c r="BA49" s="100">
        <v>0</v>
      </c>
      <c r="BB49" s="100">
        <v>0</v>
      </c>
      <c r="BC49" s="100">
        <v>0</v>
      </c>
      <c r="BD49" s="100">
        <v>0</v>
      </c>
      <c r="BE49" s="100">
        <v>0</v>
      </c>
      <c r="BF49" s="100">
        <v>0</v>
      </c>
      <c r="BG49" s="100">
        <v>0</v>
      </c>
      <c r="BH49" s="100">
        <v>0</v>
      </c>
      <c r="BI49" s="100">
        <v>0</v>
      </c>
      <c r="BJ49" s="100">
        <v>0</v>
      </c>
      <c r="BK49" s="100">
        <v>0</v>
      </c>
      <c r="BL49" s="100"/>
      <c r="BM49" s="100" t="s">
        <v>673</v>
      </c>
      <c r="BN49" s="100"/>
      <c r="BO49" s="100" t="s">
        <v>673</v>
      </c>
      <c r="BP49" s="100"/>
      <c r="BQ49" s="100"/>
      <c r="BR49" s="100"/>
      <c r="BS49" s="100"/>
      <c r="BT49" s="103"/>
      <c r="BU49" s="103"/>
      <c r="BV49" s="100"/>
      <c r="BW49" s="100" t="s">
        <v>873</v>
      </c>
      <c r="BX49" s="100">
        <v>1</v>
      </c>
      <c r="BY49" s="182" t="s">
        <v>910</v>
      </c>
      <c r="BZ49" s="185" t="s">
        <v>941</v>
      </c>
      <c r="CA49" t="s">
        <v>588</v>
      </c>
    </row>
    <row r="50" spans="1:79" x14ac:dyDescent="0.15">
      <c r="A50" s="96"/>
      <c r="B50" s="155">
        <v>42606</v>
      </c>
      <c r="C50" s="181" t="s">
        <v>868</v>
      </c>
      <c r="D50" s="182" t="s">
        <v>663</v>
      </c>
      <c r="E50" s="160"/>
      <c r="F50" s="99" t="s">
        <v>923</v>
      </c>
      <c r="G50" s="155">
        <v>42587</v>
      </c>
      <c r="H50" s="100" t="s">
        <v>672</v>
      </c>
      <c r="I50" s="100" t="s">
        <v>673</v>
      </c>
      <c r="J50" s="100"/>
      <c r="K50" s="182" t="s">
        <v>918</v>
      </c>
      <c r="L50" s="182" t="s">
        <v>955</v>
      </c>
      <c r="M50" s="183">
        <v>65.45</v>
      </c>
      <c r="N50" s="183">
        <v>29.44</v>
      </c>
      <c r="O50" s="99"/>
      <c r="P50" s="101"/>
      <c r="Q50" s="183" t="s">
        <v>871</v>
      </c>
      <c r="R50" s="101"/>
      <c r="S50" s="183"/>
      <c r="T50" s="101"/>
      <c r="U50" s="183"/>
      <c r="V50" s="99"/>
      <c r="W50" s="99"/>
      <c r="X50" s="101"/>
      <c r="Y50" s="99"/>
      <c r="Z50" s="101"/>
      <c r="AA50" s="99"/>
      <c r="AB50" s="101"/>
      <c r="AC50" s="99"/>
      <c r="AD50" s="99"/>
      <c r="AE50" s="183">
        <v>15.04</v>
      </c>
      <c r="AF50" s="183" t="s">
        <v>871</v>
      </c>
      <c r="AG50" s="183" t="s">
        <v>871</v>
      </c>
      <c r="AH50" s="99" t="s">
        <v>871</v>
      </c>
      <c r="AI50" s="99" t="s">
        <v>871</v>
      </c>
      <c r="AJ50" s="99" t="s">
        <v>871</v>
      </c>
      <c r="AK50" s="99" t="s">
        <v>871</v>
      </c>
      <c r="AL50" s="99" t="s">
        <v>871</v>
      </c>
      <c r="AM50" s="99" t="s">
        <v>871</v>
      </c>
      <c r="AN50" s="99" t="s">
        <v>871</v>
      </c>
      <c r="AO50" s="99" t="s">
        <v>924</v>
      </c>
      <c r="AP50" s="100" t="s">
        <v>673</v>
      </c>
      <c r="AQ50" s="100"/>
      <c r="AR50" s="100"/>
      <c r="AS50" s="102"/>
      <c r="AT50" s="100">
        <v>7</v>
      </c>
      <c r="AU50" s="100"/>
      <c r="AV50" s="100"/>
      <c r="AW50" s="100"/>
      <c r="AX50" s="100" t="s">
        <v>673</v>
      </c>
      <c r="AY50" s="99"/>
      <c r="AZ50" s="100">
        <v>0</v>
      </c>
      <c r="BA50" s="100">
        <v>0</v>
      </c>
      <c r="BB50" s="100">
        <v>0</v>
      </c>
      <c r="BC50" s="100">
        <v>0</v>
      </c>
      <c r="BD50" s="100">
        <v>0</v>
      </c>
      <c r="BE50" s="100">
        <v>0</v>
      </c>
      <c r="BF50" s="100">
        <v>0</v>
      </c>
      <c r="BG50" s="100">
        <v>0</v>
      </c>
      <c r="BH50" s="100">
        <v>0</v>
      </c>
      <c r="BI50" s="100">
        <v>0</v>
      </c>
      <c r="BJ50" s="100">
        <v>0</v>
      </c>
      <c r="BK50" s="100">
        <v>0</v>
      </c>
      <c r="BL50" s="100"/>
      <c r="BM50" s="100" t="s">
        <v>673</v>
      </c>
      <c r="BN50" s="100"/>
      <c r="BO50" s="100" t="s">
        <v>673</v>
      </c>
      <c r="BP50" s="100"/>
      <c r="BQ50" s="100"/>
      <c r="BR50" s="100"/>
      <c r="BS50" s="100"/>
      <c r="BT50" s="103"/>
      <c r="BU50" s="103"/>
      <c r="BV50" s="100"/>
      <c r="BW50" s="100" t="s">
        <v>873</v>
      </c>
      <c r="BX50" s="100"/>
      <c r="BY50" s="103"/>
      <c r="BZ50" s="185" t="s">
        <v>957</v>
      </c>
      <c r="CA50" s="156" t="s">
        <v>426</v>
      </c>
    </row>
    <row r="54" spans="1:79" x14ac:dyDescent="0.15">
      <c r="L54" s="224"/>
    </row>
    <row r="55" spans="1:79" x14ac:dyDescent="0.15">
      <c r="K55" s="225" t="s">
        <v>948</v>
      </c>
    </row>
    <row r="61" spans="1:79" x14ac:dyDescent="0.15">
      <c r="L61" s="224"/>
    </row>
  </sheetData>
  <sheetProtection algorithmName="SHA-512" hashValue="zQ1r9GqovqoXZxTP7OoVVS8xCvm3jIjDNYch+fRb4p9bFcduA1UYj7HCfvq5ol1G2275tTtpQDM4E6Ro7e+aeA==" saltValue="87Lc/zOsCn59KEI5sOFP6g==" spinCount="100000" sheet="1" objects="1" scenarios="1"/>
  <hyperlinks>
    <hyperlink ref="BZ12" r:id="rId1" display="https://www.energymadeeasy.gov.au/offer/911807?postcode=5000" xr:uid="{6182D5FA-9AB6-734E-8386-261D47CA1252}"/>
    <hyperlink ref="BZ13" r:id="rId2" display="https://www.energymadeeasy.gov.au/offer/929734/print?postcode=5000&amp;fuelType=E&amp;distributor-E=42" xr:uid="{78B023EB-9E0A-7F49-A1B0-B2CFF1ACF985}"/>
    <hyperlink ref="BZ16" r:id="rId3" display="https://www.energymadeeasy.gov.au/offer/923056?utm_source=amaysim+Energy&amp;utm_campaign=bpi-retailer&amp;utm_medium=retailer&amp;postcode=5000" xr:uid="{0515EAD2-186A-3247-A6D4-0B6B905A7B56}"/>
    <hyperlink ref="BZ5" r:id="rId4" display="https://www.energymadeeasy.gov.au/offer/930746?postcode=5000" xr:uid="{8F3835FD-DCAE-7E44-87EE-54602C7F7CEE}"/>
    <hyperlink ref="BZ9" r:id="rId5" display="https://www.energymadeeasy.gov.au/offer/930474/print?postcode=5000&amp;fuelType=E&amp;distributor-E=42" xr:uid="{D8DE81D0-6788-0F4F-9B95-6CB12231440F}"/>
    <hyperlink ref="BZ17" r:id="rId6" display="https://s3-ap-southeast-2.amazonaws.com/psau-wordpress/wp-content/uploads/2019/06/30212117/PSH-SAPN-90701-MR.pdf" xr:uid="{1D4F3AD9-1A2A-1640-9B0C-6375B604B6EF}"/>
    <hyperlink ref="BZ4" r:id="rId7" display="https://www.energymadeeasy.gov.au/offer/936463?postcode=5000" xr:uid="{5725B12B-AC9F-6449-91C3-3519E992FB8D}"/>
    <hyperlink ref="BZ39" r:id="rId8" display="https://www.energymadeeasy.gov.au/offer/687976?postcode=5000" xr:uid="{19B50EEF-E790-E149-99F7-0BB131D38FDC}"/>
    <hyperlink ref="BZ37" r:id="rId9" display="https://www.energymadeeasy.gov.au/offer/911806?postcode=5000" xr:uid="{82BAE7BE-2CD3-BB45-A5DE-4E290D3F6250}"/>
    <hyperlink ref="BZ38" r:id="rId10" display="https://www.energymadeeasy.gov.au/offer/929733/print?postcode=5000&amp;fuelType=E&amp;distributor-E=42" xr:uid="{EB83440F-E7BF-7C4B-A8C5-3C0264B35E6E}"/>
    <hyperlink ref="BZ30" r:id="rId11" display="https://www.energymadeeasy.gov.au/offer/930745?postcode=5000" xr:uid="{9E028BF7-AE2D-0543-A2C8-C0B8C9EAFA5E}"/>
    <hyperlink ref="BZ34" r:id="rId12" display="https://www.energymadeeasy.gov.au/offer/930473/print?postcode=5000&amp;fuelType=E&amp;distributor-E=42" xr:uid="{CA09D83F-D217-CD45-894B-3EBD77916EF4}"/>
    <hyperlink ref="BZ42" r:id="rId13" display="https://s3-ap-southeast-2.amazonaws.com/psau-wordpress/wp-content/uploads/2019/06/30212117/PSH-SAPN-90701-MR.pdf" xr:uid="{8AC248C2-7AD0-D34D-BCF7-AA1FC2238992}"/>
    <hyperlink ref="BZ29" r:id="rId14" display="https://www.energymadeeasy.gov.au/offer/936472?postcode=5000" xr:uid="{6FBB3FFC-DF58-2647-A8AE-324DC2B8C0D6}"/>
    <hyperlink ref="BZ19" r:id="rId15" display="https://uploads-ssl.webflow.com/5be398fec98f64eddec9df1c/5be398fec98f64c42cc9df5f_LCL711480MR_CZae.pdf" xr:uid="{ED2756AF-EDDB-6F4A-9962-9334E8C2957C}"/>
    <hyperlink ref="BZ2" r:id="rId16" xr:uid="{8F68C4F8-3FAF-D845-A549-EFD29D083C64}"/>
    <hyperlink ref="BZ6" r:id="rId17" xr:uid="{7A71D515-EE54-F944-B362-72447216928A}"/>
    <hyperlink ref="BZ22" r:id="rId18" xr:uid="{FEEB66ED-8529-1248-BC34-14067027222A}"/>
    <hyperlink ref="BZ46" r:id="rId19" xr:uid="{568F2BA5-6ED8-DC44-8727-917514EFEFED}"/>
    <hyperlink ref="BZ27" r:id="rId20" xr:uid="{AF56E49A-35EE-2E42-B1E1-F468760CC5FA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4DF4E-DEC5-F345-8D59-22D0D24F986C}">
  <sheetPr codeName="Sheet13"/>
  <dimension ref="A1:BW35"/>
  <sheetViews>
    <sheetView workbookViewId="0">
      <selection activeCell="N2" sqref="N2:N33"/>
    </sheetView>
  </sheetViews>
  <sheetFormatPr baseColWidth="10" defaultRowHeight="13" x14ac:dyDescent="0.15"/>
  <cols>
    <col min="11" max="11" width="17" bestFit="1" customWidth="1"/>
    <col min="12" max="12" width="19" bestFit="1" customWidth="1"/>
    <col min="74" max="74" width="17.33203125" customWidth="1"/>
  </cols>
  <sheetData>
    <row r="1" spans="1:75" ht="70" x14ac:dyDescent="0.15">
      <c r="A1" s="74" t="s">
        <v>265</v>
      </c>
      <c r="B1" s="74" t="s">
        <v>266</v>
      </c>
      <c r="C1" s="75" t="s">
        <v>267</v>
      </c>
      <c r="D1" s="76" t="s">
        <v>268</v>
      </c>
      <c r="E1" s="76" t="s">
        <v>269</v>
      </c>
      <c r="F1" s="76" t="s">
        <v>145</v>
      </c>
      <c r="G1" s="74" t="s">
        <v>146</v>
      </c>
      <c r="H1" s="77" t="s">
        <v>407</v>
      </c>
      <c r="I1" s="77" t="s">
        <v>276</v>
      </c>
      <c r="J1" s="77" t="s">
        <v>277</v>
      </c>
      <c r="K1" s="76" t="s">
        <v>278</v>
      </c>
      <c r="L1" s="78" t="s">
        <v>279</v>
      </c>
      <c r="M1" s="79" t="s">
        <v>280</v>
      </c>
      <c r="N1" s="80" t="s">
        <v>281</v>
      </c>
      <c r="O1" s="80" t="s">
        <v>282</v>
      </c>
      <c r="P1" s="80" t="s">
        <v>283</v>
      </c>
      <c r="Q1" s="80" t="s">
        <v>409</v>
      </c>
      <c r="R1" s="80" t="s">
        <v>410</v>
      </c>
      <c r="S1" s="80" t="s">
        <v>411</v>
      </c>
      <c r="T1" s="80" t="s">
        <v>412</v>
      </c>
      <c r="U1" s="80" t="s">
        <v>191</v>
      </c>
      <c r="V1" s="81" t="s">
        <v>99</v>
      </c>
      <c r="W1" s="82" t="s">
        <v>115</v>
      </c>
      <c r="X1" s="82" t="s">
        <v>210</v>
      </c>
      <c r="Y1" s="82" t="s">
        <v>213</v>
      </c>
      <c r="Z1" s="82" t="s">
        <v>214</v>
      </c>
      <c r="AA1" s="82" t="s">
        <v>215</v>
      </c>
      <c r="AB1" s="82" t="s">
        <v>216</v>
      </c>
      <c r="AC1" s="82" t="s">
        <v>217</v>
      </c>
      <c r="AD1" s="82" t="s">
        <v>218</v>
      </c>
      <c r="AE1" s="83" t="s">
        <v>219</v>
      </c>
      <c r="AF1" s="84" t="s">
        <v>112</v>
      </c>
      <c r="AG1" s="84" t="s">
        <v>113</v>
      </c>
      <c r="AH1" s="85" t="s">
        <v>114</v>
      </c>
      <c r="AI1" s="85" t="s">
        <v>316</v>
      </c>
      <c r="AJ1" s="85" t="s">
        <v>271</v>
      </c>
      <c r="AK1" s="85" t="s">
        <v>272</v>
      </c>
      <c r="AL1" s="85"/>
      <c r="AM1" s="85"/>
      <c r="AN1" s="85"/>
      <c r="AO1" s="86" t="s">
        <v>273</v>
      </c>
      <c r="AP1" s="87" t="s">
        <v>274</v>
      </c>
      <c r="AQ1" s="87" t="s">
        <v>275</v>
      </c>
      <c r="AR1" s="88" t="s">
        <v>170</v>
      </c>
      <c r="AS1" s="89" t="s">
        <v>616</v>
      </c>
      <c r="AT1" s="90" t="s">
        <v>150</v>
      </c>
      <c r="AU1" s="91" t="s">
        <v>151</v>
      </c>
      <c r="AV1" s="92" t="s">
        <v>152</v>
      </c>
      <c r="AW1" s="93" t="s">
        <v>176</v>
      </c>
      <c r="AX1" s="94" t="s">
        <v>177</v>
      </c>
      <c r="AY1" s="93" t="s">
        <v>297</v>
      </c>
      <c r="AZ1" s="94" t="s">
        <v>298</v>
      </c>
      <c r="BA1" s="93" t="s">
        <v>299</v>
      </c>
      <c r="BB1" s="94" t="s">
        <v>300</v>
      </c>
      <c r="BC1" s="93" t="s">
        <v>301</v>
      </c>
      <c r="BD1" s="95" t="s">
        <v>302</v>
      </c>
      <c r="BE1" s="158" t="s">
        <v>617</v>
      </c>
      <c r="BF1" s="159" t="s">
        <v>618</v>
      </c>
      <c r="BG1" s="93" t="s">
        <v>382</v>
      </c>
      <c r="BH1" s="95" t="s">
        <v>305</v>
      </c>
      <c r="BI1" s="77" t="s">
        <v>402</v>
      </c>
      <c r="BJ1" s="77" t="s">
        <v>403</v>
      </c>
      <c r="BK1" s="77" t="s">
        <v>404</v>
      </c>
      <c r="BL1" s="77" t="s">
        <v>405</v>
      </c>
      <c r="BM1" s="77" t="s">
        <v>619</v>
      </c>
      <c r="BN1" s="77" t="s">
        <v>620</v>
      </c>
      <c r="BO1" s="77" t="s">
        <v>621</v>
      </c>
      <c r="BP1" s="77" t="s">
        <v>622</v>
      </c>
      <c r="BQ1" s="75" t="s">
        <v>56</v>
      </c>
      <c r="BR1" s="75" t="s">
        <v>159</v>
      </c>
      <c r="BS1" s="77" t="s">
        <v>160</v>
      </c>
      <c r="BT1" s="77" t="s">
        <v>346</v>
      </c>
      <c r="BU1" s="75" t="s">
        <v>347</v>
      </c>
      <c r="BV1" s="77" t="s">
        <v>348</v>
      </c>
      <c r="BW1" s="74" t="s">
        <v>460</v>
      </c>
    </row>
    <row r="2" spans="1:75" x14ac:dyDescent="0.15">
      <c r="A2" s="96">
        <v>10433</v>
      </c>
      <c r="B2" s="167">
        <v>42185</v>
      </c>
      <c r="C2" s="181" t="s">
        <v>662</v>
      </c>
      <c r="D2" s="182" t="s">
        <v>663</v>
      </c>
      <c r="E2" s="160"/>
      <c r="F2" s="99" t="s">
        <v>716</v>
      </c>
      <c r="G2" s="167">
        <v>42185</v>
      </c>
      <c r="H2" s="100" t="s">
        <v>665</v>
      </c>
      <c r="I2" s="100" t="s">
        <v>666</v>
      </c>
      <c r="J2" s="100"/>
      <c r="K2" s="99" t="s">
        <v>667</v>
      </c>
      <c r="L2" s="99" t="s">
        <v>668</v>
      </c>
      <c r="M2" s="183">
        <v>80.999999999999986</v>
      </c>
      <c r="N2" s="183">
        <v>36.709090909090911</v>
      </c>
      <c r="O2" s="99"/>
      <c r="P2" s="101"/>
      <c r="Q2" s="183" t="s">
        <v>725</v>
      </c>
      <c r="R2" s="101"/>
      <c r="S2" s="183" t="s">
        <v>725</v>
      </c>
      <c r="T2" s="101"/>
      <c r="U2" s="183" t="s">
        <v>725</v>
      </c>
      <c r="V2" s="99"/>
      <c r="W2" s="99"/>
      <c r="X2" s="99"/>
      <c r="Y2" s="99"/>
      <c r="Z2" s="101"/>
      <c r="AA2" s="99"/>
      <c r="AB2" s="101"/>
      <c r="AC2" s="99"/>
      <c r="AD2" s="99"/>
      <c r="AE2" s="99"/>
      <c r="AF2" s="101"/>
      <c r="AG2" s="99"/>
      <c r="AH2" s="99"/>
      <c r="AI2" s="99"/>
      <c r="AJ2" s="99"/>
      <c r="AK2" s="99"/>
      <c r="AL2" s="99"/>
      <c r="AM2" s="99"/>
      <c r="AN2" s="99"/>
      <c r="AO2" s="99" t="s">
        <v>726</v>
      </c>
      <c r="AP2" s="100" t="s">
        <v>666</v>
      </c>
      <c r="AQ2" s="100"/>
      <c r="AR2" s="100"/>
      <c r="AS2" s="102"/>
      <c r="AT2" s="100">
        <v>16.3</v>
      </c>
      <c r="AU2" s="100" t="s">
        <v>727</v>
      </c>
      <c r="AV2" s="99"/>
      <c r="AW2" s="100">
        <v>8</v>
      </c>
      <c r="AX2" s="100">
        <v>0</v>
      </c>
      <c r="AY2" s="100">
        <v>0</v>
      </c>
      <c r="AZ2" s="100">
        <v>0</v>
      </c>
      <c r="BA2" s="100">
        <v>0</v>
      </c>
      <c r="BB2" s="100">
        <v>0</v>
      </c>
      <c r="BC2" s="100">
        <v>0</v>
      </c>
      <c r="BD2" s="100">
        <v>0</v>
      </c>
      <c r="BE2" s="100">
        <v>0</v>
      </c>
      <c r="BF2" s="100">
        <v>0</v>
      </c>
      <c r="BG2" s="100">
        <v>0</v>
      </c>
      <c r="BH2" s="100">
        <v>0</v>
      </c>
      <c r="BI2" s="100"/>
      <c r="BJ2" s="100" t="s">
        <v>666</v>
      </c>
      <c r="BK2" s="100">
        <v>12</v>
      </c>
      <c r="BL2" s="100" t="s">
        <v>666</v>
      </c>
      <c r="BM2" s="100"/>
      <c r="BN2" s="100"/>
      <c r="BO2" s="100"/>
      <c r="BP2" s="100"/>
      <c r="BQ2" s="99"/>
      <c r="BR2" s="103"/>
      <c r="BS2" s="100"/>
      <c r="BT2" s="100" t="s">
        <v>728</v>
      </c>
      <c r="BU2" s="103"/>
      <c r="BV2" s="156" t="s">
        <v>570</v>
      </c>
      <c r="BW2" s="157" t="s">
        <v>729</v>
      </c>
    </row>
    <row r="3" spans="1:75" x14ac:dyDescent="0.15">
      <c r="A3" s="96">
        <v>10486</v>
      </c>
      <c r="B3" s="167">
        <v>42186</v>
      </c>
      <c r="C3" s="181" t="s">
        <v>662</v>
      </c>
      <c r="D3" s="182" t="s">
        <v>663</v>
      </c>
      <c r="E3" s="160"/>
      <c r="F3" s="99" t="s">
        <v>716</v>
      </c>
      <c r="G3" s="164">
        <v>42185</v>
      </c>
      <c r="H3" s="100" t="s">
        <v>665</v>
      </c>
      <c r="I3" s="100" t="s">
        <v>666</v>
      </c>
      <c r="J3" s="100"/>
      <c r="K3" s="99" t="s">
        <v>669</v>
      </c>
      <c r="L3" s="182" t="s">
        <v>670</v>
      </c>
      <c r="M3" s="183">
        <v>83</v>
      </c>
      <c r="N3" s="183">
        <v>30.154545454545453</v>
      </c>
      <c r="O3" s="99" t="s">
        <v>671</v>
      </c>
      <c r="P3" s="101">
        <v>300</v>
      </c>
      <c r="Q3" s="183">
        <v>33.590909090909093</v>
      </c>
      <c r="R3" s="101">
        <v>300</v>
      </c>
      <c r="S3" s="183">
        <v>33.590909090909093</v>
      </c>
      <c r="T3" s="101">
        <v>300</v>
      </c>
      <c r="U3" s="183">
        <v>33.590909090909093</v>
      </c>
      <c r="V3" s="99"/>
      <c r="W3" s="99"/>
      <c r="X3" s="99"/>
      <c r="Y3" s="99"/>
      <c r="Z3" s="99"/>
      <c r="AA3" s="99"/>
      <c r="AB3" s="99"/>
      <c r="AC3" s="99"/>
      <c r="AD3" s="99"/>
      <c r="AE3" s="99"/>
      <c r="AF3" s="101"/>
      <c r="AG3" s="99"/>
      <c r="AH3" s="99"/>
      <c r="AI3" s="99"/>
      <c r="AJ3" s="99"/>
      <c r="AK3" s="99"/>
      <c r="AL3" s="99"/>
      <c r="AM3" s="99"/>
      <c r="AN3" s="99"/>
      <c r="AO3" s="99" t="s">
        <v>726</v>
      </c>
      <c r="AP3" s="100" t="s">
        <v>666</v>
      </c>
      <c r="AQ3" s="100"/>
      <c r="AR3" s="100"/>
      <c r="AS3" s="102"/>
      <c r="AT3" s="100">
        <v>9.5</v>
      </c>
      <c r="AU3" s="100" t="s">
        <v>666</v>
      </c>
      <c r="AV3" s="99"/>
      <c r="AW3" s="100">
        <v>0</v>
      </c>
      <c r="AX3" s="100">
        <v>0</v>
      </c>
      <c r="AY3" s="100">
        <v>0</v>
      </c>
      <c r="AZ3" s="100">
        <v>0</v>
      </c>
      <c r="BA3" s="100">
        <v>0</v>
      </c>
      <c r="BB3" s="100">
        <v>0</v>
      </c>
      <c r="BC3" s="100">
        <v>0</v>
      </c>
      <c r="BD3" s="100">
        <v>0</v>
      </c>
      <c r="BE3" s="100">
        <v>0</v>
      </c>
      <c r="BF3" s="100">
        <v>0</v>
      </c>
      <c r="BG3" s="100">
        <v>0</v>
      </c>
      <c r="BH3" s="100">
        <v>0</v>
      </c>
      <c r="BI3" s="100"/>
      <c r="BJ3" s="100" t="s">
        <v>666</v>
      </c>
      <c r="BK3" s="100"/>
      <c r="BL3" s="100" t="s">
        <v>666</v>
      </c>
      <c r="BM3" s="100"/>
      <c r="BN3" s="100"/>
      <c r="BO3" s="100"/>
      <c r="BP3" s="100"/>
      <c r="BQ3" s="99"/>
      <c r="BR3" s="99"/>
      <c r="BS3" s="100"/>
      <c r="BT3" s="100" t="s">
        <v>728</v>
      </c>
      <c r="BU3" s="182" t="s">
        <v>644</v>
      </c>
      <c r="BV3" s="156" t="s">
        <v>570</v>
      </c>
      <c r="BW3" s="156" t="s">
        <v>729</v>
      </c>
    </row>
    <row r="4" spans="1:75" ht="16" x14ac:dyDescent="0.2">
      <c r="A4" s="96">
        <v>10661</v>
      </c>
      <c r="B4" s="167">
        <v>42186</v>
      </c>
      <c r="C4" s="181" t="s">
        <v>662</v>
      </c>
      <c r="D4" s="182" t="s">
        <v>663</v>
      </c>
      <c r="E4" s="160"/>
      <c r="F4" s="99" t="s">
        <v>716</v>
      </c>
      <c r="G4" s="165">
        <v>42185</v>
      </c>
      <c r="H4" s="100" t="s">
        <v>672</v>
      </c>
      <c r="I4" s="100" t="s">
        <v>673</v>
      </c>
      <c r="J4" s="100"/>
      <c r="K4" s="99" t="s">
        <v>674</v>
      </c>
      <c r="L4" s="182" t="s">
        <v>675</v>
      </c>
      <c r="M4" s="183">
        <v>89.690909090909074</v>
      </c>
      <c r="N4" s="183">
        <v>35.472727272727276</v>
      </c>
      <c r="O4" s="99"/>
      <c r="P4" s="99"/>
      <c r="Q4" s="99"/>
      <c r="R4" s="187"/>
      <c r="S4" s="187"/>
      <c r="T4" s="187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101"/>
      <c r="AG4" s="99"/>
      <c r="AH4" s="99"/>
      <c r="AI4" s="99"/>
      <c r="AJ4" s="99"/>
      <c r="AK4" s="99"/>
      <c r="AL4" s="99"/>
      <c r="AM4" s="99"/>
      <c r="AN4" s="99"/>
      <c r="AO4" s="99" t="s">
        <v>726</v>
      </c>
      <c r="AP4" s="100" t="s">
        <v>666</v>
      </c>
      <c r="AQ4" s="100"/>
      <c r="AR4" s="100"/>
      <c r="AS4" s="102"/>
      <c r="AT4" s="100">
        <v>14</v>
      </c>
      <c r="AU4" s="100" t="s">
        <v>673</v>
      </c>
      <c r="AV4" s="99"/>
      <c r="AW4" s="100">
        <v>0</v>
      </c>
      <c r="AX4" s="100">
        <v>0</v>
      </c>
      <c r="AY4" s="100">
        <v>0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>
        <v>0</v>
      </c>
      <c r="BH4" s="100">
        <v>0</v>
      </c>
      <c r="BI4" s="100"/>
      <c r="BJ4" s="100" t="s">
        <v>666</v>
      </c>
      <c r="BK4" s="100"/>
      <c r="BL4" s="100" t="s">
        <v>666</v>
      </c>
      <c r="BM4" s="100"/>
      <c r="BN4" s="100"/>
      <c r="BO4" s="100"/>
      <c r="BP4" s="100"/>
      <c r="BQ4" s="184" t="s">
        <v>730</v>
      </c>
      <c r="BR4" s="184" t="s">
        <v>731</v>
      </c>
      <c r="BS4" s="100">
        <v>50</v>
      </c>
      <c r="BT4" s="100" t="s">
        <v>728</v>
      </c>
      <c r="BU4" s="99" t="s">
        <v>644</v>
      </c>
      <c r="BV4" s="185" t="s">
        <v>732</v>
      </c>
      <c r="BW4" t="s">
        <v>729</v>
      </c>
    </row>
    <row r="5" spans="1:75" x14ac:dyDescent="0.15">
      <c r="A5" s="96">
        <v>958</v>
      </c>
      <c r="B5" s="167">
        <v>42186</v>
      </c>
      <c r="C5" s="181" t="s">
        <v>662</v>
      </c>
      <c r="D5" s="182" t="s">
        <v>663</v>
      </c>
      <c r="E5" s="160"/>
      <c r="F5" s="99" t="s">
        <v>716</v>
      </c>
      <c r="G5" s="165">
        <v>42185</v>
      </c>
      <c r="H5" s="100" t="s">
        <v>665</v>
      </c>
      <c r="I5" s="100" t="s">
        <v>666</v>
      </c>
      <c r="J5" s="100"/>
      <c r="K5" s="99" t="s">
        <v>676</v>
      </c>
      <c r="L5" s="99" t="s">
        <v>677</v>
      </c>
      <c r="M5" s="183">
        <v>88.8</v>
      </c>
      <c r="N5" s="183">
        <v>32.409090909090907</v>
      </c>
      <c r="O5" s="99" t="s">
        <v>671</v>
      </c>
      <c r="P5" s="101">
        <v>1000</v>
      </c>
      <c r="Q5" s="183">
        <v>33.25454545454545</v>
      </c>
      <c r="R5" s="188">
        <v>1000</v>
      </c>
      <c r="S5" s="189">
        <v>33.25454545454545</v>
      </c>
      <c r="T5" s="188">
        <v>1000</v>
      </c>
      <c r="U5" s="183">
        <v>33.25454545454545</v>
      </c>
      <c r="V5" s="99"/>
      <c r="W5" s="99"/>
      <c r="X5" s="99"/>
      <c r="Y5" s="99"/>
      <c r="Z5" s="99"/>
      <c r="AA5" s="99"/>
      <c r="AB5" s="99"/>
      <c r="AC5" s="99"/>
      <c r="AD5" s="99"/>
      <c r="AE5" s="99"/>
      <c r="AF5" s="101"/>
      <c r="AG5" s="99"/>
      <c r="AH5" s="99"/>
      <c r="AI5" s="99"/>
      <c r="AJ5" s="99"/>
      <c r="AK5" s="99"/>
      <c r="AL5" s="99"/>
      <c r="AM5" s="99"/>
      <c r="AN5" s="99"/>
      <c r="AO5" s="99" t="s">
        <v>726</v>
      </c>
      <c r="AP5" s="100" t="s">
        <v>666</v>
      </c>
      <c r="AQ5" s="100"/>
      <c r="AR5" s="100"/>
      <c r="AS5" s="102"/>
      <c r="AT5" s="100">
        <v>11.6</v>
      </c>
      <c r="AU5" s="100" t="s">
        <v>666</v>
      </c>
      <c r="AV5" s="99"/>
      <c r="AW5" s="100">
        <v>0</v>
      </c>
      <c r="AX5" s="100">
        <v>0</v>
      </c>
      <c r="AY5" s="100">
        <v>0</v>
      </c>
      <c r="AZ5" s="100">
        <v>0</v>
      </c>
      <c r="BA5" s="100">
        <v>0</v>
      </c>
      <c r="BB5" s="100">
        <v>0</v>
      </c>
      <c r="BC5" s="100">
        <v>0</v>
      </c>
      <c r="BD5" s="100">
        <v>0</v>
      </c>
      <c r="BE5" s="100">
        <v>0</v>
      </c>
      <c r="BF5" s="100">
        <v>0</v>
      </c>
      <c r="BG5" s="100">
        <v>0</v>
      </c>
      <c r="BH5" s="100">
        <v>0</v>
      </c>
      <c r="BI5" s="100"/>
      <c r="BJ5" s="100" t="s">
        <v>666</v>
      </c>
      <c r="BK5" s="100"/>
      <c r="BL5" s="100" t="s">
        <v>666</v>
      </c>
      <c r="BM5" s="100"/>
      <c r="BN5" s="100"/>
      <c r="BO5" s="100"/>
      <c r="BP5" s="100"/>
      <c r="BQ5" s="103" t="s">
        <v>733</v>
      </c>
      <c r="BR5" s="99"/>
      <c r="BS5" s="100"/>
      <c r="BT5" s="100" t="s">
        <v>728</v>
      </c>
      <c r="BU5" s="99"/>
      <c r="BV5" s="185" t="s">
        <v>734</v>
      </c>
      <c r="BW5" s="70" t="s">
        <v>426</v>
      </c>
    </row>
    <row r="6" spans="1:75" x14ac:dyDescent="0.15">
      <c r="A6" s="96">
        <v>960</v>
      </c>
      <c r="B6" s="167">
        <v>42185</v>
      </c>
      <c r="C6" s="181" t="s">
        <v>651</v>
      </c>
      <c r="D6" s="182" t="s">
        <v>663</v>
      </c>
      <c r="E6" s="160"/>
      <c r="F6" s="99" t="s">
        <v>653</v>
      </c>
      <c r="G6" s="164">
        <v>41820</v>
      </c>
      <c r="H6" s="100" t="s">
        <v>654</v>
      </c>
      <c r="I6" s="100" t="s">
        <v>655</v>
      </c>
      <c r="J6" s="100"/>
      <c r="K6" s="99" t="s">
        <v>678</v>
      </c>
      <c r="L6" s="99" t="s">
        <v>679</v>
      </c>
      <c r="M6" s="183">
        <v>86.95</v>
      </c>
      <c r="N6" s="183">
        <v>33.26</v>
      </c>
      <c r="O6" s="99" t="s">
        <v>657</v>
      </c>
      <c r="P6" s="101">
        <v>300</v>
      </c>
      <c r="Q6" s="183">
        <v>35.89</v>
      </c>
      <c r="R6" s="191">
        <v>1000</v>
      </c>
      <c r="S6" s="189">
        <v>38.950000000000003</v>
      </c>
      <c r="T6" s="191">
        <v>2500</v>
      </c>
      <c r="U6" s="99">
        <v>39.869999999999997</v>
      </c>
      <c r="V6" s="99"/>
      <c r="W6" s="99"/>
      <c r="X6" s="99"/>
      <c r="Y6" s="99"/>
      <c r="Z6" s="99"/>
      <c r="AA6" s="99"/>
      <c r="AB6" s="99"/>
      <c r="AC6" s="99"/>
      <c r="AD6" s="99"/>
      <c r="AE6" s="99"/>
      <c r="AF6" s="101"/>
      <c r="AG6" s="99"/>
      <c r="AH6" s="99"/>
      <c r="AI6" s="99"/>
      <c r="AJ6" s="99"/>
      <c r="AK6" s="99"/>
      <c r="AL6" s="99"/>
      <c r="AM6" s="99"/>
      <c r="AN6" s="99"/>
      <c r="AO6" s="99" t="s">
        <v>658</v>
      </c>
      <c r="AP6" s="100" t="s">
        <v>655</v>
      </c>
      <c r="AQ6" s="100"/>
      <c r="AR6" s="100"/>
      <c r="AS6" s="102">
        <v>10</v>
      </c>
      <c r="AT6" s="100">
        <v>12</v>
      </c>
      <c r="AU6" s="100" t="s">
        <v>655</v>
      </c>
      <c r="AV6" s="99"/>
      <c r="AW6" s="100">
        <v>0</v>
      </c>
      <c r="AX6" s="100">
        <v>0</v>
      </c>
      <c r="AY6" s="100">
        <v>7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0</v>
      </c>
      <c r="BF6" s="100">
        <v>0</v>
      </c>
      <c r="BG6" s="100">
        <v>0</v>
      </c>
      <c r="BH6" s="100">
        <v>0</v>
      </c>
      <c r="BI6" s="100"/>
      <c r="BJ6" s="100" t="s">
        <v>655</v>
      </c>
      <c r="BK6" s="100"/>
      <c r="BL6" s="100" t="s">
        <v>655</v>
      </c>
      <c r="BM6" s="100"/>
      <c r="BN6" s="100"/>
      <c r="BO6" s="100"/>
      <c r="BP6" s="100"/>
      <c r="BQ6" s="99"/>
      <c r="BR6" s="99"/>
      <c r="BS6" s="100"/>
      <c r="BT6" s="100" t="s">
        <v>735</v>
      </c>
      <c r="BU6" s="99"/>
      <c r="BV6" t="s">
        <v>570</v>
      </c>
      <c r="BW6" s="70" t="s">
        <v>588</v>
      </c>
    </row>
    <row r="7" spans="1:75" x14ac:dyDescent="0.15">
      <c r="A7" s="96">
        <v>962</v>
      </c>
      <c r="B7" s="167">
        <v>42185</v>
      </c>
      <c r="C7" s="181" t="s">
        <v>680</v>
      </c>
      <c r="D7" s="182" t="s">
        <v>663</v>
      </c>
      <c r="E7" s="160"/>
      <c r="F7" s="99" t="s">
        <v>717</v>
      </c>
      <c r="G7" s="165">
        <v>42185</v>
      </c>
      <c r="H7" s="100" t="s">
        <v>682</v>
      </c>
      <c r="I7" s="100" t="s">
        <v>683</v>
      </c>
      <c r="J7" s="100"/>
      <c r="K7" s="99" t="s">
        <v>684</v>
      </c>
      <c r="L7" s="99" t="s">
        <v>685</v>
      </c>
      <c r="M7" s="183">
        <v>88.8</v>
      </c>
      <c r="N7" s="183">
        <v>32.409090909090907</v>
      </c>
      <c r="O7" s="99" t="s">
        <v>686</v>
      </c>
      <c r="P7" s="101">
        <v>1000</v>
      </c>
      <c r="Q7" s="183">
        <v>33.25454545454545</v>
      </c>
      <c r="R7" s="188">
        <v>1000</v>
      </c>
      <c r="S7" s="189">
        <v>33.25454545454545</v>
      </c>
      <c r="T7" s="188">
        <v>1000</v>
      </c>
      <c r="U7" s="183">
        <v>33.25454545454545</v>
      </c>
      <c r="V7" s="99"/>
      <c r="W7" s="99"/>
      <c r="X7" s="99"/>
      <c r="Y7" s="99"/>
      <c r="Z7" s="99"/>
      <c r="AA7" s="99"/>
      <c r="AB7" s="99"/>
      <c r="AC7" s="99"/>
      <c r="AD7" s="99"/>
      <c r="AE7" s="99"/>
      <c r="AF7" s="101"/>
      <c r="AG7" s="99"/>
      <c r="AH7" s="99"/>
      <c r="AI7" s="99"/>
      <c r="AJ7" s="99"/>
      <c r="AK7" s="99"/>
      <c r="AL7" s="99"/>
      <c r="AM7" s="99"/>
      <c r="AN7" s="99"/>
      <c r="AO7" s="99" t="s">
        <v>736</v>
      </c>
      <c r="AP7" s="100" t="s">
        <v>683</v>
      </c>
      <c r="AQ7" s="100"/>
      <c r="AR7" s="100"/>
      <c r="AS7" s="102"/>
      <c r="AT7" s="100">
        <v>11.6</v>
      </c>
      <c r="AU7" s="100" t="s">
        <v>737</v>
      </c>
      <c r="AV7" s="99"/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0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0</v>
      </c>
      <c r="BI7" s="100"/>
      <c r="BJ7" s="100" t="s">
        <v>683</v>
      </c>
      <c r="BK7" s="100"/>
      <c r="BL7" s="100" t="s">
        <v>683</v>
      </c>
      <c r="BM7" s="100"/>
      <c r="BN7" s="100"/>
      <c r="BO7" s="100"/>
      <c r="BP7" s="100"/>
      <c r="BQ7" s="99"/>
      <c r="BR7" s="99"/>
      <c r="BS7" s="100"/>
      <c r="BT7" s="100" t="s">
        <v>738</v>
      </c>
      <c r="BU7" s="99"/>
      <c r="BV7" s="156" t="s">
        <v>739</v>
      </c>
      <c r="BW7" s="70" t="s">
        <v>426</v>
      </c>
    </row>
    <row r="8" spans="1:75" x14ac:dyDescent="0.15">
      <c r="A8" s="96">
        <v>10289</v>
      </c>
      <c r="B8" s="167">
        <v>42186</v>
      </c>
      <c r="C8" s="181" t="s">
        <v>651</v>
      </c>
      <c r="D8" s="182" t="s">
        <v>663</v>
      </c>
      <c r="E8" s="160"/>
      <c r="F8" s="99" t="s">
        <v>653</v>
      </c>
      <c r="G8" s="165">
        <v>42185</v>
      </c>
      <c r="H8" s="100" t="s">
        <v>654</v>
      </c>
      <c r="I8" s="100" t="s">
        <v>655</v>
      </c>
      <c r="J8" s="100"/>
      <c r="K8" s="99" t="s">
        <v>687</v>
      </c>
      <c r="L8" s="99" t="s">
        <v>777</v>
      </c>
      <c r="M8" s="183">
        <v>77.999999999999986</v>
      </c>
      <c r="N8" s="183">
        <v>37</v>
      </c>
      <c r="O8" s="99"/>
      <c r="P8" s="101"/>
      <c r="Q8" s="183" t="s">
        <v>725</v>
      </c>
      <c r="R8" s="189" t="s">
        <v>725</v>
      </c>
      <c r="S8" s="189" t="s">
        <v>725</v>
      </c>
      <c r="T8" s="189" t="s">
        <v>725</v>
      </c>
      <c r="U8" s="183" t="s">
        <v>725</v>
      </c>
      <c r="V8" s="99"/>
      <c r="W8" s="99"/>
      <c r="X8" s="101"/>
      <c r="Y8" s="99"/>
      <c r="Z8" s="101"/>
      <c r="AA8" s="99"/>
      <c r="AB8" s="101"/>
      <c r="AC8" s="99"/>
      <c r="AD8" s="99"/>
      <c r="AE8" s="99"/>
      <c r="AF8" s="101"/>
      <c r="AG8" s="99"/>
      <c r="AH8" s="99"/>
      <c r="AI8" s="99"/>
      <c r="AJ8" s="99"/>
      <c r="AK8" s="99"/>
      <c r="AL8" s="99"/>
      <c r="AM8" s="99"/>
      <c r="AN8" s="99"/>
      <c r="AO8" s="99" t="s">
        <v>658</v>
      </c>
      <c r="AP8" s="100" t="s">
        <v>655</v>
      </c>
      <c r="AQ8" s="100"/>
      <c r="AR8" s="100"/>
      <c r="AS8" s="102"/>
      <c r="AT8" s="100">
        <v>15</v>
      </c>
      <c r="AU8" s="100" t="s">
        <v>740</v>
      </c>
      <c r="AV8" s="99"/>
      <c r="AW8" s="100">
        <v>6</v>
      </c>
      <c r="AX8" s="100">
        <v>0</v>
      </c>
      <c r="AY8" s="100">
        <v>0</v>
      </c>
      <c r="AZ8" s="100">
        <v>0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>
        <v>0</v>
      </c>
      <c r="BH8" s="100">
        <v>0</v>
      </c>
      <c r="BI8" s="100"/>
      <c r="BJ8" s="100" t="s">
        <v>655</v>
      </c>
      <c r="BK8" s="100">
        <v>12</v>
      </c>
      <c r="BL8" s="100" t="s">
        <v>655</v>
      </c>
      <c r="BM8" s="100"/>
      <c r="BN8" s="100"/>
      <c r="BO8" s="100">
        <v>12</v>
      </c>
      <c r="BP8" s="100"/>
      <c r="BQ8" s="99"/>
      <c r="BR8" s="99"/>
      <c r="BS8" s="100"/>
      <c r="BT8" s="100" t="s">
        <v>735</v>
      </c>
      <c r="BU8" s="99"/>
      <c r="BV8" t="s">
        <v>741</v>
      </c>
      <c r="BW8" s="70" t="s">
        <v>729</v>
      </c>
    </row>
    <row r="9" spans="1:75" x14ac:dyDescent="0.15">
      <c r="A9" s="96">
        <v>8201</v>
      </c>
      <c r="B9" s="167">
        <v>42186</v>
      </c>
      <c r="C9" s="181" t="s">
        <v>689</v>
      </c>
      <c r="D9" s="182" t="s">
        <v>663</v>
      </c>
      <c r="E9" s="160"/>
      <c r="F9" s="99" t="s">
        <v>718</v>
      </c>
      <c r="G9" s="164">
        <v>42185</v>
      </c>
      <c r="H9" s="100" t="s">
        <v>691</v>
      </c>
      <c r="I9" s="100" t="s">
        <v>692</v>
      </c>
      <c r="J9" s="100"/>
      <c r="K9" s="99" t="s">
        <v>693</v>
      </c>
      <c r="L9" s="182" t="s">
        <v>694</v>
      </c>
      <c r="M9" s="183">
        <v>92</v>
      </c>
      <c r="N9" s="183">
        <v>32.172727272727272</v>
      </c>
      <c r="O9" s="99"/>
      <c r="P9" s="101"/>
      <c r="Q9" s="183" t="s">
        <v>725</v>
      </c>
      <c r="R9" s="189" t="s">
        <v>725</v>
      </c>
      <c r="S9" s="189" t="s">
        <v>725</v>
      </c>
      <c r="T9" s="189" t="s">
        <v>725</v>
      </c>
      <c r="U9" s="183" t="s">
        <v>725</v>
      </c>
      <c r="V9" s="99"/>
      <c r="W9" s="99"/>
      <c r="X9" s="99"/>
      <c r="Y9" s="99"/>
      <c r="Z9" s="99"/>
      <c r="AA9" s="99"/>
      <c r="AB9" s="99"/>
      <c r="AC9" s="99"/>
      <c r="AD9" s="99"/>
      <c r="AE9" s="99"/>
      <c r="AF9" s="101"/>
      <c r="AG9" s="99"/>
      <c r="AH9" s="99"/>
      <c r="AI9" s="99"/>
      <c r="AJ9" s="99"/>
      <c r="AK9" s="99"/>
      <c r="AL9" s="99"/>
      <c r="AM9" s="99"/>
      <c r="AN9" s="99"/>
      <c r="AO9" s="99" t="s">
        <v>742</v>
      </c>
      <c r="AP9" s="100" t="s">
        <v>692</v>
      </c>
      <c r="AQ9" s="100"/>
      <c r="AR9" s="100"/>
      <c r="AS9" s="102"/>
      <c r="AT9" s="100">
        <v>16</v>
      </c>
      <c r="AU9" s="161" t="s">
        <v>638</v>
      </c>
      <c r="AV9" s="99"/>
      <c r="AW9" s="100">
        <v>0</v>
      </c>
      <c r="AX9" s="100">
        <v>0</v>
      </c>
      <c r="AY9" s="100">
        <v>0</v>
      </c>
      <c r="AZ9" s="100">
        <v>0</v>
      </c>
      <c r="BA9" s="100">
        <v>0</v>
      </c>
      <c r="BB9" s="100">
        <v>0</v>
      </c>
      <c r="BC9" s="100">
        <v>0</v>
      </c>
      <c r="BD9" s="100">
        <v>0</v>
      </c>
      <c r="BE9" s="100">
        <v>0</v>
      </c>
      <c r="BF9" s="100">
        <v>0</v>
      </c>
      <c r="BG9" s="100">
        <v>0</v>
      </c>
      <c r="BH9" s="100">
        <v>0</v>
      </c>
      <c r="BI9" s="100"/>
      <c r="BJ9" s="100" t="s">
        <v>692</v>
      </c>
      <c r="BK9" s="100"/>
      <c r="BL9" s="100" t="s">
        <v>692</v>
      </c>
      <c r="BM9" s="100"/>
      <c r="BN9" s="100"/>
      <c r="BO9" s="100"/>
      <c r="BP9" s="100"/>
      <c r="BQ9" s="99" t="s">
        <v>743</v>
      </c>
      <c r="BR9" s="99" t="s">
        <v>64</v>
      </c>
      <c r="BS9" s="100">
        <v>50</v>
      </c>
      <c r="BT9" s="100" t="s">
        <v>744</v>
      </c>
      <c r="BU9" s="103" t="s">
        <v>745</v>
      </c>
      <c r="BV9" s="185" t="s">
        <v>746</v>
      </c>
      <c r="BW9" s="70" t="s">
        <v>426</v>
      </c>
    </row>
    <row r="10" spans="1:75" x14ac:dyDescent="0.15">
      <c r="A10" s="96">
        <v>990</v>
      </c>
      <c r="B10" s="167">
        <v>42187</v>
      </c>
      <c r="C10" s="181" t="s">
        <v>695</v>
      </c>
      <c r="D10" s="182" t="s">
        <v>663</v>
      </c>
      <c r="E10" s="160"/>
      <c r="F10" s="99" t="s">
        <v>719</v>
      </c>
      <c r="G10" s="165">
        <v>42185</v>
      </c>
      <c r="H10" s="100" t="s">
        <v>697</v>
      </c>
      <c r="I10" s="100" t="s">
        <v>698</v>
      </c>
      <c r="J10" s="100"/>
      <c r="K10" s="99" t="s">
        <v>699</v>
      </c>
      <c r="L10" s="99" t="s">
        <v>700</v>
      </c>
      <c r="M10" s="183">
        <v>94.99</v>
      </c>
      <c r="N10" s="183">
        <v>30.409999999999997</v>
      </c>
      <c r="O10" s="99"/>
      <c r="P10" s="101"/>
      <c r="Q10" s="183" t="s">
        <v>725</v>
      </c>
      <c r="R10" s="189" t="s">
        <v>725</v>
      </c>
      <c r="S10" s="189" t="s">
        <v>725</v>
      </c>
      <c r="T10" s="189" t="s">
        <v>725</v>
      </c>
      <c r="U10" s="183" t="s">
        <v>725</v>
      </c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101"/>
      <c r="AG10" s="99"/>
      <c r="AH10" s="99"/>
      <c r="AI10" s="99"/>
      <c r="AJ10" s="99"/>
      <c r="AK10" s="99"/>
      <c r="AL10" s="99"/>
      <c r="AM10" s="99"/>
      <c r="AN10" s="99"/>
      <c r="AO10" s="99" t="s">
        <v>747</v>
      </c>
      <c r="AP10" s="100" t="s">
        <v>698</v>
      </c>
      <c r="AQ10" s="100"/>
      <c r="AR10" s="100"/>
      <c r="AS10" s="102"/>
      <c r="AT10" s="100"/>
      <c r="AU10" s="100" t="s">
        <v>698</v>
      </c>
      <c r="AV10" s="99"/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0</v>
      </c>
      <c r="BH10" s="100">
        <v>0</v>
      </c>
      <c r="BI10" s="100"/>
      <c r="BJ10" s="100" t="s">
        <v>698</v>
      </c>
      <c r="BK10" s="100"/>
      <c r="BL10" s="100" t="s">
        <v>698</v>
      </c>
      <c r="BM10" s="100"/>
      <c r="BN10" s="100"/>
      <c r="BO10" s="100"/>
      <c r="BP10" s="100"/>
      <c r="BQ10" s="99"/>
      <c r="BR10" s="99"/>
      <c r="BS10" s="100"/>
      <c r="BT10" s="100" t="s">
        <v>748</v>
      </c>
      <c r="BU10" s="99"/>
      <c r="BV10" s="156" t="s">
        <v>570</v>
      </c>
      <c r="BW10" s="157" t="s">
        <v>426</v>
      </c>
    </row>
    <row r="11" spans="1:75" x14ac:dyDescent="0.15">
      <c r="A11" s="96">
        <v>10575</v>
      </c>
      <c r="B11" s="167">
        <v>42186</v>
      </c>
      <c r="C11" s="181" t="s">
        <v>662</v>
      </c>
      <c r="D11" s="182" t="s">
        <v>663</v>
      </c>
      <c r="E11" s="160"/>
      <c r="F11" s="99" t="s">
        <v>716</v>
      </c>
      <c r="G11" s="164">
        <v>42185</v>
      </c>
      <c r="H11" s="100" t="s">
        <v>665</v>
      </c>
      <c r="I11" s="100" t="s">
        <v>666</v>
      </c>
      <c r="J11" s="100"/>
      <c r="K11" s="99" t="s">
        <v>702</v>
      </c>
      <c r="L11" s="99" t="s">
        <v>703</v>
      </c>
      <c r="M11" s="183">
        <v>82.554545454545448</v>
      </c>
      <c r="N11" s="183">
        <v>36.581818181818178</v>
      </c>
      <c r="O11" s="99" t="s">
        <v>671</v>
      </c>
      <c r="P11" s="101">
        <v>1000</v>
      </c>
      <c r="Q11" s="183">
        <v>39.036363636363632</v>
      </c>
      <c r="R11" s="188">
        <v>1000</v>
      </c>
      <c r="S11" s="189">
        <v>39.036363636363632</v>
      </c>
      <c r="T11" s="188">
        <v>1000</v>
      </c>
      <c r="U11" s="183">
        <v>39.036363636363632</v>
      </c>
      <c r="V11" s="99"/>
      <c r="W11" s="99"/>
      <c r="X11" s="99"/>
      <c r="Y11" s="99"/>
      <c r="Z11" s="101"/>
      <c r="AA11" s="99"/>
      <c r="AB11" s="101"/>
      <c r="AC11" s="99"/>
      <c r="AD11" s="99"/>
      <c r="AE11" s="99"/>
      <c r="AF11" s="101"/>
      <c r="AG11" s="99"/>
      <c r="AH11" s="99"/>
      <c r="AI11" s="99"/>
      <c r="AJ11" s="99"/>
      <c r="AK11" s="99"/>
      <c r="AL11" s="99"/>
      <c r="AM11" s="99"/>
      <c r="AN11" s="99"/>
      <c r="AO11" s="99" t="s">
        <v>726</v>
      </c>
      <c r="AP11" s="100" t="s">
        <v>666</v>
      </c>
      <c r="AQ11" s="100"/>
      <c r="AR11" s="100"/>
      <c r="AS11" s="102"/>
      <c r="AT11" s="100">
        <v>10</v>
      </c>
      <c r="AU11" s="100" t="s">
        <v>727</v>
      </c>
      <c r="AV11" s="99"/>
      <c r="AW11" s="100">
        <v>12</v>
      </c>
      <c r="AX11" s="100">
        <v>0</v>
      </c>
      <c r="AY11" s="100">
        <v>0</v>
      </c>
      <c r="AZ11" s="100">
        <v>0</v>
      </c>
      <c r="BA11" s="100">
        <v>0</v>
      </c>
      <c r="BB11" s="100">
        <v>0</v>
      </c>
      <c r="BC11" s="100">
        <v>0</v>
      </c>
      <c r="BD11" s="100">
        <v>0</v>
      </c>
      <c r="BE11" s="100">
        <v>0</v>
      </c>
      <c r="BF11" s="100">
        <v>0</v>
      </c>
      <c r="BG11" s="100">
        <v>0</v>
      </c>
      <c r="BH11" s="100">
        <v>0</v>
      </c>
      <c r="BI11" s="100"/>
      <c r="BJ11" s="100" t="s">
        <v>666</v>
      </c>
      <c r="BK11" s="100">
        <v>12</v>
      </c>
      <c r="BL11" s="100" t="s">
        <v>666</v>
      </c>
      <c r="BM11" s="100"/>
      <c r="BN11" s="100"/>
      <c r="BO11" s="100"/>
      <c r="BP11" s="100"/>
      <c r="BQ11" s="103"/>
      <c r="BR11" s="103"/>
      <c r="BS11" s="100"/>
      <c r="BT11" s="100" t="s">
        <v>728</v>
      </c>
      <c r="BU11" s="186"/>
      <c r="BV11" s="156" t="s">
        <v>570</v>
      </c>
      <c r="BW11" s="156" t="s">
        <v>729</v>
      </c>
    </row>
    <row r="12" spans="1:75" x14ac:dyDescent="0.15">
      <c r="A12" s="96">
        <v>10362</v>
      </c>
      <c r="B12" s="167">
        <v>42187</v>
      </c>
      <c r="C12" s="181" t="s">
        <v>651</v>
      </c>
      <c r="D12" s="182" t="s">
        <v>663</v>
      </c>
      <c r="E12" s="160"/>
      <c r="F12" s="99" t="s">
        <v>653</v>
      </c>
      <c r="G12" s="165">
        <v>42185</v>
      </c>
      <c r="H12" s="100" t="s">
        <v>654</v>
      </c>
      <c r="I12" s="100" t="s">
        <v>655</v>
      </c>
      <c r="J12" s="100"/>
      <c r="K12" s="99" t="s">
        <v>704</v>
      </c>
      <c r="L12" s="99" t="s">
        <v>705</v>
      </c>
      <c r="M12" s="183">
        <v>80.999999999999986</v>
      </c>
      <c r="N12" s="183">
        <v>36.709090909090911</v>
      </c>
      <c r="O12" s="99"/>
      <c r="P12" s="101"/>
      <c r="Q12" s="183" t="s">
        <v>725</v>
      </c>
      <c r="R12" s="190"/>
      <c r="S12" s="189" t="s">
        <v>725</v>
      </c>
      <c r="T12" s="190"/>
      <c r="U12" s="183" t="s">
        <v>725</v>
      </c>
      <c r="V12" s="99"/>
      <c r="W12" s="99"/>
      <c r="X12" s="99"/>
      <c r="Y12" s="99"/>
      <c r="Z12" s="101"/>
      <c r="AA12" s="99"/>
      <c r="AB12" s="101"/>
      <c r="AC12" s="99"/>
      <c r="AD12" s="99"/>
      <c r="AE12" s="99"/>
      <c r="AF12" s="101"/>
      <c r="AG12" s="99"/>
      <c r="AH12" s="99"/>
      <c r="AI12" s="99"/>
      <c r="AJ12" s="99"/>
      <c r="AK12" s="99"/>
      <c r="AL12" s="99"/>
      <c r="AM12" s="99"/>
      <c r="AN12" s="99"/>
      <c r="AO12" s="99" t="s">
        <v>658</v>
      </c>
      <c r="AP12" s="100" t="s">
        <v>655</v>
      </c>
      <c r="AQ12" s="100"/>
      <c r="AR12" s="100"/>
      <c r="AS12" s="102"/>
      <c r="AT12" s="100">
        <v>16.3</v>
      </c>
      <c r="AU12" s="100" t="s">
        <v>740</v>
      </c>
      <c r="AV12" s="99"/>
      <c r="AW12" s="100">
        <v>12</v>
      </c>
      <c r="AX12" s="100">
        <v>0</v>
      </c>
      <c r="AY12" s="100">
        <v>0</v>
      </c>
      <c r="AZ12" s="100">
        <v>0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0</v>
      </c>
      <c r="BH12" s="100">
        <v>0</v>
      </c>
      <c r="BI12" s="100"/>
      <c r="BJ12" s="100" t="s">
        <v>655</v>
      </c>
      <c r="BK12" s="100">
        <v>24</v>
      </c>
      <c r="BL12" s="100" t="s">
        <v>655</v>
      </c>
      <c r="BM12" s="100"/>
      <c r="BN12" s="100"/>
      <c r="BO12" s="100"/>
      <c r="BP12" s="100"/>
      <c r="BQ12" s="99"/>
      <c r="BR12" s="99"/>
      <c r="BS12" s="100"/>
      <c r="BT12" s="100" t="s">
        <v>735</v>
      </c>
      <c r="BU12" s="182" t="s">
        <v>749</v>
      </c>
      <c r="BV12" s="185" t="s">
        <v>750</v>
      </c>
      <c r="BW12" t="s">
        <v>729</v>
      </c>
    </row>
    <row r="13" spans="1:75" x14ac:dyDescent="0.15">
      <c r="A13" s="96">
        <v>1016</v>
      </c>
      <c r="B13" s="167">
        <v>42187</v>
      </c>
      <c r="C13" s="181" t="s">
        <v>680</v>
      </c>
      <c r="D13" s="182" t="s">
        <v>663</v>
      </c>
      <c r="E13" s="160"/>
      <c r="F13" s="99" t="s">
        <v>717</v>
      </c>
      <c r="G13" s="164">
        <v>42185</v>
      </c>
      <c r="H13" s="100" t="s">
        <v>682</v>
      </c>
      <c r="I13" s="100" t="s">
        <v>683</v>
      </c>
      <c r="J13" s="100"/>
      <c r="K13" s="99" t="s">
        <v>706</v>
      </c>
      <c r="L13" s="99" t="s">
        <v>707</v>
      </c>
      <c r="M13" s="183">
        <v>99.999999999999986</v>
      </c>
      <c r="N13" s="183">
        <v>34.972727272727269</v>
      </c>
      <c r="O13" s="99"/>
      <c r="P13" s="101"/>
      <c r="Q13" s="183"/>
      <c r="R13" s="189"/>
      <c r="S13" s="189"/>
      <c r="T13" s="189"/>
      <c r="U13" s="183"/>
      <c r="V13" s="99"/>
      <c r="W13" s="99"/>
      <c r="X13" s="101"/>
      <c r="Y13" s="99"/>
      <c r="Z13" s="101"/>
      <c r="AA13" s="99"/>
      <c r="AB13" s="101"/>
      <c r="AC13" s="99"/>
      <c r="AD13" s="99"/>
      <c r="AE13" s="99"/>
      <c r="AF13" s="101"/>
      <c r="AG13" s="99"/>
      <c r="AH13" s="99"/>
      <c r="AI13" s="99"/>
      <c r="AJ13" s="99"/>
      <c r="AK13" s="99"/>
      <c r="AL13" s="99"/>
      <c r="AM13" s="99"/>
      <c r="AN13" s="99"/>
      <c r="AO13" s="99" t="s">
        <v>736</v>
      </c>
      <c r="AP13" s="100" t="s">
        <v>683</v>
      </c>
      <c r="AQ13" s="100"/>
      <c r="AR13" s="100"/>
      <c r="AS13" s="102"/>
      <c r="AT13" s="100">
        <v>16</v>
      </c>
      <c r="AU13" s="100" t="s">
        <v>737</v>
      </c>
      <c r="AV13" s="99"/>
      <c r="AW13" s="100">
        <v>0</v>
      </c>
      <c r="AX13" s="100">
        <v>0</v>
      </c>
      <c r="AY13" s="100">
        <v>10</v>
      </c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>
        <v>0</v>
      </c>
      <c r="BH13" s="100">
        <v>0</v>
      </c>
      <c r="BI13" s="100"/>
      <c r="BJ13" s="100" t="s">
        <v>683</v>
      </c>
      <c r="BK13" s="100"/>
      <c r="BL13" s="100" t="s">
        <v>683</v>
      </c>
      <c r="BM13" s="100"/>
      <c r="BN13" s="100"/>
      <c r="BO13" s="100"/>
      <c r="BP13" s="100"/>
      <c r="BQ13" s="99"/>
      <c r="BR13" s="99"/>
      <c r="BS13" s="100"/>
      <c r="BT13" s="100" t="s">
        <v>738</v>
      </c>
      <c r="BU13" s="99"/>
      <c r="BV13" s="185" t="s">
        <v>751</v>
      </c>
      <c r="BW13" s="156" t="s">
        <v>426</v>
      </c>
    </row>
    <row r="14" spans="1:75" x14ac:dyDescent="0.15">
      <c r="A14" s="96">
        <v>10314</v>
      </c>
      <c r="B14" s="167">
        <v>42187</v>
      </c>
      <c r="C14" s="181" t="s">
        <v>680</v>
      </c>
      <c r="D14" s="182" t="s">
        <v>663</v>
      </c>
      <c r="E14" s="160"/>
      <c r="F14" s="99" t="s">
        <v>717</v>
      </c>
      <c r="G14" s="165">
        <v>41915</v>
      </c>
      <c r="H14" s="100" t="s">
        <v>682</v>
      </c>
      <c r="I14" s="100" t="s">
        <v>683</v>
      </c>
      <c r="J14" s="100"/>
      <c r="K14" s="99" t="s">
        <v>708</v>
      </c>
      <c r="L14" s="99" t="s">
        <v>709</v>
      </c>
      <c r="M14" s="183">
        <v>85.999999999999986</v>
      </c>
      <c r="N14" s="183">
        <v>29.990909090909092</v>
      </c>
      <c r="O14" s="99" t="s">
        <v>686</v>
      </c>
      <c r="P14" s="101">
        <v>1000</v>
      </c>
      <c r="Q14" s="183">
        <v>30.990909090909092</v>
      </c>
      <c r="R14" s="190">
        <v>1000</v>
      </c>
      <c r="S14" s="189">
        <v>30.990909090909092</v>
      </c>
      <c r="T14" s="190">
        <v>1000</v>
      </c>
      <c r="U14" s="183">
        <v>30.990909090909092</v>
      </c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101"/>
      <c r="AG14" s="99"/>
      <c r="AH14" s="99"/>
      <c r="AI14" s="99"/>
      <c r="AJ14" s="99"/>
      <c r="AK14" s="99"/>
      <c r="AL14" s="99"/>
      <c r="AM14" s="99"/>
      <c r="AN14" s="99"/>
      <c r="AO14" s="99" t="s">
        <v>736</v>
      </c>
      <c r="AP14" s="100" t="s">
        <v>683</v>
      </c>
      <c r="AQ14" s="100"/>
      <c r="AR14" s="100"/>
      <c r="AS14" s="102"/>
      <c r="AT14" s="100">
        <v>9</v>
      </c>
      <c r="AU14" s="100" t="s">
        <v>737</v>
      </c>
      <c r="AV14" s="99"/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/>
      <c r="BJ14" s="100" t="s">
        <v>683</v>
      </c>
      <c r="BK14" s="100"/>
      <c r="BL14" s="100" t="s">
        <v>683</v>
      </c>
      <c r="BM14" s="100"/>
      <c r="BN14" s="100"/>
      <c r="BO14" s="100"/>
      <c r="BP14" s="100"/>
      <c r="BQ14" s="99"/>
      <c r="BR14" s="99"/>
      <c r="BS14" s="100"/>
      <c r="BT14" s="100" t="s">
        <v>738</v>
      </c>
      <c r="BU14" s="99" t="s">
        <v>749</v>
      </c>
      <c r="BV14" s="185" t="s">
        <v>752</v>
      </c>
      <c r="BW14" s="70" t="s">
        <v>729</v>
      </c>
    </row>
    <row r="15" spans="1:75" x14ac:dyDescent="0.15">
      <c r="A15" s="96">
        <v>10483</v>
      </c>
      <c r="B15" s="167">
        <v>42186</v>
      </c>
      <c r="C15" s="181" t="s">
        <v>689</v>
      </c>
      <c r="D15" s="182" t="s">
        <v>663</v>
      </c>
      <c r="E15" s="160"/>
      <c r="F15" s="99" t="s">
        <v>718</v>
      </c>
      <c r="G15" s="165">
        <v>42185</v>
      </c>
      <c r="H15" s="100" t="s">
        <v>682</v>
      </c>
      <c r="I15" s="100" t="s">
        <v>683</v>
      </c>
      <c r="J15" s="100"/>
      <c r="K15" s="99" t="s">
        <v>710</v>
      </c>
      <c r="L15" s="99" t="s">
        <v>711</v>
      </c>
      <c r="M15" s="183">
        <v>87.172727272727272</v>
      </c>
      <c r="N15" s="183">
        <v>36.163636363636364</v>
      </c>
      <c r="O15" s="99"/>
      <c r="P15" s="101"/>
      <c r="Q15" s="183"/>
      <c r="R15" s="189"/>
      <c r="S15" s="189"/>
      <c r="T15" s="189"/>
      <c r="U15" s="183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 t="s">
        <v>742</v>
      </c>
      <c r="AP15" s="100" t="s">
        <v>692</v>
      </c>
      <c r="AQ15" s="100"/>
      <c r="AR15" s="100"/>
      <c r="AS15" s="102"/>
      <c r="AT15" s="100">
        <v>15</v>
      </c>
      <c r="AU15" s="100" t="s">
        <v>683</v>
      </c>
      <c r="AV15" s="99"/>
      <c r="AW15" s="100">
        <v>0</v>
      </c>
      <c r="AX15" s="100">
        <v>0</v>
      </c>
      <c r="AY15" s="100">
        <v>0</v>
      </c>
      <c r="AZ15" s="100">
        <v>0</v>
      </c>
      <c r="BA15" s="100">
        <v>0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0</v>
      </c>
      <c r="BH15" s="100">
        <v>0</v>
      </c>
      <c r="BI15" s="100"/>
      <c r="BJ15" s="100" t="s">
        <v>683</v>
      </c>
      <c r="BK15" s="100"/>
      <c r="BL15" s="100" t="s">
        <v>683</v>
      </c>
      <c r="BM15" s="100"/>
      <c r="BN15" s="100"/>
      <c r="BO15" s="100"/>
      <c r="BP15" s="100"/>
      <c r="BQ15" s="99" t="s">
        <v>753</v>
      </c>
      <c r="BR15" s="99" t="s">
        <v>754</v>
      </c>
      <c r="BS15" s="100">
        <v>30</v>
      </c>
      <c r="BT15" s="100" t="s">
        <v>738</v>
      </c>
      <c r="BU15" s="99"/>
      <c r="BV15" t="s">
        <v>755</v>
      </c>
      <c r="BW15" s="156" t="s">
        <v>729</v>
      </c>
    </row>
    <row r="16" spans="1:75" x14ac:dyDescent="0.15">
      <c r="A16" s="96">
        <v>9706</v>
      </c>
      <c r="B16" s="167">
        <v>42185</v>
      </c>
      <c r="C16" s="181" t="s">
        <v>662</v>
      </c>
      <c r="D16" s="182" t="s">
        <v>663</v>
      </c>
      <c r="E16" s="160"/>
      <c r="F16" s="99" t="s">
        <v>716</v>
      </c>
      <c r="G16" s="165">
        <v>42185</v>
      </c>
      <c r="H16" s="100" t="s">
        <v>666</v>
      </c>
      <c r="I16" s="100" t="s">
        <v>712</v>
      </c>
      <c r="J16" s="100"/>
      <c r="K16" s="99" t="s">
        <v>614</v>
      </c>
      <c r="L16" s="182" t="s">
        <v>713</v>
      </c>
      <c r="M16" s="183">
        <v>69.763636363636351</v>
      </c>
      <c r="N16" s="183">
        <v>36.809090909090905</v>
      </c>
      <c r="O16" s="99" t="s">
        <v>671</v>
      </c>
      <c r="P16" s="101">
        <v>1000</v>
      </c>
      <c r="Q16" s="183">
        <v>38.5</v>
      </c>
      <c r="R16" s="188">
        <v>1000</v>
      </c>
      <c r="S16" s="189">
        <v>38.5</v>
      </c>
      <c r="T16" s="188">
        <v>1000</v>
      </c>
      <c r="U16" s="183">
        <v>38.5</v>
      </c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101"/>
      <c r="AG16" s="99"/>
      <c r="AH16" s="99"/>
      <c r="AI16" s="99"/>
      <c r="AJ16" s="99"/>
      <c r="AK16" s="99"/>
      <c r="AL16" s="99"/>
      <c r="AM16" s="99"/>
      <c r="AN16" s="99"/>
      <c r="AO16" s="99" t="s">
        <v>726</v>
      </c>
      <c r="AP16" s="100" t="s">
        <v>666</v>
      </c>
      <c r="AQ16" s="100"/>
      <c r="AR16" s="100"/>
      <c r="AS16" s="102"/>
      <c r="AT16" s="100"/>
      <c r="AU16" s="100" t="s">
        <v>666</v>
      </c>
      <c r="AV16" s="99"/>
      <c r="AW16" s="100">
        <v>0</v>
      </c>
      <c r="AX16" s="100">
        <v>0</v>
      </c>
      <c r="AY16" s="100">
        <v>0</v>
      </c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/>
      <c r="BJ16" s="100" t="s">
        <v>666</v>
      </c>
      <c r="BK16" s="100"/>
      <c r="BL16" s="100" t="s">
        <v>666</v>
      </c>
      <c r="BM16" s="100"/>
      <c r="BN16" s="100"/>
      <c r="BO16" s="100"/>
      <c r="BP16" s="100"/>
      <c r="BQ16" s="103"/>
      <c r="BR16" s="99"/>
      <c r="BS16" s="100"/>
      <c r="BT16" s="100" t="s">
        <v>728</v>
      </c>
      <c r="BU16" s="99" t="s">
        <v>644</v>
      </c>
      <c r="BV16" s="185" t="s">
        <v>756</v>
      </c>
      <c r="BW16" s="156" t="s">
        <v>426</v>
      </c>
    </row>
    <row r="17" spans="1:75" x14ac:dyDescent="0.15">
      <c r="A17" s="96">
        <v>10701</v>
      </c>
      <c r="B17" s="167">
        <v>42186</v>
      </c>
      <c r="C17" s="181" t="s">
        <v>689</v>
      </c>
      <c r="D17" s="182" t="s">
        <v>663</v>
      </c>
      <c r="E17" s="160"/>
      <c r="F17" s="99" t="s">
        <v>718</v>
      </c>
      <c r="G17" s="165">
        <v>42185</v>
      </c>
      <c r="H17" s="100" t="s">
        <v>691</v>
      </c>
      <c r="I17" s="100" t="s">
        <v>692</v>
      </c>
      <c r="J17" s="100"/>
      <c r="K17" s="182" t="s">
        <v>714</v>
      </c>
      <c r="L17" s="182" t="s">
        <v>715</v>
      </c>
      <c r="M17" s="183">
        <v>108.29</v>
      </c>
      <c r="N17" s="183">
        <v>34.18181818181818</v>
      </c>
      <c r="O17" s="99"/>
      <c r="P17" s="101"/>
      <c r="Q17" s="183" t="s">
        <v>725</v>
      </c>
      <c r="R17" s="101"/>
      <c r="S17" s="183" t="s">
        <v>725</v>
      </c>
      <c r="T17" s="99"/>
      <c r="U17" s="183" t="s">
        <v>725</v>
      </c>
      <c r="V17" s="99"/>
      <c r="W17" s="99"/>
      <c r="X17" s="101"/>
      <c r="Y17" s="99"/>
      <c r="Z17" s="101"/>
      <c r="AA17" s="99"/>
      <c r="AB17" s="101"/>
      <c r="AC17" s="99"/>
      <c r="AD17" s="99"/>
      <c r="AE17" s="99"/>
      <c r="AF17" s="101"/>
      <c r="AG17" s="99"/>
      <c r="AH17" s="99"/>
      <c r="AI17" s="99"/>
      <c r="AJ17" s="99"/>
      <c r="AK17" s="99"/>
      <c r="AL17" s="99"/>
      <c r="AM17" s="99"/>
      <c r="AN17" s="99"/>
      <c r="AO17" s="99" t="s">
        <v>742</v>
      </c>
      <c r="AP17" s="100" t="s">
        <v>692</v>
      </c>
      <c r="AQ17" s="100"/>
      <c r="AR17" s="100"/>
      <c r="AS17" s="102"/>
      <c r="AT17" s="100">
        <v>10.199999999999999</v>
      </c>
      <c r="AU17" s="100" t="s">
        <v>759</v>
      </c>
      <c r="AV17" s="99"/>
      <c r="AW17" s="100">
        <v>0</v>
      </c>
      <c r="AX17" s="100">
        <v>0</v>
      </c>
      <c r="AY17" s="100">
        <v>15</v>
      </c>
      <c r="AZ17" s="100">
        <v>0</v>
      </c>
      <c r="BA17" s="100">
        <v>0</v>
      </c>
      <c r="BB17" s="100">
        <v>0</v>
      </c>
      <c r="BC17" s="100">
        <v>0</v>
      </c>
      <c r="BD17" s="100">
        <v>0</v>
      </c>
      <c r="BE17" s="100">
        <v>0</v>
      </c>
      <c r="BF17" s="100">
        <v>0</v>
      </c>
      <c r="BG17" s="100">
        <v>0</v>
      </c>
      <c r="BH17" s="100">
        <v>0</v>
      </c>
      <c r="BI17" s="100"/>
      <c r="BJ17" s="100" t="s">
        <v>692</v>
      </c>
      <c r="BK17" s="100"/>
      <c r="BL17" s="100" t="s">
        <v>692</v>
      </c>
      <c r="BM17" s="100"/>
      <c r="BN17" s="100"/>
      <c r="BO17" s="100"/>
      <c r="BP17" s="100"/>
      <c r="BQ17" s="103"/>
      <c r="BR17" s="103"/>
      <c r="BS17" s="100"/>
      <c r="BT17" s="100" t="s">
        <v>744</v>
      </c>
      <c r="BU17" s="182" t="s">
        <v>760</v>
      </c>
      <c r="BV17" s="185" t="s">
        <v>761</v>
      </c>
      <c r="BW17" t="s">
        <v>729</v>
      </c>
    </row>
    <row r="18" spans="1:75" x14ac:dyDescent="0.15">
      <c r="A18" s="96">
        <v>10052</v>
      </c>
      <c r="B18" s="167">
        <v>42186</v>
      </c>
      <c r="C18" s="181" t="s">
        <v>695</v>
      </c>
      <c r="D18" s="182" t="s">
        <v>663</v>
      </c>
      <c r="E18" s="160"/>
      <c r="F18" s="99" t="s">
        <v>719</v>
      </c>
      <c r="G18" s="165">
        <v>42184</v>
      </c>
      <c r="H18" s="161" t="s">
        <v>673</v>
      </c>
      <c r="I18" s="161" t="s">
        <v>722</v>
      </c>
      <c r="J18" s="100"/>
      <c r="K18" s="182" t="s">
        <v>723</v>
      </c>
      <c r="L18" s="182" t="s">
        <v>724</v>
      </c>
      <c r="M18" s="183">
        <v>93.836363636363629</v>
      </c>
      <c r="N18" s="183">
        <v>27.872727272727271</v>
      </c>
      <c r="O18" s="99" t="s">
        <v>701</v>
      </c>
      <c r="P18" s="101">
        <v>1000</v>
      </c>
      <c r="Q18" s="183">
        <v>28.536363636363635</v>
      </c>
      <c r="R18" s="188">
        <v>1000</v>
      </c>
      <c r="S18" s="183">
        <v>28.536363636363635</v>
      </c>
      <c r="T18" s="188">
        <v>1000</v>
      </c>
      <c r="U18" s="183">
        <v>28.536363636363635</v>
      </c>
      <c r="V18" s="99"/>
      <c r="W18" s="99"/>
      <c r="X18" s="101"/>
      <c r="Y18" s="99"/>
      <c r="Z18" s="101"/>
      <c r="AA18" s="99"/>
      <c r="AB18" s="101"/>
      <c r="AC18" s="99"/>
      <c r="AD18" s="99"/>
      <c r="AE18" s="99"/>
      <c r="AF18" s="101"/>
      <c r="AG18" s="99"/>
      <c r="AH18" s="99"/>
      <c r="AI18" s="99"/>
      <c r="AJ18" s="99"/>
      <c r="AK18" s="99"/>
      <c r="AL18" s="99"/>
      <c r="AM18" s="99"/>
      <c r="AN18" s="99"/>
      <c r="AO18" s="99" t="s">
        <v>747</v>
      </c>
      <c r="AP18" s="100" t="s">
        <v>698</v>
      </c>
      <c r="AQ18" s="100"/>
      <c r="AR18" s="100"/>
      <c r="AS18" s="102"/>
      <c r="AT18" s="100"/>
      <c r="AU18" s="100" t="s">
        <v>655</v>
      </c>
      <c r="AV18" s="99"/>
      <c r="AW18" s="100">
        <v>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/>
      <c r="BJ18" s="100" t="s">
        <v>628</v>
      </c>
      <c r="BK18" s="100"/>
      <c r="BL18" s="100" t="s">
        <v>628</v>
      </c>
      <c r="BM18" s="100">
        <v>35.5</v>
      </c>
      <c r="BN18" s="100"/>
      <c r="BO18" s="100"/>
      <c r="BP18" s="100"/>
      <c r="BQ18" s="99"/>
      <c r="BR18" s="99"/>
      <c r="BS18" s="100"/>
      <c r="BT18" s="100" t="s">
        <v>634</v>
      </c>
      <c r="BU18" s="182" t="s">
        <v>762</v>
      </c>
      <c r="BV18" s="156" t="s">
        <v>763</v>
      </c>
      <c r="BW18" s="157" t="s">
        <v>426</v>
      </c>
    </row>
    <row r="19" spans="1:75" x14ac:dyDescent="0.15">
      <c r="A19" s="96">
        <v>9342</v>
      </c>
      <c r="B19" s="167">
        <v>42185</v>
      </c>
      <c r="C19" s="181" t="s">
        <v>662</v>
      </c>
      <c r="D19" s="182" t="s">
        <v>663</v>
      </c>
      <c r="E19" s="160"/>
      <c r="F19" s="99" t="s">
        <v>716</v>
      </c>
      <c r="G19" s="167">
        <v>41934</v>
      </c>
      <c r="H19" s="100" t="s">
        <v>672</v>
      </c>
      <c r="I19" s="100" t="s">
        <v>666</v>
      </c>
      <c r="J19" s="100"/>
      <c r="K19" s="99" t="s">
        <v>720</v>
      </c>
      <c r="L19" s="99" t="s">
        <v>721</v>
      </c>
      <c r="M19" s="183">
        <v>107</v>
      </c>
      <c r="N19" s="183">
        <v>44</v>
      </c>
      <c r="O19" s="99"/>
      <c r="P19" s="101"/>
      <c r="Q19" s="183" t="s">
        <v>725</v>
      </c>
      <c r="R19" s="190"/>
      <c r="S19" s="189" t="s">
        <v>725</v>
      </c>
      <c r="T19" s="187"/>
      <c r="U19" s="183" t="s">
        <v>725</v>
      </c>
      <c r="V19" s="99"/>
      <c r="W19" s="99"/>
      <c r="X19" s="101"/>
      <c r="Y19" s="99"/>
      <c r="Z19" s="101"/>
      <c r="AA19" s="99"/>
      <c r="AB19" s="101"/>
      <c r="AC19" s="99"/>
      <c r="AD19" s="99"/>
      <c r="AE19" s="99"/>
      <c r="AF19" s="101"/>
      <c r="AG19" s="99"/>
      <c r="AH19" s="99"/>
      <c r="AI19" s="99"/>
      <c r="AJ19" s="99"/>
      <c r="AK19" s="99"/>
      <c r="AL19" s="99"/>
      <c r="AM19" s="99"/>
      <c r="AN19" s="99"/>
      <c r="AO19" s="99" t="s">
        <v>726</v>
      </c>
      <c r="AP19" s="100" t="s">
        <v>666</v>
      </c>
      <c r="AQ19" s="100"/>
      <c r="AR19" s="100"/>
      <c r="AS19" s="102"/>
      <c r="AT19" s="100">
        <v>8</v>
      </c>
      <c r="AU19" s="100" t="s">
        <v>638</v>
      </c>
      <c r="AV19" s="99"/>
      <c r="AW19" s="100">
        <v>0</v>
      </c>
      <c r="AX19" s="100">
        <v>0</v>
      </c>
      <c r="AY19" s="100">
        <v>0</v>
      </c>
      <c r="AZ19" s="100">
        <v>0</v>
      </c>
      <c r="BA19" s="100">
        <v>0</v>
      </c>
      <c r="BB19" s="100">
        <v>0</v>
      </c>
      <c r="BC19" s="100">
        <v>0</v>
      </c>
      <c r="BD19" s="100">
        <v>0</v>
      </c>
      <c r="BE19" s="100">
        <v>0</v>
      </c>
      <c r="BF19" s="100">
        <v>0</v>
      </c>
      <c r="BG19" s="100">
        <v>0</v>
      </c>
      <c r="BH19" s="100">
        <v>0</v>
      </c>
      <c r="BI19" s="100"/>
      <c r="BJ19" s="100" t="s">
        <v>666</v>
      </c>
      <c r="BK19" s="100"/>
      <c r="BL19" s="100" t="s">
        <v>666</v>
      </c>
      <c r="BM19" s="100"/>
      <c r="BN19" s="100"/>
      <c r="BO19" s="100"/>
      <c r="BP19" s="100"/>
      <c r="BQ19" s="103"/>
      <c r="BR19" s="99"/>
      <c r="BS19" s="100"/>
      <c r="BT19" s="100" t="s">
        <v>728</v>
      </c>
      <c r="BU19" s="103" t="s">
        <v>757</v>
      </c>
      <c r="BV19" s="185" t="s">
        <v>758</v>
      </c>
      <c r="BW19" t="s">
        <v>588</v>
      </c>
    </row>
    <row r="20" spans="1:75" x14ac:dyDescent="0.15">
      <c r="A20" s="96">
        <v>10432</v>
      </c>
      <c r="B20" s="167">
        <v>42185</v>
      </c>
      <c r="C20" s="181" t="s">
        <v>662</v>
      </c>
      <c r="D20" s="182" t="s">
        <v>663</v>
      </c>
      <c r="E20" s="160"/>
      <c r="F20" s="99" t="s">
        <v>664</v>
      </c>
      <c r="G20" s="167">
        <v>42185</v>
      </c>
      <c r="H20" s="100" t="s">
        <v>665</v>
      </c>
      <c r="I20" s="100" t="s">
        <v>666</v>
      </c>
      <c r="J20" s="100"/>
      <c r="K20" s="99" t="s">
        <v>667</v>
      </c>
      <c r="L20" s="99" t="s">
        <v>668</v>
      </c>
      <c r="M20" s="183">
        <v>80.999999999999986</v>
      </c>
      <c r="N20" s="183">
        <v>36.709090909090911</v>
      </c>
      <c r="O20" s="99"/>
      <c r="P20" s="101"/>
      <c r="Q20" s="183" t="s">
        <v>725</v>
      </c>
      <c r="R20" s="101"/>
      <c r="S20" s="183" t="s">
        <v>725</v>
      </c>
      <c r="T20" s="101"/>
      <c r="U20" s="183" t="s">
        <v>725</v>
      </c>
      <c r="V20" s="99"/>
      <c r="W20" s="99"/>
      <c r="X20" s="99"/>
      <c r="Y20" s="99"/>
      <c r="Z20" s="101"/>
      <c r="AA20" s="99"/>
      <c r="AB20" s="101"/>
      <c r="AC20" s="99"/>
      <c r="AD20" s="99"/>
      <c r="AE20" s="183">
        <v>20.109090909090909</v>
      </c>
      <c r="AF20" s="183"/>
      <c r="AG20" s="183"/>
      <c r="AH20" s="99"/>
      <c r="AI20" s="99"/>
      <c r="AJ20" s="99"/>
      <c r="AK20" s="99"/>
      <c r="AL20" s="99"/>
      <c r="AM20" s="99"/>
      <c r="AN20" s="99"/>
      <c r="AO20" s="99" t="s">
        <v>764</v>
      </c>
      <c r="AP20" s="100" t="s">
        <v>666</v>
      </c>
      <c r="AQ20" s="100"/>
      <c r="AR20" s="100"/>
      <c r="AS20" s="102"/>
      <c r="AT20" s="100">
        <v>16.3</v>
      </c>
      <c r="AU20" s="100" t="s">
        <v>727</v>
      </c>
      <c r="AV20" s="99"/>
      <c r="AW20" s="100">
        <v>8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/>
      <c r="BJ20" s="100" t="s">
        <v>666</v>
      </c>
      <c r="BK20" s="100">
        <v>12</v>
      </c>
      <c r="BL20" s="100" t="s">
        <v>666</v>
      </c>
      <c r="BM20" s="100"/>
      <c r="BN20" s="100"/>
      <c r="BO20" s="100"/>
      <c r="BP20" s="100"/>
      <c r="BQ20" s="99"/>
      <c r="BR20" s="103"/>
      <c r="BS20" s="100"/>
      <c r="BT20" s="100" t="s">
        <v>728</v>
      </c>
      <c r="BU20" s="103"/>
      <c r="BV20" s="156" t="s">
        <v>570</v>
      </c>
      <c r="BW20" s="157" t="s">
        <v>729</v>
      </c>
    </row>
    <row r="21" spans="1:75" x14ac:dyDescent="0.15">
      <c r="A21" s="96">
        <v>10485</v>
      </c>
      <c r="B21" s="167">
        <v>42186</v>
      </c>
      <c r="C21" s="181" t="s">
        <v>662</v>
      </c>
      <c r="D21" s="182" t="s">
        <v>663</v>
      </c>
      <c r="E21" s="160"/>
      <c r="F21" s="99" t="s">
        <v>664</v>
      </c>
      <c r="G21" s="164">
        <v>42185</v>
      </c>
      <c r="H21" s="100" t="s">
        <v>665</v>
      </c>
      <c r="I21" s="100" t="s">
        <v>666</v>
      </c>
      <c r="J21" s="100"/>
      <c r="K21" s="99" t="s">
        <v>669</v>
      </c>
      <c r="L21" s="182" t="s">
        <v>670</v>
      </c>
      <c r="M21" s="183">
        <v>83</v>
      </c>
      <c r="N21" s="183">
        <v>30.154545454545453</v>
      </c>
      <c r="O21" s="99" t="s">
        <v>671</v>
      </c>
      <c r="P21" s="101">
        <v>300</v>
      </c>
      <c r="Q21" s="183">
        <v>33.590909090909093</v>
      </c>
      <c r="R21" s="101">
        <v>300</v>
      </c>
      <c r="S21" s="183">
        <v>33.590909090909093</v>
      </c>
      <c r="T21" s="101">
        <v>300</v>
      </c>
      <c r="U21" s="183">
        <v>33.590909090909093</v>
      </c>
      <c r="V21" s="99"/>
      <c r="W21" s="99"/>
      <c r="X21" s="99"/>
      <c r="Y21" s="99"/>
      <c r="Z21" s="99"/>
      <c r="AA21" s="99"/>
      <c r="AB21" s="99"/>
      <c r="AC21" s="99"/>
      <c r="AD21" s="99"/>
      <c r="AE21" s="183">
        <v>16.618181818181817</v>
      </c>
      <c r="AF21" s="183"/>
      <c r="AG21" s="183"/>
      <c r="AH21" s="99"/>
      <c r="AI21" s="99"/>
      <c r="AJ21" s="99"/>
      <c r="AK21" s="99"/>
      <c r="AL21" s="99"/>
      <c r="AM21" s="99"/>
      <c r="AN21" s="99"/>
      <c r="AO21" s="99" t="s">
        <v>764</v>
      </c>
      <c r="AP21" s="100" t="s">
        <v>666</v>
      </c>
      <c r="AQ21" s="100"/>
      <c r="AR21" s="100"/>
      <c r="AS21" s="102"/>
      <c r="AT21" s="100">
        <v>9.5</v>
      </c>
      <c r="AU21" s="100" t="s">
        <v>666</v>
      </c>
      <c r="AV21" s="99"/>
      <c r="AW21" s="100">
        <v>0</v>
      </c>
      <c r="AX21" s="100">
        <v>0</v>
      </c>
      <c r="AY21" s="100">
        <v>0</v>
      </c>
      <c r="AZ21" s="100">
        <v>0</v>
      </c>
      <c r="BA21" s="100">
        <v>0</v>
      </c>
      <c r="BB21" s="100">
        <v>0</v>
      </c>
      <c r="BC21" s="100">
        <v>0</v>
      </c>
      <c r="BD21" s="100">
        <v>0</v>
      </c>
      <c r="BE21" s="100">
        <v>0</v>
      </c>
      <c r="BF21" s="100">
        <v>0</v>
      </c>
      <c r="BG21" s="100">
        <v>0</v>
      </c>
      <c r="BH21" s="100">
        <v>0</v>
      </c>
      <c r="BI21" s="100"/>
      <c r="BJ21" s="100" t="s">
        <v>666</v>
      </c>
      <c r="BK21" s="100"/>
      <c r="BL21" s="100" t="s">
        <v>666</v>
      </c>
      <c r="BM21" s="100"/>
      <c r="BN21" s="100"/>
      <c r="BO21" s="100"/>
      <c r="BP21" s="100"/>
      <c r="BQ21" s="99"/>
      <c r="BR21" s="99"/>
      <c r="BS21" s="100"/>
      <c r="BT21" s="100" t="s">
        <v>728</v>
      </c>
      <c r="BU21" s="182" t="s">
        <v>644</v>
      </c>
      <c r="BV21" s="156" t="s">
        <v>570</v>
      </c>
      <c r="BW21" s="156" t="s">
        <v>729</v>
      </c>
    </row>
    <row r="22" spans="1:75" ht="16" x14ac:dyDescent="0.2">
      <c r="A22" s="96">
        <v>10662</v>
      </c>
      <c r="B22" s="167">
        <v>42186</v>
      </c>
      <c r="C22" s="181" t="s">
        <v>662</v>
      </c>
      <c r="D22" s="182" t="s">
        <v>663</v>
      </c>
      <c r="E22" s="160"/>
      <c r="F22" s="99" t="s">
        <v>664</v>
      </c>
      <c r="G22" s="165">
        <v>42185</v>
      </c>
      <c r="H22" s="100" t="s">
        <v>672</v>
      </c>
      <c r="I22" s="100" t="s">
        <v>673</v>
      </c>
      <c r="J22" s="100"/>
      <c r="K22" s="99" t="s">
        <v>674</v>
      </c>
      <c r="L22" s="182" t="s">
        <v>675</v>
      </c>
      <c r="M22" s="183">
        <v>89.690909090909074</v>
      </c>
      <c r="N22" s="183">
        <v>35.472727272727276</v>
      </c>
      <c r="O22" s="99"/>
      <c r="P22" s="101"/>
      <c r="Q22" s="183"/>
      <c r="R22" s="101"/>
      <c r="S22" s="183"/>
      <c r="T22" s="101"/>
      <c r="U22" s="183"/>
      <c r="V22" s="99"/>
      <c r="W22" s="99"/>
      <c r="X22" s="99"/>
      <c r="Y22" s="99"/>
      <c r="Z22" s="99"/>
      <c r="AA22" s="99"/>
      <c r="AB22" s="99"/>
      <c r="AC22" s="99"/>
      <c r="AD22" s="99"/>
      <c r="AE22" s="183">
        <v>20.036363636363635</v>
      </c>
      <c r="AF22" s="183"/>
      <c r="AG22" s="183"/>
      <c r="AH22" s="99"/>
      <c r="AI22" s="99"/>
      <c r="AJ22" s="99"/>
      <c r="AK22" s="99"/>
      <c r="AL22" s="99"/>
      <c r="AM22" s="99"/>
      <c r="AN22" s="99"/>
      <c r="AO22" s="99" t="s">
        <v>764</v>
      </c>
      <c r="AP22" s="100" t="s">
        <v>666</v>
      </c>
      <c r="AQ22" s="100"/>
      <c r="AR22" s="100"/>
      <c r="AS22" s="102"/>
      <c r="AT22" s="100">
        <v>14</v>
      </c>
      <c r="AU22" s="100" t="s">
        <v>673</v>
      </c>
      <c r="AV22" s="99"/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/>
      <c r="BJ22" s="100" t="s">
        <v>666</v>
      </c>
      <c r="BK22" s="100"/>
      <c r="BL22" s="100" t="s">
        <v>666</v>
      </c>
      <c r="BM22" s="100"/>
      <c r="BN22" s="100"/>
      <c r="BO22" s="100"/>
      <c r="BP22" s="100"/>
      <c r="BQ22" s="184" t="s">
        <v>730</v>
      </c>
      <c r="BR22" s="184" t="s">
        <v>731</v>
      </c>
      <c r="BS22" s="100">
        <v>50</v>
      </c>
      <c r="BT22" s="100" t="s">
        <v>728</v>
      </c>
      <c r="BU22" s="99" t="s">
        <v>644</v>
      </c>
      <c r="BV22" s="185" t="s">
        <v>765</v>
      </c>
      <c r="BW22" t="s">
        <v>729</v>
      </c>
    </row>
    <row r="23" spans="1:75" x14ac:dyDescent="0.15">
      <c r="A23" s="96">
        <v>957</v>
      </c>
      <c r="B23" s="167">
        <v>42186</v>
      </c>
      <c r="C23" s="181" t="s">
        <v>662</v>
      </c>
      <c r="D23" s="182" t="s">
        <v>663</v>
      </c>
      <c r="E23" s="160"/>
      <c r="F23" s="99" t="s">
        <v>664</v>
      </c>
      <c r="G23" s="165">
        <v>42185</v>
      </c>
      <c r="H23" s="100" t="s">
        <v>665</v>
      </c>
      <c r="I23" s="100" t="s">
        <v>666</v>
      </c>
      <c r="J23" s="100"/>
      <c r="K23" s="99" t="s">
        <v>676</v>
      </c>
      <c r="L23" s="99" t="s">
        <v>677</v>
      </c>
      <c r="M23" s="183">
        <v>88.8</v>
      </c>
      <c r="N23" s="183">
        <v>32.409090909090907</v>
      </c>
      <c r="O23" s="99" t="s">
        <v>671</v>
      </c>
      <c r="P23" s="101">
        <v>1000</v>
      </c>
      <c r="Q23" s="183">
        <v>33.25454545454545</v>
      </c>
      <c r="R23" s="101">
        <v>1000</v>
      </c>
      <c r="S23" s="183">
        <v>33.25454545454545</v>
      </c>
      <c r="T23" s="101">
        <v>1000</v>
      </c>
      <c r="U23" s="183">
        <v>33.25454545454545</v>
      </c>
      <c r="V23" s="99"/>
      <c r="W23" s="99"/>
      <c r="X23" s="99"/>
      <c r="Y23" s="99"/>
      <c r="Z23" s="99"/>
      <c r="AA23" s="99"/>
      <c r="AB23" s="99"/>
      <c r="AC23" s="99"/>
      <c r="AD23" s="99"/>
      <c r="AE23" s="183">
        <v>18.072727272727271</v>
      </c>
      <c r="AF23" s="183"/>
      <c r="AG23" s="183"/>
      <c r="AH23" s="99"/>
      <c r="AI23" s="99"/>
      <c r="AJ23" s="99"/>
      <c r="AK23" s="99"/>
      <c r="AL23" s="99"/>
      <c r="AM23" s="99"/>
      <c r="AN23" s="99"/>
      <c r="AO23" s="99" t="s">
        <v>764</v>
      </c>
      <c r="AP23" s="100" t="s">
        <v>666</v>
      </c>
      <c r="AQ23" s="100"/>
      <c r="AR23" s="100"/>
      <c r="AS23" s="102"/>
      <c r="AT23" s="100">
        <v>11.6</v>
      </c>
      <c r="AU23" s="100" t="s">
        <v>666</v>
      </c>
      <c r="AV23" s="99"/>
      <c r="AW23" s="100">
        <v>0</v>
      </c>
      <c r="AX23" s="100">
        <v>0</v>
      </c>
      <c r="AY23" s="100">
        <v>0</v>
      </c>
      <c r="AZ23" s="100">
        <v>0</v>
      </c>
      <c r="BA23" s="100">
        <v>0</v>
      </c>
      <c r="BB23" s="100">
        <v>0</v>
      </c>
      <c r="BC23" s="100">
        <v>0</v>
      </c>
      <c r="BD23" s="100">
        <v>0</v>
      </c>
      <c r="BE23" s="100">
        <v>0</v>
      </c>
      <c r="BF23" s="100">
        <v>0</v>
      </c>
      <c r="BG23" s="100">
        <v>0</v>
      </c>
      <c r="BH23" s="100">
        <v>0</v>
      </c>
      <c r="BI23" s="100"/>
      <c r="BJ23" s="100" t="s">
        <v>666</v>
      </c>
      <c r="BK23" s="100"/>
      <c r="BL23" s="100" t="s">
        <v>666</v>
      </c>
      <c r="BM23" s="100"/>
      <c r="BN23" s="100"/>
      <c r="BO23" s="100"/>
      <c r="BP23" s="100"/>
      <c r="BQ23" s="103" t="s">
        <v>733</v>
      </c>
      <c r="BR23" s="99"/>
      <c r="BS23" s="100"/>
      <c r="BT23" s="100" t="s">
        <v>728</v>
      </c>
      <c r="BU23" s="99"/>
      <c r="BV23" s="185" t="s">
        <v>766</v>
      </c>
      <c r="BW23" s="70" t="s">
        <v>426</v>
      </c>
    </row>
    <row r="24" spans="1:75" x14ac:dyDescent="0.15">
      <c r="A24" s="96">
        <v>959</v>
      </c>
      <c r="B24" s="167">
        <v>42185</v>
      </c>
      <c r="C24" s="181" t="s">
        <v>651</v>
      </c>
      <c r="D24" s="182" t="s">
        <v>663</v>
      </c>
      <c r="E24" s="160"/>
      <c r="F24" s="99" t="s">
        <v>660</v>
      </c>
      <c r="G24" s="164">
        <v>41820</v>
      </c>
      <c r="H24" s="100" t="s">
        <v>654</v>
      </c>
      <c r="I24" s="100" t="s">
        <v>655</v>
      </c>
      <c r="J24" s="100"/>
      <c r="K24" s="99" t="s">
        <v>678</v>
      </c>
      <c r="L24" s="99" t="s">
        <v>679</v>
      </c>
      <c r="M24" s="183">
        <v>86.95</v>
      </c>
      <c r="N24" s="183">
        <v>33.26</v>
      </c>
      <c r="O24" s="99" t="s">
        <v>657</v>
      </c>
      <c r="P24" s="101">
        <v>300</v>
      </c>
      <c r="Q24" s="183">
        <v>35.89</v>
      </c>
      <c r="R24" s="191">
        <v>1000</v>
      </c>
      <c r="S24" s="183">
        <v>38.950000000000003</v>
      </c>
      <c r="T24" s="191">
        <v>2500</v>
      </c>
      <c r="U24" s="183">
        <v>39.869999999999997</v>
      </c>
      <c r="V24" s="99"/>
      <c r="W24" s="99"/>
      <c r="X24" s="99"/>
      <c r="Y24" s="99"/>
      <c r="Z24" s="99"/>
      <c r="AA24" s="99"/>
      <c r="AB24" s="99"/>
      <c r="AC24" s="99"/>
      <c r="AD24" s="99"/>
      <c r="AE24" s="183">
        <v>19.95</v>
      </c>
      <c r="AF24" s="183"/>
      <c r="AG24" s="183"/>
      <c r="AH24" s="99"/>
      <c r="AI24" s="99"/>
      <c r="AJ24" s="99"/>
      <c r="AK24" s="99"/>
      <c r="AL24" s="99"/>
      <c r="AM24" s="99"/>
      <c r="AN24" s="99"/>
      <c r="AO24" s="99" t="s">
        <v>661</v>
      </c>
      <c r="AP24" s="100" t="s">
        <v>655</v>
      </c>
      <c r="AQ24" s="100"/>
      <c r="AR24" s="100"/>
      <c r="AS24" s="102">
        <v>10</v>
      </c>
      <c r="AT24" s="100">
        <v>12</v>
      </c>
      <c r="AU24" s="100" t="s">
        <v>655</v>
      </c>
      <c r="AV24" s="99"/>
      <c r="AW24" s="100">
        <v>0</v>
      </c>
      <c r="AX24" s="100">
        <v>0</v>
      </c>
      <c r="AY24" s="100">
        <v>7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0</v>
      </c>
      <c r="BI24" s="100"/>
      <c r="BJ24" s="100" t="s">
        <v>655</v>
      </c>
      <c r="BK24" s="100"/>
      <c r="BL24" s="100" t="s">
        <v>655</v>
      </c>
      <c r="BM24" s="100"/>
      <c r="BN24" s="100"/>
      <c r="BO24" s="100"/>
      <c r="BP24" s="100"/>
      <c r="BQ24" s="99"/>
      <c r="BR24" s="99"/>
      <c r="BS24" s="100"/>
      <c r="BT24" s="100" t="s">
        <v>735</v>
      </c>
      <c r="BU24" s="99"/>
      <c r="BV24" t="s">
        <v>570</v>
      </c>
      <c r="BW24" s="70" t="s">
        <v>588</v>
      </c>
    </row>
    <row r="25" spans="1:75" x14ac:dyDescent="0.15">
      <c r="A25" s="96">
        <v>961</v>
      </c>
      <c r="B25" s="167">
        <v>42185</v>
      </c>
      <c r="C25" s="181" t="s">
        <v>680</v>
      </c>
      <c r="D25" s="182" t="s">
        <v>663</v>
      </c>
      <c r="E25" s="160"/>
      <c r="F25" s="99" t="s">
        <v>681</v>
      </c>
      <c r="G25" s="165">
        <v>42185</v>
      </c>
      <c r="H25" s="100" t="s">
        <v>682</v>
      </c>
      <c r="I25" s="100" t="s">
        <v>683</v>
      </c>
      <c r="J25" s="100"/>
      <c r="K25" s="99" t="s">
        <v>684</v>
      </c>
      <c r="L25" s="99" t="s">
        <v>685</v>
      </c>
      <c r="M25" s="183">
        <v>88.8</v>
      </c>
      <c r="N25" s="183">
        <v>32.409090909090907</v>
      </c>
      <c r="O25" s="99" t="s">
        <v>686</v>
      </c>
      <c r="P25" s="101">
        <v>1000</v>
      </c>
      <c r="Q25" s="183">
        <v>33.25454545454545</v>
      </c>
      <c r="R25" s="101">
        <v>1000</v>
      </c>
      <c r="S25" s="183">
        <v>33.25454545454545</v>
      </c>
      <c r="T25" s="101">
        <v>1000</v>
      </c>
      <c r="U25" s="183">
        <v>33.25454545454545</v>
      </c>
      <c r="V25" s="99"/>
      <c r="W25" s="99"/>
      <c r="X25" s="99"/>
      <c r="Y25" s="99"/>
      <c r="Z25" s="99"/>
      <c r="AA25" s="99"/>
      <c r="AB25" s="99"/>
      <c r="AC25" s="99"/>
      <c r="AD25" s="99"/>
      <c r="AE25" s="183">
        <v>18.072727272727271</v>
      </c>
      <c r="AF25" s="183"/>
      <c r="AG25" s="183"/>
      <c r="AH25" s="99"/>
      <c r="AI25" s="99"/>
      <c r="AJ25" s="99"/>
      <c r="AK25" s="99"/>
      <c r="AL25" s="99"/>
      <c r="AM25" s="99"/>
      <c r="AN25" s="99"/>
      <c r="AO25" s="99" t="s">
        <v>767</v>
      </c>
      <c r="AP25" s="100" t="s">
        <v>683</v>
      </c>
      <c r="AQ25" s="100"/>
      <c r="AR25" s="100"/>
      <c r="AS25" s="102"/>
      <c r="AT25" s="100">
        <v>11.6</v>
      </c>
      <c r="AU25" s="100" t="s">
        <v>737</v>
      </c>
      <c r="AV25" s="99"/>
      <c r="AW25" s="100">
        <v>0</v>
      </c>
      <c r="AX25" s="100">
        <v>0</v>
      </c>
      <c r="AY25" s="100">
        <v>0</v>
      </c>
      <c r="AZ25" s="100">
        <v>0</v>
      </c>
      <c r="BA25" s="100">
        <v>0</v>
      </c>
      <c r="BB25" s="100">
        <v>0</v>
      </c>
      <c r="BC25" s="100">
        <v>0</v>
      </c>
      <c r="BD25" s="100">
        <v>0</v>
      </c>
      <c r="BE25" s="100">
        <v>0</v>
      </c>
      <c r="BF25" s="100">
        <v>0</v>
      </c>
      <c r="BG25" s="100">
        <v>0</v>
      </c>
      <c r="BH25" s="100">
        <v>0</v>
      </c>
      <c r="BI25" s="100"/>
      <c r="BJ25" s="100" t="s">
        <v>683</v>
      </c>
      <c r="BK25" s="100"/>
      <c r="BL25" s="100" t="s">
        <v>683</v>
      </c>
      <c r="BM25" s="100"/>
      <c r="BN25" s="100"/>
      <c r="BO25" s="100"/>
      <c r="BP25" s="100"/>
      <c r="BQ25" s="99"/>
      <c r="BR25" s="99"/>
      <c r="BS25" s="100"/>
      <c r="BT25" s="100" t="s">
        <v>738</v>
      </c>
      <c r="BU25" s="99"/>
      <c r="BV25" s="156" t="s">
        <v>768</v>
      </c>
      <c r="BW25" s="70" t="s">
        <v>426</v>
      </c>
    </row>
    <row r="26" spans="1:75" x14ac:dyDescent="0.15">
      <c r="A26" s="96">
        <v>10288</v>
      </c>
      <c r="B26" s="167">
        <v>42186</v>
      </c>
      <c r="C26" s="181" t="s">
        <v>651</v>
      </c>
      <c r="D26" s="182" t="s">
        <v>663</v>
      </c>
      <c r="E26" s="160"/>
      <c r="F26" s="99" t="s">
        <v>660</v>
      </c>
      <c r="G26" s="165">
        <v>42185</v>
      </c>
      <c r="H26" s="100" t="s">
        <v>654</v>
      </c>
      <c r="I26" s="100" t="s">
        <v>655</v>
      </c>
      <c r="J26" s="100"/>
      <c r="K26" s="99" t="s">
        <v>687</v>
      </c>
      <c r="L26" s="99" t="s">
        <v>688</v>
      </c>
      <c r="M26" s="183">
        <v>77.999999999999986</v>
      </c>
      <c r="N26" s="183">
        <v>37</v>
      </c>
      <c r="O26" s="99"/>
      <c r="P26" s="101"/>
      <c r="Q26" s="183" t="s">
        <v>725</v>
      </c>
      <c r="R26" s="101"/>
      <c r="S26" s="183" t="s">
        <v>725</v>
      </c>
      <c r="T26" s="101"/>
      <c r="U26" s="183" t="s">
        <v>725</v>
      </c>
      <c r="V26" s="99"/>
      <c r="W26" s="99"/>
      <c r="X26" s="101"/>
      <c r="Y26" s="99"/>
      <c r="Z26" s="101"/>
      <c r="AA26" s="99"/>
      <c r="AB26" s="101"/>
      <c r="AC26" s="99"/>
      <c r="AD26" s="99"/>
      <c r="AE26" s="183">
        <v>20.081818181818178</v>
      </c>
      <c r="AF26" s="183"/>
      <c r="AG26" s="183"/>
      <c r="AH26" s="99"/>
      <c r="AI26" s="99"/>
      <c r="AJ26" s="99"/>
      <c r="AK26" s="99"/>
      <c r="AL26" s="99"/>
      <c r="AM26" s="99"/>
      <c r="AN26" s="99"/>
      <c r="AO26" s="99" t="s">
        <v>661</v>
      </c>
      <c r="AP26" s="100" t="s">
        <v>655</v>
      </c>
      <c r="AQ26" s="100"/>
      <c r="AR26" s="100"/>
      <c r="AS26" s="102"/>
      <c r="AT26" s="100">
        <v>15</v>
      </c>
      <c r="AU26" s="100" t="s">
        <v>740</v>
      </c>
      <c r="AV26" s="99"/>
      <c r="AW26" s="100">
        <v>6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0</v>
      </c>
      <c r="BI26" s="100"/>
      <c r="BJ26" s="100" t="s">
        <v>655</v>
      </c>
      <c r="BK26" s="100">
        <v>12</v>
      </c>
      <c r="BL26" s="100" t="s">
        <v>655</v>
      </c>
      <c r="BM26" s="100"/>
      <c r="BN26" s="100"/>
      <c r="BO26" s="100">
        <v>12</v>
      </c>
      <c r="BP26" s="100"/>
      <c r="BQ26" s="99"/>
      <c r="BR26" s="99"/>
      <c r="BS26" s="100"/>
      <c r="BT26" s="100" t="s">
        <v>735</v>
      </c>
      <c r="BU26" s="99"/>
      <c r="BV26" t="s">
        <v>769</v>
      </c>
      <c r="BW26" s="70" t="s">
        <v>729</v>
      </c>
    </row>
    <row r="27" spans="1:75" x14ac:dyDescent="0.15">
      <c r="A27" s="96">
        <v>8200</v>
      </c>
      <c r="B27" s="167">
        <v>42186</v>
      </c>
      <c r="C27" s="181" t="s">
        <v>689</v>
      </c>
      <c r="D27" s="182" t="s">
        <v>663</v>
      </c>
      <c r="E27" s="160"/>
      <c r="F27" s="99" t="s">
        <v>690</v>
      </c>
      <c r="G27" s="164">
        <v>42185</v>
      </c>
      <c r="H27" s="100" t="s">
        <v>691</v>
      </c>
      <c r="I27" s="100" t="s">
        <v>692</v>
      </c>
      <c r="J27" s="100"/>
      <c r="K27" s="99" t="s">
        <v>693</v>
      </c>
      <c r="L27" s="182" t="s">
        <v>694</v>
      </c>
      <c r="M27" s="183">
        <v>92</v>
      </c>
      <c r="N27" s="183">
        <v>32.172727272727272</v>
      </c>
      <c r="O27" s="99"/>
      <c r="P27" s="101"/>
      <c r="Q27" s="183" t="s">
        <v>725</v>
      </c>
      <c r="R27" s="101"/>
      <c r="S27" s="183" t="s">
        <v>725</v>
      </c>
      <c r="T27" s="101"/>
      <c r="U27" s="183" t="s">
        <v>725</v>
      </c>
      <c r="V27" s="99"/>
      <c r="W27" s="99"/>
      <c r="X27" s="99"/>
      <c r="Y27" s="99"/>
      <c r="Z27" s="99"/>
      <c r="AA27" s="99"/>
      <c r="AB27" s="99"/>
      <c r="AC27" s="99"/>
      <c r="AD27" s="99"/>
      <c r="AE27" s="183">
        <v>18.68181818181818</v>
      </c>
      <c r="AF27" s="183"/>
      <c r="AG27" s="183"/>
      <c r="AH27" s="99"/>
      <c r="AI27" s="99"/>
      <c r="AJ27" s="99"/>
      <c r="AK27" s="99"/>
      <c r="AL27" s="99"/>
      <c r="AM27" s="99"/>
      <c r="AN27" s="99"/>
      <c r="AO27" t="s">
        <v>770</v>
      </c>
      <c r="AP27" s="100" t="s">
        <v>692</v>
      </c>
      <c r="AQ27" s="100"/>
      <c r="AR27" s="100"/>
      <c r="AS27" s="102"/>
      <c r="AT27" s="100">
        <v>16</v>
      </c>
      <c r="AU27" s="161" t="s">
        <v>638</v>
      </c>
      <c r="AV27" s="99"/>
      <c r="AW27" s="100">
        <v>0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>
        <v>0</v>
      </c>
      <c r="BH27" s="100">
        <v>0</v>
      </c>
      <c r="BI27" s="100"/>
      <c r="BJ27" s="100" t="s">
        <v>692</v>
      </c>
      <c r="BK27" s="100"/>
      <c r="BL27" s="100" t="s">
        <v>692</v>
      </c>
      <c r="BM27" s="100"/>
      <c r="BN27" s="100"/>
      <c r="BO27" s="100"/>
      <c r="BP27" s="100"/>
      <c r="BQ27" s="99" t="s">
        <v>743</v>
      </c>
      <c r="BR27" s="99" t="s">
        <v>64</v>
      </c>
      <c r="BS27" s="100">
        <v>50</v>
      </c>
      <c r="BT27" s="100" t="s">
        <v>744</v>
      </c>
      <c r="BU27" s="103" t="s">
        <v>745</v>
      </c>
      <c r="BV27" s="185" t="s">
        <v>771</v>
      </c>
      <c r="BW27" s="70" t="s">
        <v>426</v>
      </c>
    </row>
    <row r="28" spans="1:75" x14ac:dyDescent="0.15">
      <c r="A28" s="96">
        <v>987</v>
      </c>
      <c r="B28" s="167">
        <v>42187</v>
      </c>
      <c r="C28" s="181" t="s">
        <v>695</v>
      </c>
      <c r="D28" s="182" t="s">
        <v>663</v>
      </c>
      <c r="E28" s="160"/>
      <c r="F28" s="99" t="s">
        <v>696</v>
      </c>
      <c r="G28" s="165">
        <v>42185</v>
      </c>
      <c r="H28" s="100" t="s">
        <v>697</v>
      </c>
      <c r="I28" s="100" t="s">
        <v>698</v>
      </c>
      <c r="J28" s="100"/>
      <c r="K28" s="99" t="s">
        <v>699</v>
      </c>
      <c r="L28" s="99" t="s">
        <v>700</v>
      </c>
      <c r="M28" s="183">
        <v>102.73</v>
      </c>
      <c r="N28" s="183">
        <v>30.16</v>
      </c>
      <c r="O28" s="99"/>
      <c r="P28" s="101"/>
      <c r="Q28" s="183"/>
      <c r="R28" s="101"/>
      <c r="S28" s="183"/>
      <c r="T28" s="101"/>
      <c r="U28" s="183"/>
      <c r="V28" s="99"/>
      <c r="W28" s="99"/>
      <c r="X28" s="99"/>
      <c r="Y28" s="99"/>
      <c r="Z28" s="99"/>
      <c r="AA28" s="99"/>
      <c r="AB28" s="99"/>
      <c r="AC28" s="99"/>
      <c r="AD28" s="99"/>
      <c r="AE28" s="183">
        <v>18.77</v>
      </c>
      <c r="AF28" s="183"/>
      <c r="AG28" s="183"/>
      <c r="AH28" s="99"/>
      <c r="AI28" s="99"/>
      <c r="AJ28" s="99"/>
      <c r="AK28" s="99"/>
      <c r="AL28" s="99"/>
      <c r="AM28" s="99"/>
      <c r="AN28" s="99"/>
      <c r="AO28" s="99" t="s">
        <v>772</v>
      </c>
      <c r="AP28" s="100" t="s">
        <v>698</v>
      </c>
      <c r="AQ28" s="100"/>
      <c r="AR28" s="100"/>
      <c r="AS28" s="102"/>
      <c r="AT28" s="100"/>
      <c r="AU28" s="100" t="s">
        <v>698</v>
      </c>
      <c r="AV28" s="99"/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0</v>
      </c>
      <c r="BI28" s="100"/>
      <c r="BJ28" s="100" t="s">
        <v>698</v>
      </c>
      <c r="BK28" s="100"/>
      <c r="BL28" s="100" t="s">
        <v>698</v>
      </c>
      <c r="BM28" s="100"/>
      <c r="BN28" s="100"/>
      <c r="BO28" s="100"/>
      <c r="BP28" s="100"/>
      <c r="BQ28" s="99"/>
      <c r="BR28" s="99"/>
      <c r="BS28" s="100"/>
      <c r="BT28" s="100" t="s">
        <v>748</v>
      </c>
      <c r="BU28" s="99"/>
      <c r="BV28" s="156" t="s">
        <v>570</v>
      </c>
      <c r="BW28" s="157" t="s">
        <v>426</v>
      </c>
    </row>
    <row r="29" spans="1:75" x14ac:dyDescent="0.15">
      <c r="A29" s="96">
        <v>10576</v>
      </c>
      <c r="B29" s="167">
        <v>42186</v>
      </c>
      <c r="C29" s="181" t="s">
        <v>662</v>
      </c>
      <c r="D29" s="182" t="s">
        <v>663</v>
      </c>
      <c r="E29" s="160"/>
      <c r="F29" s="99" t="s">
        <v>664</v>
      </c>
      <c r="G29" s="164">
        <v>42185</v>
      </c>
      <c r="H29" s="100" t="s">
        <v>665</v>
      </c>
      <c r="I29" s="100" t="s">
        <v>666</v>
      </c>
      <c r="J29" s="100"/>
      <c r="K29" s="99" t="s">
        <v>702</v>
      </c>
      <c r="L29" s="99" t="s">
        <v>703</v>
      </c>
      <c r="M29" s="183">
        <v>82.554545454545448</v>
      </c>
      <c r="N29" s="183">
        <v>36.581818181818178</v>
      </c>
      <c r="O29" s="99" t="s">
        <v>671</v>
      </c>
      <c r="P29" s="101">
        <v>1000</v>
      </c>
      <c r="Q29" s="183">
        <v>39.036363636363632</v>
      </c>
      <c r="R29" s="101">
        <v>1000</v>
      </c>
      <c r="S29" s="183">
        <v>39.036363636363632</v>
      </c>
      <c r="T29" s="101">
        <v>1000</v>
      </c>
      <c r="U29" s="183">
        <v>39.036363636363632</v>
      </c>
      <c r="V29" s="99"/>
      <c r="W29" s="99"/>
      <c r="X29" s="99"/>
      <c r="Y29" s="99"/>
      <c r="Z29" s="101"/>
      <c r="AA29" s="99"/>
      <c r="AB29" s="101"/>
      <c r="AC29" s="99"/>
      <c r="AD29" s="99"/>
      <c r="AE29" s="183">
        <v>19.854545454545452</v>
      </c>
      <c r="AF29" s="183"/>
      <c r="AG29" s="183"/>
      <c r="AH29" s="99"/>
      <c r="AI29" s="99"/>
      <c r="AJ29" s="99"/>
      <c r="AK29" s="99"/>
      <c r="AL29" s="99"/>
      <c r="AM29" s="99"/>
      <c r="AN29" s="99"/>
      <c r="AO29" s="99" t="s">
        <v>764</v>
      </c>
      <c r="AP29" s="100" t="s">
        <v>666</v>
      </c>
      <c r="AQ29" s="100"/>
      <c r="AR29" s="100"/>
      <c r="AS29" s="102"/>
      <c r="AT29" s="100">
        <v>10</v>
      </c>
      <c r="AU29" s="100" t="s">
        <v>727</v>
      </c>
      <c r="AV29" s="99"/>
      <c r="AW29" s="100">
        <v>12</v>
      </c>
      <c r="AX29" s="100">
        <v>0</v>
      </c>
      <c r="AY29" s="100">
        <v>0</v>
      </c>
      <c r="AZ29" s="100">
        <v>0</v>
      </c>
      <c r="BA29" s="100">
        <v>0</v>
      </c>
      <c r="BB29" s="100">
        <v>0</v>
      </c>
      <c r="BC29" s="100">
        <v>0</v>
      </c>
      <c r="BD29" s="100">
        <v>0</v>
      </c>
      <c r="BE29" s="100">
        <v>0</v>
      </c>
      <c r="BF29" s="100">
        <v>0</v>
      </c>
      <c r="BG29" s="100">
        <v>0</v>
      </c>
      <c r="BH29" s="100">
        <v>0</v>
      </c>
      <c r="BI29" s="100"/>
      <c r="BJ29" s="100" t="s">
        <v>666</v>
      </c>
      <c r="BK29" s="100">
        <v>12</v>
      </c>
      <c r="BL29" s="100" t="s">
        <v>666</v>
      </c>
      <c r="BM29" s="100"/>
      <c r="BN29" s="100"/>
      <c r="BO29" s="100"/>
      <c r="BP29" s="100"/>
      <c r="BQ29" s="103"/>
      <c r="BR29" s="103"/>
      <c r="BS29" s="100"/>
      <c r="BT29" s="100" t="s">
        <v>728</v>
      </c>
      <c r="BU29" s="186"/>
      <c r="BV29" s="156" t="s">
        <v>570</v>
      </c>
      <c r="BW29" s="156" t="s">
        <v>729</v>
      </c>
    </row>
    <row r="30" spans="1:75" x14ac:dyDescent="0.15">
      <c r="A30" s="96">
        <v>10361</v>
      </c>
      <c r="B30" s="167">
        <v>42187</v>
      </c>
      <c r="C30" s="181" t="s">
        <v>651</v>
      </c>
      <c r="D30" s="182" t="s">
        <v>663</v>
      </c>
      <c r="E30" s="160"/>
      <c r="F30" s="99" t="s">
        <v>660</v>
      </c>
      <c r="G30" s="165">
        <v>42185</v>
      </c>
      <c r="H30" s="100" t="s">
        <v>654</v>
      </c>
      <c r="I30" s="100" t="s">
        <v>655</v>
      </c>
      <c r="J30" s="100"/>
      <c r="K30" s="99" t="s">
        <v>704</v>
      </c>
      <c r="L30" s="99" t="s">
        <v>705</v>
      </c>
      <c r="M30" s="183">
        <v>80.999999999999986</v>
      </c>
      <c r="N30" s="183">
        <v>36.709090909090911</v>
      </c>
      <c r="O30" s="99"/>
      <c r="P30" s="101"/>
      <c r="Q30" s="183" t="s">
        <v>725</v>
      </c>
      <c r="R30" s="101"/>
      <c r="S30" s="183" t="s">
        <v>725</v>
      </c>
      <c r="T30" s="101"/>
      <c r="U30" s="183" t="s">
        <v>725</v>
      </c>
      <c r="V30" s="99"/>
      <c r="W30" s="99"/>
      <c r="X30" s="99"/>
      <c r="Y30" s="99"/>
      <c r="Z30" s="101"/>
      <c r="AA30" s="99"/>
      <c r="AB30" s="101"/>
      <c r="AC30" s="99"/>
      <c r="AD30" s="99"/>
      <c r="AE30" s="183">
        <v>20.109090909090909</v>
      </c>
      <c r="AF30" s="183"/>
      <c r="AG30" s="183"/>
      <c r="AH30" s="99"/>
      <c r="AI30" s="99"/>
      <c r="AJ30" s="99"/>
      <c r="AK30" s="99"/>
      <c r="AL30" s="99"/>
      <c r="AM30" s="99"/>
      <c r="AN30" s="99"/>
      <c r="AO30" s="99" t="s">
        <v>661</v>
      </c>
      <c r="AP30" s="100" t="s">
        <v>655</v>
      </c>
      <c r="AQ30" s="100"/>
      <c r="AR30" s="100"/>
      <c r="AS30" s="102"/>
      <c r="AT30" s="100">
        <v>16.3</v>
      </c>
      <c r="AU30" s="100" t="s">
        <v>740</v>
      </c>
      <c r="AV30" s="99"/>
      <c r="AW30" s="100">
        <v>12</v>
      </c>
      <c r="AX30" s="100">
        <v>0</v>
      </c>
      <c r="AY30" s="100">
        <v>0</v>
      </c>
      <c r="AZ30" s="100">
        <v>0</v>
      </c>
      <c r="BA30" s="100">
        <v>0</v>
      </c>
      <c r="BB30" s="100">
        <v>0</v>
      </c>
      <c r="BC30" s="100">
        <v>0</v>
      </c>
      <c r="BD30" s="100">
        <v>0</v>
      </c>
      <c r="BE30" s="100">
        <v>0</v>
      </c>
      <c r="BF30" s="100">
        <v>0</v>
      </c>
      <c r="BG30" s="100">
        <v>0</v>
      </c>
      <c r="BH30" s="100">
        <v>0</v>
      </c>
      <c r="BI30" s="100"/>
      <c r="BJ30" s="100" t="s">
        <v>655</v>
      </c>
      <c r="BK30" s="100">
        <v>24</v>
      </c>
      <c r="BL30" s="100" t="s">
        <v>655</v>
      </c>
      <c r="BM30" s="100"/>
      <c r="BN30" s="100"/>
      <c r="BO30" s="100"/>
      <c r="BP30" s="100"/>
      <c r="BQ30" s="99"/>
      <c r="BR30" s="99"/>
      <c r="BS30" s="100"/>
      <c r="BT30" s="100" t="s">
        <v>735</v>
      </c>
      <c r="BU30" s="182" t="s">
        <v>749</v>
      </c>
      <c r="BV30" s="185" t="s">
        <v>773</v>
      </c>
      <c r="BW30" t="s">
        <v>729</v>
      </c>
    </row>
    <row r="31" spans="1:75" x14ac:dyDescent="0.15">
      <c r="A31" s="96">
        <v>1014</v>
      </c>
      <c r="B31" s="167">
        <v>42187</v>
      </c>
      <c r="C31" s="181" t="s">
        <v>680</v>
      </c>
      <c r="D31" s="182" t="s">
        <v>663</v>
      </c>
      <c r="E31" s="160"/>
      <c r="F31" s="99" t="s">
        <v>681</v>
      </c>
      <c r="G31" s="164">
        <v>42185</v>
      </c>
      <c r="H31" s="100" t="s">
        <v>682</v>
      </c>
      <c r="I31" s="100" t="s">
        <v>683</v>
      </c>
      <c r="J31" s="100"/>
      <c r="K31" s="99" t="s">
        <v>706</v>
      </c>
      <c r="L31" s="99" t="s">
        <v>707</v>
      </c>
      <c r="M31" s="183">
        <v>99.999999999999986</v>
      </c>
      <c r="N31" s="183">
        <v>34.972727272727269</v>
      </c>
      <c r="O31" s="99"/>
      <c r="P31" s="101"/>
      <c r="Q31" s="183"/>
      <c r="R31" s="101"/>
      <c r="S31" s="183"/>
      <c r="T31" s="101"/>
      <c r="U31" s="183"/>
      <c r="V31" s="99"/>
      <c r="W31" s="99"/>
      <c r="X31" s="101"/>
      <c r="Y31" s="99"/>
      <c r="Z31" s="101"/>
      <c r="AA31" s="99"/>
      <c r="AB31" s="101"/>
      <c r="AC31" s="99"/>
      <c r="AD31" s="99"/>
      <c r="AE31" s="183">
        <v>20.299999999999997</v>
      </c>
      <c r="AF31" s="183"/>
      <c r="AG31" s="183"/>
      <c r="AH31" s="99"/>
      <c r="AI31" s="99"/>
      <c r="AJ31" s="99"/>
      <c r="AK31" s="99"/>
      <c r="AL31" s="99"/>
      <c r="AM31" s="99"/>
      <c r="AN31" s="99"/>
      <c r="AO31" s="99" t="s">
        <v>767</v>
      </c>
      <c r="AP31" s="100" t="s">
        <v>683</v>
      </c>
      <c r="AQ31" s="100"/>
      <c r="AR31" s="100"/>
      <c r="AS31" s="102"/>
      <c r="AT31" s="100">
        <v>16</v>
      </c>
      <c r="AU31" s="100" t="s">
        <v>737</v>
      </c>
      <c r="AV31" s="99"/>
      <c r="AW31" s="100">
        <v>0</v>
      </c>
      <c r="AX31" s="100">
        <v>0</v>
      </c>
      <c r="AY31" s="100">
        <v>10</v>
      </c>
      <c r="AZ31" s="100">
        <v>0</v>
      </c>
      <c r="BA31" s="100">
        <v>0</v>
      </c>
      <c r="BB31" s="100">
        <v>0</v>
      </c>
      <c r="BC31" s="100">
        <v>0</v>
      </c>
      <c r="BD31" s="100">
        <v>0</v>
      </c>
      <c r="BE31" s="100">
        <v>0</v>
      </c>
      <c r="BF31" s="100">
        <v>0</v>
      </c>
      <c r="BG31" s="100">
        <v>0</v>
      </c>
      <c r="BH31" s="100">
        <v>0</v>
      </c>
      <c r="BI31" s="100"/>
      <c r="BJ31" s="100" t="s">
        <v>683</v>
      </c>
      <c r="BK31" s="100"/>
      <c r="BL31" s="100" t="s">
        <v>683</v>
      </c>
      <c r="BM31" s="100"/>
      <c r="BN31" s="100"/>
      <c r="BO31" s="100"/>
      <c r="BP31" s="100"/>
      <c r="BQ31" s="99"/>
      <c r="BR31" s="99"/>
      <c r="BS31" s="100"/>
      <c r="BT31" s="100" t="s">
        <v>738</v>
      </c>
      <c r="BU31" s="99"/>
      <c r="BV31" s="185" t="s">
        <v>774</v>
      </c>
      <c r="BW31" s="156" t="s">
        <v>426</v>
      </c>
    </row>
    <row r="32" spans="1:75" x14ac:dyDescent="0.15">
      <c r="A32" s="96">
        <v>10313</v>
      </c>
      <c r="B32" s="167">
        <v>42187</v>
      </c>
      <c r="C32" s="181" t="s">
        <v>680</v>
      </c>
      <c r="D32" s="182" t="s">
        <v>663</v>
      </c>
      <c r="E32" s="160"/>
      <c r="F32" s="99" t="s">
        <v>681</v>
      </c>
      <c r="G32" s="165">
        <v>41915</v>
      </c>
      <c r="H32" s="100" t="s">
        <v>682</v>
      </c>
      <c r="I32" s="100" t="s">
        <v>683</v>
      </c>
      <c r="J32" s="100"/>
      <c r="K32" s="99" t="s">
        <v>708</v>
      </c>
      <c r="L32" s="99" t="s">
        <v>709</v>
      </c>
      <c r="M32" s="183">
        <v>85.999999999999986</v>
      </c>
      <c r="N32" s="183">
        <v>29.990909090909092</v>
      </c>
      <c r="O32" s="99" t="s">
        <v>686</v>
      </c>
      <c r="P32" s="101">
        <v>1000</v>
      </c>
      <c r="Q32" s="183">
        <v>30.990909090909092</v>
      </c>
      <c r="R32" s="101">
        <v>1000</v>
      </c>
      <c r="S32" s="183">
        <v>30.990909090909092</v>
      </c>
      <c r="T32" s="101">
        <v>1000</v>
      </c>
      <c r="U32" s="183">
        <v>30.990909090909092</v>
      </c>
      <c r="V32" s="99"/>
      <c r="W32" s="99"/>
      <c r="X32" s="101"/>
      <c r="Y32" s="99"/>
      <c r="Z32" s="101"/>
      <c r="AA32" s="99"/>
      <c r="AB32" s="99"/>
      <c r="AC32" s="99"/>
      <c r="AD32" s="99"/>
      <c r="AE32" s="183">
        <v>23.990909090909089</v>
      </c>
      <c r="AF32" s="183"/>
      <c r="AG32" s="183"/>
      <c r="AH32" s="99"/>
      <c r="AI32" s="99"/>
      <c r="AJ32" s="99"/>
      <c r="AK32" s="99"/>
      <c r="AL32" s="99"/>
      <c r="AM32" s="99"/>
      <c r="AN32" s="99"/>
      <c r="AO32" s="99" t="s">
        <v>767</v>
      </c>
      <c r="AP32" s="100" t="s">
        <v>683</v>
      </c>
      <c r="AQ32" s="100"/>
      <c r="AR32" s="100"/>
      <c r="AS32" s="102"/>
      <c r="AT32" s="100">
        <v>9</v>
      </c>
      <c r="AU32" s="100" t="s">
        <v>737</v>
      </c>
      <c r="AV32" s="99"/>
      <c r="AW32" s="100">
        <v>0</v>
      </c>
      <c r="AX32" s="100">
        <v>0</v>
      </c>
      <c r="AY32" s="100">
        <v>0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/>
      <c r="BJ32" s="100" t="s">
        <v>683</v>
      </c>
      <c r="BK32" s="100"/>
      <c r="BL32" s="100" t="s">
        <v>683</v>
      </c>
      <c r="BM32" s="100"/>
      <c r="BN32" s="100"/>
      <c r="BO32" s="100"/>
      <c r="BP32" s="100"/>
      <c r="BQ32" s="99"/>
      <c r="BR32" s="99"/>
      <c r="BS32" s="100"/>
      <c r="BT32" s="100" t="s">
        <v>738</v>
      </c>
      <c r="BU32" s="99" t="s">
        <v>749</v>
      </c>
      <c r="BV32" s="185" t="s">
        <v>775</v>
      </c>
      <c r="BW32" s="70" t="s">
        <v>729</v>
      </c>
    </row>
    <row r="33" spans="1:75" x14ac:dyDescent="0.15">
      <c r="A33" s="96">
        <v>10484</v>
      </c>
      <c r="B33" s="167">
        <v>42186</v>
      </c>
      <c r="C33" s="181" t="s">
        <v>689</v>
      </c>
      <c r="D33" s="182" t="s">
        <v>663</v>
      </c>
      <c r="E33" s="160"/>
      <c r="F33" s="99" t="s">
        <v>690</v>
      </c>
      <c r="G33" s="165">
        <v>42185</v>
      </c>
      <c r="H33" s="100" t="s">
        <v>682</v>
      </c>
      <c r="I33" s="100" t="s">
        <v>683</v>
      </c>
      <c r="J33" s="100"/>
      <c r="K33" s="99" t="s">
        <v>710</v>
      </c>
      <c r="L33" s="99" t="s">
        <v>711</v>
      </c>
      <c r="M33" s="183">
        <v>87.172727272727272</v>
      </c>
      <c r="N33" s="183">
        <v>36.163636363636364</v>
      </c>
      <c r="O33" s="99"/>
      <c r="P33" s="101"/>
      <c r="Q33" s="183"/>
      <c r="R33" s="101"/>
      <c r="S33" s="183"/>
      <c r="T33" s="101"/>
      <c r="U33" s="183"/>
      <c r="V33" s="99"/>
      <c r="W33" s="99"/>
      <c r="X33" s="99"/>
      <c r="Y33" s="99"/>
      <c r="Z33" s="99"/>
      <c r="AA33" s="99"/>
      <c r="AB33" s="99"/>
      <c r="AC33" s="99"/>
      <c r="AD33" s="99"/>
      <c r="AE33" s="183">
        <v>20.172727272727272</v>
      </c>
      <c r="AF33" s="183"/>
      <c r="AG33" s="183"/>
      <c r="AH33" s="99"/>
      <c r="AI33" s="99"/>
      <c r="AJ33" s="99"/>
      <c r="AK33" s="99"/>
      <c r="AL33" s="99"/>
      <c r="AM33" s="99"/>
      <c r="AN33" s="99"/>
      <c r="AO33" s="99" t="s">
        <v>770</v>
      </c>
      <c r="AP33" s="100" t="s">
        <v>692</v>
      </c>
      <c r="AQ33" s="100"/>
      <c r="AR33" s="100"/>
      <c r="AS33" s="102"/>
      <c r="AT33" s="100">
        <v>15</v>
      </c>
      <c r="AU33" s="100" t="s">
        <v>683</v>
      </c>
      <c r="AV33" s="99"/>
      <c r="AW33" s="100">
        <v>0</v>
      </c>
      <c r="AX33" s="100">
        <v>0</v>
      </c>
      <c r="AY33" s="100">
        <v>0</v>
      </c>
      <c r="AZ33" s="100">
        <v>0</v>
      </c>
      <c r="BA33" s="100">
        <v>0</v>
      </c>
      <c r="BB33" s="100"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0</v>
      </c>
      <c r="BH33" s="100">
        <v>0</v>
      </c>
      <c r="BI33" s="100"/>
      <c r="BJ33" s="100" t="s">
        <v>683</v>
      </c>
      <c r="BK33" s="100"/>
      <c r="BL33" s="100" t="s">
        <v>683</v>
      </c>
      <c r="BM33" s="100"/>
      <c r="BN33" s="100"/>
      <c r="BO33" s="100"/>
      <c r="BP33" s="100"/>
      <c r="BQ33" s="99" t="s">
        <v>753</v>
      </c>
      <c r="BR33" s="99" t="s">
        <v>754</v>
      </c>
      <c r="BS33" s="100">
        <v>30</v>
      </c>
      <c r="BT33" s="100" t="s">
        <v>738</v>
      </c>
      <c r="BU33" s="99"/>
      <c r="BV33" t="s">
        <v>755</v>
      </c>
      <c r="BW33" s="156" t="s">
        <v>729</v>
      </c>
    </row>
    <row r="34" spans="1:75" x14ac:dyDescent="0.15">
      <c r="A34" s="96">
        <v>9707</v>
      </c>
      <c r="B34" s="167">
        <v>42185</v>
      </c>
      <c r="C34" s="181" t="s">
        <v>662</v>
      </c>
      <c r="D34" s="182" t="s">
        <v>663</v>
      </c>
      <c r="E34" s="160"/>
      <c r="F34" s="99" t="s">
        <v>664</v>
      </c>
      <c r="G34" s="165">
        <v>42185</v>
      </c>
      <c r="H34" s="100" t="s">
        <v>666</v>
      </c>
      <c r="I34" s="100" t="s">
        <v>712</v>
      </c>
      <c r="J34" s="100"/>
      <c r="K34" s="99" t="s">
        <v>614</v>
      </c>
      <c r="L34" s="182" t="s">
        <v>713</v>
      </c>
      <c r="M34" s="183">
        <v>70</v>
      </c>
      <c r="N34" s="183">
        <v>37</v>
      </c>
      <c r="O34" s="99" t="s">
        <v>671</v>
      </c>
      <c r="P34" s="101">
        <v>1000</v>
      </c>
      <c r="Q34" s="183">
        <v>39</v>
      </c>
      <c r="R34" s="101">
        <v>1000</v>
      </c>
      <c r="S34" s="183">
        <v>39</v>
      </c>
      <c r="T34" s="101">
        <v>1000</v>
      </c>
      <c r="U34" s="183">
        <v>39</v>
      </c>
      <c r="V34" s="99"/>
      <c r="W34" s="99"/>
      <c r="X34" s="99"/>
      <c r="Y34" s="99"/>
      <c r="Z34" s="99"/>
      <c r="AA34" s="99"/>
      <c r="AB34" s="99"/>
      <c r="AC34" s="99"/>
      <c r="AD34" s="99"/>
      <c r="AE34" s="183">
        <v>29.999999999999996</v>
      </c>
      <c r="AF34" s="183"/>
      <c r="AG34" s="183"/>
      <c r="AH34" s="99"/>
      <c r="AI34" s="99"/>
      <c r="AJ34" s="99"/>
      <c r="AK34" s="99"/>
      <c r="AL34" s="99"/>
      <c r="AM34" s="99"/>
      <c r="AN34" s="99"/>
      <c r="AO34" s="99" t="s">
        <v>764</v>
      </c>
      <c r="AP34" s="100" t="s">
        <v>666</v>
      </c>
      <c r="AQ34" s="100"/>
      <c r="AR34" s="100"/>
      <c r="AS34" s="102"/>
      <c r="AT34" s="100"/>
      <c r="AU34" s="100" t="s">
        <v>666</v>
      </c>
      <c r="AV34" s="99"/>
      <c r="AW34" s="100">
        <v>0</v>
      </c>
      <c r="AX34" s="100">
        <v>0</v>
      </c>
      <c r="AY34" s="100">
        <v>0</v>
      </c>
      <c r="AZ34" s="100">
        <v>0</v>
      </c>
      <c r="BA34" s="100">
        <v>0</v>
      </c>
      <c r="BB34" s="100">
        <v>0</v>
      </c>
      <c r="BC34" s="100">
        <v>0</v>
      </c>
      <c r="BD34" s="100">
        <v>0</v>
      </c>
      <c r="BE34" s="100">
        <v>0</v>
      </c>
      <c r="BF34" s="100">
        <v>0</v>
      </c>
      <c r="BG34" s="100">
        <v>0</v>
      </c>
      <c r="BH34" s="100">
        <v>0</v>
      </c>
      <c r="BI34" s="100"/>
      <c r="BJ34" s="100" t="s">
        <v>666</v>
      </c>
      <c r="BK34" s="100"/>
      <c r="BL34" s="100" t="s">
        <v>666</v>
      </c>
      <c r="BM34" s="100"/>
      <c r="BN34" s="100"/>
      <c r="BO34" s="100"/>
      <c r="BP34" s="100"/>
      <c r="BQ34" s="103"/>
      <c r="BR34" s="99"/>
      <c r="BS34" s="100"/>
      <c r="BT34" s="100" t="s">
        <v>728</v>
      </c>
      <c r="BU34" s="99" t="s">
        <v>644</v>
      </c>
      <c r="BV34" t="s">
        <v>776</v>
      </c>
      <c r="BW34" s="156" t="s">
        <v>588</v>
      </c>
    </row>
    <row r="35" spans="1:75" x14ac:dyDescent="0.15">
      <c r="A35" s="96">
        <v>10702</v>
      </c>
      <c r="B35" s="167">
        <v>42186</v>
      </c>
      <c r="C35" s="181" t="s">
        <v>689</v>
      </c>
      <c r="D35" s="182" t="s">
        <v>663</v>
      </c>
      <c r="E35" s="160"/>
      <c r="F35" s="99" t="s">
        <v>690</v>
      </c>
      <c r="G35" s="165">
        <v>42185</v>
      </c>
      <c r="H35" s="100" t="s">
        <v>691</v>
      </c>
      <c r="I35" s="100" t="s">
        <v>692</v>
      </c>
      <c r="J35" s="100"/>
      <c r="K35" s="182" t="s">
        <v>714</v>
      </c>
      <c r="L35" s="182" t="s">
        <v>715</v>
      </c>
      <c r="M35" s="183">
        <v>108.29</v>
      </c>
      <c r="N35" s="183">
        <v>34.18181818181818</v>
      </c>
      <c r="O35" s="99"/>
      <c r="P35" s="101"/>
      <c r="Q35" s="183" t="s">
        <v>725</v>
      </c>
      <c r="R35" s="101"/>
      <c r="S35" s="183" t="s">
        <v>725</v>
      </c>
      <c r="T35" s="101"/>
      <c r="U35" s="183" t="s">
        <v>725</v>
      </c>
      <c r="V35" s="99"/>
      <c r="W35" s="99"/>
      <c r="X35" s="101"/>
      <c r="Y35" s="99"/>
      <c r="Z35" s="101"/>
      <c r="AA35" s="99"/>
      <c r="AB35" s="101"/>
      <c r="AC35" s="99"/>
      <c r="AD35" s="99"/>
      <c r="AE35" s="183">
        <v>20.454545454545453</v>
      </c>
      <c r="AF35" s="183"/>
      <c r="AG35" s="183"/>
      <c r="AH35" s="99"/>
      <c r="AI35" s="99"/>
      <c r="AJ35" s="99"/>
      <c r="AK35" s="99"/>
      <c r="AL35" s="99"/>
      <c r="AM35" s="99"/>
      <c r="AN35" s="99"/>
      <c r="AO35" s="99" t="s">
        <v>770</v>
      </c>
      <c r="AP35" s="100" t="s">
        <v>692</v>
      </c>
      <c r="AQ35" s="100"/>
      <c r="AR35" s="100"/>
      <c r="AS35" s="102"/>
      <c r="AT35" s="100">
        <v>10.199999999999999</v>
      </c>
      <c r="AU35" s="100" t="s">
        <v>759</v>
      </c>
      <c r="AV35" s="99"/>
      <c r="AW35" s="100">
        <v>0</v>
      </c>
      <c r="AX35" s="100">
        <v>0</v>
      </c>
      <c r="AY35" s="100">
        <v>15</v>
      </c>
      <c r="AZ35" s="100">
        <v>0</v>
      </c>
      <c r="BA35" s="100">
        <v>0</v>
      </c>
      <c r="BB35" s="100">
        <v>0</v>
      </c>
      <c r="BC35" s="100">
        <v>0</v>
      </c>
      <c r="BD35" s="100">
        <v>0</v>
      </c>
      <c r="BE35" s="100">
        <v>0</v>
      </c>
      <c r="BF35" s="100">
        <v>0</v>
      </c>
      <c r="BG35" s="100">
        <v>0</v>
      </c>
      <c r="BH35" s="100">
        <v>0</v>
      </c>
      <c r="BI35" s="100"/>
      <c r="BJ35" s="100" t="s">
        <v>692</v>
      </c>
      <c r="BK35" s="100"/>
      <c r="BL35" s="100" t="s">
        <v>692</v>
      </c>
      <c r="BM35" s="100"/>
      <c r="BN35" s="100"/>
      <c r="BO35" s="100"/>
      <c r="BP35" s="100"/>
      <c r="BQ35" s="103"/>
      <c r="BR35" s="103"/>
      <c r="BS35" s="100"/>
      <c r="BT35" s="100" t="s">
        <v>744</v>
      </c>
      <c r="BU35" s="182" t="s">
        <v>760</v>
      </c>
      <c r="BV35" s="185" t="s">
        <v>761</v>
      </c>
      <c r="BW35" t="s">
        <v>729</v>
      </c>
    </row>
  </sheetData>
  <sheetProtection algorithmName="SHA-512" hashValue="4tyC7qqrulMLhru49Tn20h8LnnkG2vmDNQ4ExrVjjuR2HNQ0wheHR5sxT//ltxh9RjHG/rLf95B+l4+53V7f7Q==" saltValue="seOlKsaMcvyPfn1sgjIvFQ==" spinCount="100000" sheet="1" objects="1" scenarios="1"/>
  <hyperlinks>
    <hyperlink ref="BV14" r:id="rId1" xr:uid="{077B2787-1557-FB45-B235-0E8523E5D15A}"/>
    <hyperlink ref="BV12" r:id="rId2" xr:uid="{EE16CA37-C83B-AD4B-B506-E9592D4F61BB}"/>
    <hyperlink ref="BV13" r:id="rId3" xr:uid="{31A43E15-701E-CC44-99F7-E4D1FACCEFC9}"/>
    <hyperlink ref="BV16" r:id="rId4" xr:uid="{2492551D-862A-C64E-B167-A5075DCAF070}"/>
    <hyperlink ref="BV5" r:id="rId5" xr:uid="{7EBC5E13-B356-684E-8AAB-564CEC1DBEFE}"/>
    <hyperlink ref="BV9" r:id="rId6" xr:uid="{642C6661-9A5C-884D-B566-F93AA5F6D967}"/>
    <hyperlink ref="BV17" r:id="rId7" xr:uid="{51ECC03C-EB37-BB45-8B02-96CBAA5EB641}"/>
    <hyperlink ref="BV4" r:id="rId8" xr:uid="{78E03CE4-0736-9248-B6AF-E8241A4E373A}"/>
    <hyperlink ref="BV32" r:id="rId9" xr:uid="{7ECEE3B0-5E34-A74C-81D5-A127B6EEA691}"/>
    <hyperlink ref="BV30" r:id="rId10" xr:uid="{8703058C-7682-6146-82D5-A2E034E5F93E}"/>
    <hyperlink ref="BV31" r:id="rId11" xr:uid="{73224E8D-C069-4340-BD1F-CC9513A0759D}"/>
    <hyperlink ref="BV23" r:id="rId12" xr:uid="{C71DD645-9184-9B4A-9BFF-980A9980F937}"/>
    <hyperlink ref="BV27" r:id="rId13" xr:uid="{D047057A-7CBF-AD42-8150-E663E9776986}"/>
    <hyperlink ref="BV35" r:id="rId14" xr:uid="{6489C35B-C9FE-744E-A10E-63A36B75DCF5}"/>
    <hyperlink ref="BV22" r:id="rId15" xr:uid="{28B85127-04A6-CB48-A472-1333CC773C13}"/>
    <hyperlink ref="BV19" r:id="rId16" xr:uid="{FADD34EF-62B1-964A-BC47-AC8B3CE1A5DE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DBBD3-E73E-8745-9297-A2B2AC5D5FC3}">
  <sheetPr codeName="Sheet26"/>
  <dimension ref="A1:TH10174"/>
  <sheetViews>
    <sheetView tabSelected="1" topLeftCell="A2" zoomScale="150" zoomScaleNormal="150" workbookViewId="0">
      <selection activeCell="Q2" sqref="Q1:T1048576"/>
    </sheetView>
  </sheetViews>
  <sheetFormatPr baseColWidth="10" defaultRowHeight="14" x14ac:dyDescent="0.15"/>
  <cols>
    <col min="1" max="1" width="20.33203125" style="219" customWidth="1"/>
    <col min="2" max="2" width="21.6640625" style="219" bestFit="1" customWidth="1"/>
    <col min="3" max="9" width="11.83203125" style="219" customWidth="1"/>
    <col min="10" max="11" width="11.83203125" style="219" hidden="1" customWidth="1"/>
    <col min="12" max="16" width="11.83203125" style="219" customWidth="1"/>
    <col min="17" max="20" width="11.83203125" style="219" hidden="1" customWidth="1"/>
    <col min="21" max="22" width="11.83203125" style="219" customWidth="1"/>
    <col min="23" max="23" width="12.1640625" customWidth="1"/>
    <col min="529" max="16384" width="10.83203125" style="219"/>
  </cols>
  <sheetData>
    <row r="1" spans="1:40" customFormat="1" ht="13" x14ac:dyDescent="0.15">
      <c r="A1" s="306" t="s">
        <v>848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</row>
    <row r="2" spans="1:40" customFormat="1" ht="13" x14ac:dyDescent="0.15">
      <c r="A2" s="306" t="s">
        <v>849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</row>
    <row r="3" spans="1:40" customFormat="1" thickBot="1" x14ac:dyDescent="0.2">
      <c r="A3" s="306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</row>
    <row r="4" spans="1:40" x14ac:dyDescent="0.15">
      <c r="A4" s="116" t="s">
        <v>850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</row>
    <row r="5" spans="1:40" x14ac:dyDescent="0.15">
      <c r="A5" s="119" t="s">
        <v>851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</row>
    <row r="6" spans="1:40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</row>
    <row r="7" spans="1:40" ht="75" x14ac:dyDescent="0.15">
      <c r="A7" s="239" t="s">
        <v>278</v>
      </c>
      <c r="B7" s="240" t="s">
        <v>73</v>
      </c>
      <c r="C7" s="248" t="s">
        <v>74</v>
      </c>
      <c r="D7" s="248" t="s">
        <v>852</v>
      </c>
      <c r="E7" s="248" t="s">
        <v>853</v>
      </c>
      <c r="F7" s="248" t="s">
        <v>854</v>
      </c>
      <c r="G7" s="248" t="s">
        <v>855</v>
      </c>
      <c r="H7" s="248" t="s">
        <v>856</v>
      </c>
      <c r="I7" s="248" t="s">
        <v>958</v>
      </c>
      <c r="J7" s="249" t="s">
        <v>857</v>
      </c>
      <c r="K7" s="249" t="s">
        <v>172</v>
      </c>
      <c r="L7" s="242" t="s">
        <v>858</v>
      </c>
      <c r="M7" s="243" t="s">
        <v>174</v>
      </c>
      <c r="N7" s="243" t="s">
        <v>175</v>
      </c>
      <c r="O7" s="243" t="s">
        <v>76</v>
      </c>
      <c r="P7" s="243" t="s">
        <v>77</v>
      </c>
      <c r="Q7" s="251" t="s">
        <v>859</v>
      </c>
      <c r="R7" s="251" t="s">
        <v>860</v>
      </c>
      <c r="S7" s="250" t="s">
        <v>861</v>
      </c>
      <c r="T7" s="250" t="s">
        <v>862</v>
      </c>
      <c r="U7" s="244" t="s">
        <v>863</v>
      </c>
      <c r="V7" s="244" t="s">
        <v>864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</row>
    <row r="8" spans="1:40" x14ac:dyDescent="0.15">
      <c r="A8" s="199" t="str">
        <f>'Tariff Jul 2023'!K2</f>
        <v>AGL</v>
      </c>
      <c r="B8" s="200" t="str">
        <f>'Tariff Jul 2023'!L2</f>
        <v>Value Saver</v>
      </c>
      <c r="C8" s="201">
        <f>IF('Tariff Jul 2023'!BP2=0,91*'Tariff Jul 2023'!M2/100,(91*'Tariff Jul 2023'!M2/100)+'Tariff Jul 2023'!BP2/4)</f>
        <v>84.59690909090908</v>
      </c>
      <c r="D8" s="201">
        <f>IF('Tariff Jul 2023'!O2="",$C$5*'Tariff Jul 2023'!N2/100,IF($C$5&gt;='Tariff Jul 2023'!P2,('Tariff Jul 2023'!P2*'Tariff Jul 2023'!N2/100),($C$5*'Tariff Jul 2023'!N2/100)))</f>
        <v>591.95454545454527</v>
      </c>
      <c r="E8" s="201">
        <f>IF(AND('Tariff Jul 2023'!P2&gt;0,'Tariff Jul 2023'!R2&gt;0),IF($C$5&lt;'Tariff Jul 2023'!P2,0,IF($C$5&lt;=('Tariff Jul 2023'!R2+'Tariff Jul 2023'!P2),(($C$5-'Tariff Jul 2023'!P2)*'Tariff Jul 2023'!Q2/100),(('Tariff Jul 2023'!R2)*'Tariff Jul 2023'!Q2/100))),0)</f>
        <v>0</v>
      </c>
      <c r="F8" s="202">
        <f>IF(AND('Tariff Jul 2023'!Q2&gt;0,'Tariff Jul 2023'!S2&gt;0),IF($C$5&lt;('Tariff Jul 2023'!R2+'Tariff Jul 2023'!P2),0,IF($C$5&lt;=('Tariff Jul 2023'!T2+'Tariff Jul 2023'!R2+'Tariff Jul 2023'!P2),(($C$5-('Tariff Jul 2023'!R2+'Tariff Jul 2023'!P2))*'Tariff Jul 2023'!S2/100),('Tariff Jul 2023'!T2*'Tariff Jul 2023'!S2/100))),0)</f>
        <v>0</v>
      </c>
      <c r="G8" s="201">
        <v>0</v>
      </c>
      <c r="H8" s="201">
        <f>IF(AND('Tariff Jul 2023'!R2&gt;0,'Tariff Jul 2023'!T2&gt;0),IF(($C$5&lt;'Tariff Jul 2023'!T2),(0),($C$5-'Tariff Jul 2023'!T2)*'Tariff Jul 2023'!U2/100),IF(AND('Tariff Jul 2023'!R2&gt;0,'Tariff Jul 2023'!T2=""),IF(($C$5&lt;'Tariff Jul 2023'!R2+'Tariff Jul 2023'!P2),(0),(($C$5-('Tariff Jul 2023'!R2+'Tariff Jul 2023'!P2))*'Tariff Jul 2023'!S2/100)),IF(AND('Tariff Jul 2023'!P2&gt;0,'Tariff Jul 2023'!R2=""&gt;0),IF(($C$5&lt;'Tariff Jul 2023'!P2),(0),($C$5-'Tariff Jul 2023'!P2)*'Tariff Jul 2023'!Q2/100),0)))</f>
        <v>0</v>
      </c>
      <c r="I8" s="201">
        <f t="shared" ref="I8:I20" si="0">SUM(C8:H8)</f>
        <v>676.55145454545436</v>
      </c>
      <c r="J8" s="252">
        <f t="shared" ref="J8:J20" si="1">(I8-C8)*4</f>
        <v>2367.8181818181811</v>
      </c>
      <c r="K8" s="203">
        <f>I8*4</f>
        <v>2706.2058181818174</v>
      </c>
      <c r="L8" s="203">
        <f>K8*1.1</f>
        <v>2976.8263999999995</v>
      </c>
      <c r="M8" s="200">
        <f>'Tariff Jul 2023'!AZ2</f>
        <v>0</v>
      </c>
      <c r="N8" s="200">
        <f>'Tariff Jul 2023'!BA2</f>
        <v>0</v>
      </c>
      <c r="O8" s="200">
        <f>'Tariff Jul 2023'!BB2</f>
        <v>0</v>
      </c>
      <c r="P8" s="200">
        <f>'Tariff Jul 2023'!BC2</f>
        <v>0</v>
      </c>
      <c r="Q8" s="204" t="str">
        <f>IF(SUM(M8:P8)=0,"No discount",IF(M8&gt;0,"Guaranteed off bill",IF(N8&gt;0,"Guaranteed off usage",IF(O8&gt;0,"Pay-on-time off bill","Pay-on-time off usage"))))</f>
        <v>No discount</v>
      </c>
      <c r="R8" s="205" t="str">
        <f t="shared" ref="R8:R20" si="2">IF(OR(A8="Origin Energy",A8="Red Energy",A8="Powershop"),"Inclusive","Exclusive")</f>
        <v>Exclusive</v>
      </c>
      <c r="S8" s="254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2706.2058181818174</v>
      </c>
      <c r="T8" s="25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2706.2058181818174</v>
      </c>
      <c r="U8" s="259">
        <f>S8*1.1</f>
        <v>2976.8263999999995</v>
      </c>
      <c r="V8" s="259">
        <f>T8*1.1</f>
        <v>2976.8263999999995</v>
      </c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</row>
    <row r="9" spans="1:40" x14ac:dyDescent="0.15">
      <c r="A9" s="199" t="str">
        <f>'Tariff Jul 2023'!K3</f>
        <v>Alinta Energy</v>
      </c>
      <c r="B9" s="200" t="str">
        <f>'Tariff Jul 2023'!L3</f>
        <v>Home Deal</v>
      </c>
      <c r="C9" s="201">
        <f>IF('Tariff Jul 2023'!BP3=0,91*'Tariff Jul 2023'!M3/100,(91*'Tariff Jul 2023'!M3/100)+'Tariff Jul 2023'!BP3/4)</f>
        <v>84.208090909090899</v>
      </c>
      <c r="D9" s="201">
        <f>IF('Tariff Jul 2023'!O3="",$C$5*'Tariff Jul 2023'!N3/100,IF($C$5&gt;='Tariff Jul 2023'!P3,('Tariff Jul 2023'!P3*'Tariff Jul 2023'!N3/100),($C$5*'Tariff Jul 2023'!N3/100)))</f>
        <v>648.00000000000011</v>
      </c>
      <c r="E9" s="201">
        <f>IF(AND('Tariff Jul 2023'!P3&gt;0,'Tariff Jul 2023'!R3&gt;0),IF($C$5&lt;'Tariff Jul 2023'!P3,0,IF($C$5&lt;=('Tariff Jul 2023'!R3+'Tariff Jul 2023'!P3),(($C$5-'Tariff Jul 2023'!P3)*'Tariff Jul 2023'!Q3/100),(('Tariff Jul 2023'!R3)*'Tariff Jul 2023'!Q3/100))),0)</f>
        <v>0</v>
      </c>
      <c r="F9" s="202">
        <f>IF(AND('Tariff Jul 2023'!Q3&gt;0,'Tariff Jul 2023'!S3&gt;0),IF($C$5&lt;('Tariff Jul 2023'!R3+'Tariff Jul 2023'!P3),0,IF($C$5&lt;=('Tariff Jul 2023'!T3+'Tariff Jul 2023'!R3+'Tariff Jul 2023'!P3),(($C$5-('Tariff Jul 2023'!R3+'Tariff Jul 2023'!P3))*'Tariff Jul 2023'!S3/100),('Tariff Jul 2023'!T3*'Tariff Jul 2023'!S3/100))),0)</f>
        <v>0</v>
      </c>
      <c r="G9" s="201">
        <v>0</v>
      </c>
      <c r="H9" s="201">
        <f>IF(AND('Tariff Jul 2023'!R3&gt;0,'Tariff Jul 2023'!T3&gt;0),IF(($C$5&lt;'Tariff Jul 2023'!T3),(0),($C$5-'Tariff Jul 2023'!T3)*'Tariff Jul 2023'!U3/100),IF(AND('Tariff Jul 2023'!R3&gt;0,'Tariff Jul 2023'!T3=""),IF(($C$5&lt;'Tariff Jul 2023'!R3+'Tariff Jul 2023'!P3),(0),(($C$5-('Tariff Jul 2023'!R3+'Tariff Jul 2023'!P3))*'Tariff Jul 2023'!S3/100)),IF(AND('Tariff Jul 2023'!P3&gt;0,'Tariff Jul 2023'!R3=""&gt;0),IF(($C$5&lt;'Tariff Jul 2023'!P3),(0),($C$5-'Tariff Jul 2023'!P3)*'Tariff Jul 2023'!Q3/100),0)))</f>
        <v>0</v>
      </c>
      <c r="I9" s="201">
        <f t="shared" si="0"/>
        <v>732.20809090909097</v>
      </c>
      <c r="J9" s="252">
        <f t="shared" si="1"/>
        <v>2592.0000000000005</v>
      </c>
      <c r="K9" s="203">
        <f t="shared" ref="K9:K20" si="3">I9*4</f>
        <v>2928.8323636363639</v>
      </c>
      <c r="L9" s="203">
        <f t="shared" ref="L9:L20" si="4">K9*1.1</f>
        <v>3221.7156000000004</v>
      </c>
      <c r="M9" s="200">
        <f>'Tariff Jul 2023'!AZ3</f>
        <v>0</v>
      </c>
      <c r="N9" s="200">
        <f>'Tariff Jul 2023'!BA3</f>
        <v>0</v>
      </c>
      <c r="O9" s="200">
        <f>'Tariff Jul 2023'!BB3</f>
        <v>0</v>
      </c>
      <c r="P9" s="200">
        <f>'Tariff Jul 2023'!BC3</f>
        <v>0</v>
      </c>
      <c r="Q9" s="204" t="str">
        <f t="shared" ref="Q9:Q20" si="5">IF(SUM(M9:P9)=0,"No discount",IF(M9&gt;0,"Guaranteed off bill",IF(N9&gt;0,"Guaranteed off usage",IF(O9&gt;0,"Pay-on-time off bill","Pay-on-time off usage"))))</f>
        <v>No discount</v>
      </c>
      <c r="R9" s="205" t="str">
        <f t="shared" si="2"/>
        <v>Exclusive</v>
      </c>
      <c r="S9" s="254">
        <f t="shared" ref="S9:S20" si="6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2928.8323636363639</v>
      </c>
      <c r="T9" s="252">
        <f t="shared" ref="T9:T20" si="7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2928.8323636363639</v>
      </c>
      <c r="U9" s="260">
        <f t="shared" ref="U9:V20" si="8">S9*1.1</f>
        <v>3221.7156000000004</v>
      </c>
      <c r="V9" s="260">
        <f t="shared" si="8"/>
        <v>3221.7156000000004</v>
      </c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</row>
    <row r="10" spans="1:40" x14ac:dyDescent="0.15">
      <c r="A10" s="199" t="str">
        <f>'Tariff Jul 2023'!K4</f>
        <v>Diamond Energy</v>
      </c>
      <c r="B10" s="200" t="str">
        <f>'Tariff Jul 2023'!L4</f>
        <v>Renewable Saver</v>
      </c>
      <c r="C10" s="201">
        <f>IF('Tariff Jul 2023'!BP4=0,91*'Tariff Jul 2023'!M4/100,(91*'Tariff Jul 2023'!M4/100)+'Tariff Jul 2023'!BP4/4)</f>
        <v>72.8</v>
      </c>
      <c r="D10" s="201">
        <f>IF('Tariff Jul 2023'!O4="",$C$5*'Tariff Jul 2023'!N4/100,IF($C$5&gt;='Tariff Jul 2023'!P4,('Tariff Jul 2023'!P4*'Tariff Jul 2023'!N4/100),($C$5*'Tariff Jul 2023'!N4/100)))</f>
        <v>128.99999999999997</v>
      </c>
      <c r="E10" s="201">
        <f>IF(AND('Tariff Jul 2023'!P4&gt;0,'Tariff Jul 2023'!R4&gt;0),IF($C$5&lt;'Tariff Jul 2023'!P4,0,IF($C$5&lt;=('Tariff Jul 2023'!R4+'Tariff Jul 2023'!P4),(($C$5-'Tariff Jul 2023'!P4)*'Tariff Jul 2023'!Q4/100),(('Tariff Jul 2023'!R4)*'Tariff Jul 2023'!Q4/100))),0)</f>
        <v>186.00909090909087</v>
      </c>
      <c r="F10" s="202">
        <f>IF(AND('Tariff Jul 2023'!Q4&gt;0,'Tariff Jul 2023'!S4&gt;0),IF($C$5&lt;('Tariff Jul 2023'!R4+'Tariff Jul 2023'!P4),0,IF($C$5&lt;=('Tariff Jul 2023'!T4+'Tariff Jul 2023'!R4+'Tariff Jul 2023'!P4),(($C$5-('Tariff Jul 2023'!R4+'Tariff Jul 2023'!P4))*'Tariff Jul 2023'!S4/100),('Tariff Jul 2023'!T4*'Tariff Jul 2023'!S4/100))),0)</f>
        <v>244.99999999999997</v>
      </c>
      <c r="G10" s="201">
        <v>0</v>
      </c>
      <c r="H10" s="201">
        <f>IF(AND('Tariff Jul 2023'!R4&gt;0,'Tariff Jul 2023'!T4&gt;0),IF(($C$5&lt;'Tariff Jul 2023'!T4),(0),($C$5-'Tariff Jul 2023'!T4)*'Tariff Jul 2023'!U4/100),IF(AND('Tariff Jul 2023'!R4&gt;0,'Tariff Jul 2023'!T4=""),IF(($C$5&lt;'Tariff Jul 2023'!R4+'Tariff Jul 2023'!P4),(0),(($C$5-('Tariff Jul 2023'!R4+'Tariff Jul 2023'!P4))*'Tariff Jul 2023'!S4/100)),IF(AND('Tariff Jul 2023'!P4&gt;0,'Tariff Jul 2023'!R4=""&gt;0),IF(($C$5&lt;'Tariff Jul 2023'!P4),(0),($C$5-'Tariff Jul 2023'!P4)*'Tariff Jul 2023'!Q4/100),0)))</f>
        <v>0</v>
      </c>
      <c r="I10" s="201">
        <f t="shared" si="0"/>
        <v>632.80909090909086</v>
      </c>
      <c r="J10" s="252">
        <f t="shared" si="1"/>
        <v>2240.0363636363636</v>
      </c>
      <c r="K10" s="203">
        <f t="shared" si="3"/>
        <v>2531.2363636363634</v>
      </c>
      <c r="L10" s="203">
        <f t="shared" si="4"/>
        <v>2784.36</v>
      </c>
      <c r="M10" s="200">
        <f>'Tariff Jul 2023'!AZ4</f>
        <v>0</v>
      </c>
      <c r="N10" s="200">
        <f>'Tariff Jul 2023'!BA4</f>
        <v>0</v>
      </c>
      <c r="O10" s="200">
        <f>'Tariff Jul 2023'!BB4</f>
        <v>2</v>
      </c>
      <c r="P10" s="200">
        <f>'Tariff Jul 2023'!BC4</f>
        <v>0</v>
      </c>
      <c r="Q10" s="204" t="str">
        <f t="shared" si="5"/>
        <v>Pay-on-time off bill</v>
      </c>
      <c r="R10" s="205" t="str">
        <f t="shared" si="2"/>
        <v>Exclusive</v>
      </c>
      <c r="S10" s="254">
        <f t="shared" si="6"/>
        <v>2531.2363636363634</v>
      </c>
      <c r="T10" s="252">
        <f t="shared" si="7"/>
        <v>2480.6116363636361</v>
      </c>
      <c r="U10" s="260">
        <f t="shared" si="8"/>
        <v>2784.36</v>
      </c>
      <c r="V10" s="260">
        <f t="shared" si="8"/>
        <v>2728.6727999999998</v>
      </c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</row>
    <row r="11" spans="1:40" x14ac:dyDescent="0.15">
      <c r="A11" s="199" t="str">
        <f>'Tariff Jul 2023'!K5</f>
        <v>EnergyAustralia</v>
      </c>
      <c r="B11" s="200" t="str">
        <f>'Tariff Jul 2023'!L5</f>
        <v>Flexi Plan</v>
      </c>
      <c r="C11" s="201">
        <f>IF('Tariff Jul 2023'!BP5=0,91*'Tariff Jul 2023'!M5/100,(91*'Tariff Jul 2023'!M5/100)+'Tariff Jul 2023'!BP5/4)</f>
        <v>86.449999999999989</v>
      </c>
      <c r="D11" s="201">
        <f>IF('Tariff Jul 2023'!O5="",$C$5*'Tariff Jul 2023'!N5/100,IF($C$5&gt;='Tariff Jul 2023'!P5,('Tariff Jul 2023'!P5*'Tariff Jul 2023'!N5/100),($C$5*'Tariff Jul 2023'!N5/100)))</f>
        <v>644.72727272727263</v>
      </c>
      <c r="E11" s="201">
        <f>IF(AND('Tariff Jul 2023'!P5&gt;0,'Tariff Jul 2023'!R5&gt;0),IF($C$5&lt;'Tariff Jul 2023'!P5,0,IF($C$5&lt;=('Tariff Jul 2023'!R5+'Tariff Jul 2023'!P5),(($C$5-'Tariff Jul 2023'!P5)*'Tariff Jul 2023'!Q5/100),(('Tariff Jul 2023'!R5)*'Tariff Jul 2023'!Q5/100))),0)</f>
        <v>0</v>
      </c>
      <c r="F11" s="202">
        <f>IF(AND('Tariff Jul 2023'!Q5&gt;0,'Tariff Jul 2023'!S5&gt;0),IF($C$5&lt;('Tariff Jul 2023'!R5+'Tariff Jul 2023'!P5),0,IF($C$5&lt;=('Tariff Jul 2023'!T5+'Tariff Jul 2023'!R5+'Tariff Jul 2023'!P5),(($C$5-('Tariff Jul 2023'!R5+'Tariff Jul 2023'!P5))*'Tariff Jul 2023'!S5/100),('Tariff Jul 2023'!T5*'Tariff Jul 2023'!S5/100))),0)</f>
        <v>0</v>
      </c>
      <c r="G11" s="201">
        <v>0</v>
      </c>
      <c r="H11" s="201">
        <f>IF(AND('Tariff Jul 2023'!R5&gt;0,'Tariff Jul 2023'!T5&gt;0),IF(($C$5&lt;'Tariff Jul 2023'!T5),(0),($C$5-'Tariff Jul 2023'!T5)*'Tariff Jul 2023'!U5/100),IF(AND('Tariff Jul 2023'!R5&gt;0,'Tariff Jul 2023'!T5=""),IF(($C$5&lt;'Tariff Jul 2023'!R5+'Tariff Jul 2023'!P5),(0),(($C$5-('Tariff Jul 2023'!R5+'Tariff Jul 2023'!P5))*'Tariff Jul 2023'!S5/100)),IF(AND('Tariff Jul 2023'!P5&gt;0,'Tariff Jul 2023'!R5=""&gt;0),IF(($C$5&lt;'Tariff Jul 2023'!P5),(0),($C$5-'Tariff Jul 2023'!P5)*'Tariff Jul 2023'!Q5/100),0)))</f>
        <v>0</v>
      </c>
      <c r="I11" s="201">
        <f t="shared" si="0"/>
        <v>731.17727272727257</v>
      </c>
      <c r="J11" s="252">
        <f t="shared" si="1"/>
        <v>2578.9090909090901</v>
      </c>
      <c r="K11" s="203">
        <f t="shared" si="3"/>
        <v>2924.7090909090903</v>
      </c>
      <c r="L11" s="203">
        <f t="shared" si="4"/>
        <v>3217.1799999999994</v>
      </c>
      <c r="M11" s="200">
        <f>'Tariff Jul 2023'!AZ5</f>
        <v>0</v>
      </c>
      <c r="N11" s="200">
        <f>'Tariff Jul 2023'!BA5</f>
        <v>0</v>
      </c>
      <c r="O11" s="200">
        <f>'Tariff Jul 2023'!BB5</f>
        <v>0</v>
      </c>
      <c r="P11" s="200">
        <f>'Tariff Jul 2023'!BC5</f>
        <v>0</v>
      </c>
      <c r="Q11" s="204" t="str">
        <f t="shared" si="5"/>
        <v>No discount</v>
      </c>
      <c r="R11" s="205" t="str">
        <f t="shared" si="2"/>
        <v>Exclusive</v>
      </c>
      <c r="S11" s="254">
        <f t="shared" si="6"/>
        <v>2924.7090909090903</v>
      </c>
      <c r="T11" s="252">
        <f t="shared" si="7"/>
        <v>2924.7090909090903</v>
      </c>
      <c r="U11" s="260">
        <f t="shared" si="8"/>
        <v>3217.1799999999994</v>
      </c>
      <c r="V11" s="260">
        <f t="shared" si="8"/>
        <v>3217.1799999999994</v>
      </c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</row>
    <row r="12" spans="1:40" x14ac:dyDescent="0.15">
      <c r="A12" s="199" t="str">
        <f>'Tariff Jul 2023'!K6</f>
        <v>Lumo Energy</v>
      </c>
      <c r="B12" s="200" t="str">
        <f>'Tariff Jul 2023'!L6</f>
        <v>Plus</v>
      </c>
      <c r="C12" s="201">
        <f>IF('Tariff Jul 2023'!BP6=0,91*'Tariff Jul 2023'!M6/100,(91*'Tariff Jul 2023'!M6/100)+'Tariff Jul 2023'!BP6/4)</f>
        <v>76.580636363636344</v>
      </c>
      <c r="D12" s="201">
        <f>IF('Tariff Jul 2023'!O6="",$C$5*'Tariff Jul 2023'!N6/100,IF($C$5&gt;='Tariff Jul 2023'!P6,('Tariff Jul 2023'!P6*'Tariff Jul 2023'!N6/100),($C$5*'Tariff Jul 2023'!N6/100)))</f>
        <v>494.72727272727263</v>
      </c>
      <c r="E12" s="201">
        <f>IF(AND('Tariff Jul 2023'!P6&gt;0,'Tariff Jul 2023'!R6&gt;0),IF($C$5&lt;'Tariff Jul 2023'!P6,0,IF($C$5&lt;=('Tariff Jul 2023'!R6+'Tariff Jul 2023'!P6),(($C$5-'Tariff Jul 2023'!P6)*'Tariff Jul 2023'!Q6/100),(('Tariff Jul 2023'!R6)*'Tariff Jul 2023'!Q6/100))),0)</f>
        <v>0</v>
      </c>
      <c r="F12" s="202">
        <f>IF(AND('Tariff Jul 2023'!Q6&gt;0,'Tariff Jul 2023'!S6&gt;0),IF($C$5&lt;('Tariff Jul 2023'!R6+'Tariff Jul 2023'!P6),0,IF($C$5&lt;=('Tariff Jul 2023'!T6+'Tariff Jul 2023'!R6+'Tariff Jul 2023'!P6),(($C$5-('Tariff Jul 2023'!R6+'Tariff Jul 2023'!P6))*'Tariff Jul 2023'!S6/100),('Tariff Jul 2023'!T6*'Tariff Jul 2023'!S6/100))),0)</f>
        <v>0</v>
      </c>
      <c r="G12" s="201">
        <v>0</v>
      </c>
      <c r="H12" s="201">
        <f>IF(AND('Tariff Jul 2023'!R6&gt;0,'Tariff Jul 2023'!T6&gt;0),IF(($C$5&lt;'Tariff Jul 2023'!T6),(0),($C$5-'Tariff Jul 2023'!T6)*'Tariff Jul 2023'!U6/100),IF(AND('Tariff Jul 2023'!R6&gt;0,'Tariff Jul 2023'!T6=""),IF(($C$5&lt;'Tariff Jul 2023'!R6+'Tariff Jul 2023'!P6),(0),(($C$5-('Tariff Jul 2023'!R6+'Tariff Jul 2023'!P6))*'Tariff Jul 2023'!S6/100)),IF(AND('Tariff Jul 2023'!P6&gt;0,'Tariff Jul 2023'!R6=""&gt;0),IF(($C$5&lt;'Tariff Jul 2023'!P6),(0),($C$5-'Tariff Jul 2023'!P6)*'Tariff Jul 2023'!Q6/100),0)))</f>
        <v>0</v>
      </c>
      <c r="I12" s="201">
        <f t="shared" si="0"/>
        <v>571.30790909090899</v>
      </c>
      <c r="J12" s="252">
        <f t="shared" si="1"/>
        <v>1978.9090909090905</v>
      </c>
      <c r="K12" s="203">
        <f t="shared" si="3"/>
        <v>2285.231636363636</v>
      </c>
      <c r="L12" s="203">
        <f t="shared" si="4"/>
        <v>2513.7547999999997</v>
      </c>
      <c r="M12" s="200">
        <f>'Tariff Jul 2023'!AZ6</f>
        <v>0</v>
      </c>
      <c r="N12" s="200">
        <f>'Tariff Jul 2023'!BA6</f>
        <v>0</v>
      </c>
      <c r="O12" s="200">
        <f>'Tariff Jul 2023'!BB6</f>
        <v>0</v>
      </c>
      <c r="P12" s="200">
        <f>'Tariff Jul 2023'!BC6</f>
        <v>0</v>
      </c>
      <c r="Q12" s="204" t="str">
        <f t="shared" si="5"/>
        <v>No discount</v>
      </c>
      <c r="R12" s="205" t="str">
        <f t="shared" si="2"/>
        <v>Exclusive</v>
      </c>
      <c r="S12" s="254">
        <f t="shared" si="6"/>
        <v>2285.231636363636</v>
      </c>
      <c r="T12" s="252">
        <f t="shared" si="7"/>
        <v>2285.231636363636</v>
      </c>
      <c r="U12" s="260">
        <f t="shared" si="8"/>
        <v>2513.7547999999997</v>
      </c>
      <c r="V12" s="260">
        <f t="shared" si="8"/>
        <v>2513.7547999999997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</row>
    <row r="13" spans="1:40" x14ac:dyDescent="0.15">
      <c r="A13" s="199" t="str">
        <f>'Tariff Jul 2023'!K7</f>
        <v>Origin Energy</v>
      </c>
      <c r="B13" s="200" t="str">
        <f>'Tariff Jul 2023'!L7</f>
        <v>Go Variable</v>
      </c>
      <c r="C13" s="201">
        <f>IF('Tariff Jul 2023'!BP7=0,91*'Tariff Jul 2023'!M7/100,(91*'Tariff Jul 2023'!M7/100)+'Tariff Jul 2023'!BP7/4)</f>
        <v>83.6041818181818</v>
      </c>
      <c r="D13" s="201">
        <f>IF('Tariff Jul 2023'!O7="",$C$5*'Tariff Jul 2023'!N7/100,IF($C$5&gt;='Tariff Jul 2023'!P7,('Tariff Jul 2023'!P7*'Tariff Jul 2023'!N7/100),($C$5*'Tariff Jul 2023'!N7/100)))</f>
        <v>396.45454545454544</v>
      </c>
      <c r="E13" s="201">
        <f>IF(AND('Tariff Jul 2023'!P7&gt;0,'Tariff Jul 2023'!R7&gt;0),IF($C$5&lt;'Tariff Jul 2023'!P7,0,IF($C$5&lt;=('Tariff Jul 2023'!R7+'Tariff Jul 2023'!P7),(($C$5-'Tariff Jul 2023'!P7)*'Tariff Jul 2023'!Q7/100),(('Tariff Jul 2023'!R7)*'Tariff Jul 2023'!Q7/100))),0)</f>
        <v>0</v>
      </c>
      <c r="F13" s="202">
        <f>IF(AND('Tariff Jul 2023'!Q7&gt;0,'Tariff Jul 2023'!S7&gt;0),IF($C$5&lt;('Tariff Jul 2023'!R7+'Tariff Jul 2023'!P7),0,IF($C$5&lt;=('Tariff Jul 2023'!T7+'Tariff Jul 2023'!R7+'Tariff Jul 2023'!P7),(($C$5-('Tariff Jul 2023'!R7+'Tariff Jul 2023'!P7))*'Tariff Jul 2023'!S7/100),('Tariff Jul 2023'!T7*'Tariff Jul 2023'!S7/100))),0)</f>
        <v>0</v>
      </c>
      <c r="G13" s="201">
        <v>0</v>
      </c>
      <c r="H13" s="201">
        <f>IF(AND('Tariff Jul 2023'!R7&gt;0,'Tariff Jul 2023'!T7&gt;0),IF(($C$5&lt;'Tariff Jul 2023'!T7),(0),($C$5-'Tariff Jul 2023'!T7)*'Tariff Jul 2023'!U7/100),IF(AND('Tariff Jul 2023'!R7&gt;0,'Tariff Jul 2023'!T7=""),IF(($C$5&lt;'Tariff Jul 2023'!R7+'Tariff Jul 2023'!P7),(0),(($C$5-('Tariff Jul 2023'!R7+'Tariff Jul 2023'!P7))*'Tariff Jul 2023'!S7/100)),IF(AND('Tariff Jul 2023'!P7&gt;0,'Tariff Jul 2023'!R7=""&gt;0),IF(($C$5&lt;'Tariff Jul 2023'!P7),(0),($C$5-'Tariff Jul 2023'!P7)*'Tariff Jul 2023'!Q7/100),0)))</f>
        <v>214.09090909090909</v>
      </c>
      <c r="I13" s="201">
        <f t="shared" si="0"/>
        <v>694.14963636363632</v>
      </c>
      <c r="J13" s="252">
        <f t="shared" si="1"/>
        <v>2442.181818181818</v>
      </c>
      <c r="K13" s="203">
        <f t="shared" si="3"/>
        <v>2776.5985454545453</v>
      </c>
      <c r="L13" s="203">
        <f t="shared" si="4"/>
        <v>3054.2584000000002</v>
      </c>
      <c r="M13" s="200">
        <f>'Tariff Jul 2023'!AZ7</f>
        <v>0</v>
      </c>
      <c r="N13" s="200">
        <f>'Tariff Jul 2023'!BA7</f>
        <v>0</v>
      </c>
      <c r="O13" s="200">
        <f>'Tariff Jul 2023'!BB7</f>
        <v>0</v>
      </c>
      <c r="P13" s="200">
        <f>'Tariff Jul 2023'!BC7</f>
        <v>0</v>
      </c>
      <c r="Q13" s="204" t="str">
        <f t="shared" si="5"/>
        <v>No discount</v>
      </c>
      <c r="R13" s="205" t="str">
        <f t="shared" si="2"/>
        <v>Inclusive</v>
      </c>
      <c r="S13" s="254">
        <f t="shared" si="6"/>
        <v>2776.5985454545453</v>
      </c>
      <c r="T13" s="252">
        <f t="shared" si="7"/>
        <v>2776.5985454545453</v>
      </c>
      <c r="U13" s="260">
        <f t="shared" si="8"/>
        <v>3054.2584000000002</v>
      </c>
      <c r="V13" s="260">
        <f t="shared" si="8"/>
        <v>3054.2584000000002</v>
      </c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</row>
    <row r="14" spans="1:40" x14ac:dyDescent="0.15">
      <c r="A14" s="199" t="str">
        <f>'Tariff Jul 2023'!K8</f>
        <v>Red Energy</v>
      </c>
      <c r="B14" s="200" t="str">
        <f>'Tariff Jul 2023'!L8</f>
        <v>Living Energy Saver</v>
      </c>
      <c r="C14" s="201">
        <f>IF('Tariff Jul 2023'!BP8=0,91*'Tariff Jul 2023'!M8/100,(91*'Tariff Jul 2023'!M8/100)+'Tariff Jul 2023'!BP8/4)</f>
        <v>77.349999999999994</v>
      </c>
      <c r="D14" s="201">
        <f>IF('Tariff Jul 2023'!O8="",$C$5*'Tariff Jul 2023'!N8/100,IF($C$5&gt;='Tariff Jul 2023'!P8,('Tariff Jul 2023'!P8*'Tariff Jul 2023'!N8/100),($C$5*'Tariff Jul 2023'!N8/100)))</f>
        <v>506.31818181818181</v>
      </c>
      <c r="E14" s="201">
        <f>IF(AND('Tariff Jul 2023'!P8&gt;0,'Tariff Jul 2023'!R8&gt;0),IF($C$5&lt;'Tariff Jul 2023'!P8,0,IF($C$5&lt;=('Tariff Jul 2023'!R8+'Tariff Jul 2023'!P8),(($C$5-'Tariff Jul 2023'!P8)*'Tariff Jul 2023'!Q8/100),(('Tariff Jul 2023'!R8)*'Tariff Jul 2023'!Q8/100))),0)</f>
        <v>0</v>
      </c>
      <c r="F14" s="202">
        <f>IF(AND('Tariff Jul 2023'!Q8&gt;0,'Tariff Jul 2023'!S8&gt;0),IF($C$5&lt;('Tariff Jul 2023'!R8+'Tariff Jul 2023'!P8),0,IF($C$5&lt;=('Tariff Jul 2023'!T8+'Tariff Jul 2023'!R8+'Tariff Jul 2023'!P8),(($C$5-('Tariff Jul 2023'!R8+'Tariff Jul 2023'!P8))*'Tariff Jul 2023'!S8/100),('Tariff Jul 2023'!T8*'Tariff Jul 2023'!S8/100))),0)</f>
        <v>0</v>
      </c>
      <c r="G14" s="201">
        <v>0</v>
      </c>
      <c r="H14" s="201">
        <f>IF(AND('Tariff Jul 2023'!R8&gt;0,'Tariff Jul 2023'!T8&gt;0),IF(($C$5&lt;'Tariff Jul 2023'!T8),(0),($C$5-'Tariff Jul 2023'!T8)*'Tariff Jul 2023'!U8/100),IF(AND('Tariff Jul 2023'!R8&gt;0,'Tariff Jul 2023'!T8=""),IF(($C$5&lt;'Tariff Jul 2023'!R8+'Tariff Jul 2023'!P8),(0),(($C$5-('Tariff Jul 2023'!R8+'Tariff Jul 2023'!P8))*'Tariff Jul 2023'!S8/100)),IF(AND('Tariff Jul 2023'!P8&gt;0,'Tariff Jul 2023'!R8=""&gt;0),IF(($C$5&lt;'Tariff Jul 2023'!P8),(0),($C$5-'Tariff Jul 2023'!P8)*'Tariff Jul 2023'!Q8/100),0)))</f>
        <v>0</v>
      </c>
      <c r="I14" s="201">
        <f t="shared" si="0"/>
        <v>583.66818181818178</v>
      </c>
      <c r="J14" s="252">
        <f t="shared" si="1"/>
        <v>2025.272727272727</v>
      </c>
      <c r="K14" s="203">
        <f t="shared" si="3"/>
        <v>2334.6727272727271</v>
      </c>
      <c r="L14" s="203">
        <f t="shared" si="4"/>
        <v>2568.14</v>
      </c>
      <c r="M14" s="200">
        <f>'Tariff Jul 2023'!AZ8</f>
        <v>0</v>
      </c>
      <c r="N14" s="200">
        <f>'Tariff Jul 2023'!BA8</f>
        <v>0</v>
      </c>
      <c r="O14" s="200">
        <f>'Tariff Jul 2023'!BB8</f>
        <v>0</v>
      </c>
      <c r="P14" s="200">
        <f>'Tariff Jul 2023'!BC8</f>
        <v>0</v>
      </c>
      <c r="Q14" s="204" t="str">
        <f t="shared" si="5"/>
        <v>No discount</v>
      </c>
      <c r="R14" s="205" t="str">
        <f t="shared" si="2"/>
        <v>Inclusive</v>
      </c>
      <c r="S14" s="254">
        <f t="shared" si="6"/>
        <v>2334.6727272727271</v>
      </c>
      <c r="T14" s="252">
        <f t="shared" si="7"/>
        <v>2334.6727272727271</v>
      </c>
      <c r="U14" s="260">
        <f t="shared" si="8"/>
        <v>2568.14</v>
      </c>
      <c r="V14" s="260">
        <f t="shared" si="8"/>
        <v>2568.14</v>
      </c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</row>
    <row r="15" spans="1:40" x14ac:dyDescent="0.15">
      <c r="A15" s="199" t="str">
        <f>'Tariff Jul 2023'!K9</f>
        <v>Energy Locals</v>
      </c>
      <c r="B15" s="200" t="str">
        <f>'Tariff Jul 2023'!L9</f>
        <v>Online Member</v>
      </c>
      <c r="C15" s="201">
        <f>IF('Tariff Jul 2023'!BP9=0,91*'Tariff Jul 2023'!M9/100,(91*'Tariff Jul 2023'!M9/100)+'Tariff Jul 2023'!BP9/4)</f>
        <v>87.013636363636351</v>
      </c>
      <c r="D15" s="201">
        <f>IF('Tariff Jul 2023'!O9="",$C$5*'Tariff Jul 2023'!N9/100,IF($C$5&gt;='Tariff Jul 2023'!P9,('Tariff Jul 2023'!P9*'Tariff Jul 2023'!N9/100),($C$5*'Tariff Jul 2023'!N9/100)))</f>
        <v>579.5454545454545</v>
      </c>
      <c r="E15" s="201">
        <f>IF(AND('Tariff Jul 2023'!P9&gt;0,'Tariff Jul 2023'!R9&gt;0),IF($C$5&lt;'Tariff Jul 2023'!P9,0,IF($C$5&lt;=('Tariff Jul 2023'!R9+'Tariff Jul 2023'!P9),(($C$5-'Tariff Jul 2023'!P9)*'Tariff Jul 2023'!Q9/100),(('Tariff Jul 2023'!R9)*'Tariff Jul 2023'!Q9/100))),0)</f>
        <v>0</v>
      </c>
      <c r="F15" s="202">
        <f>IF(AND('Tariff Jul 2023'!Q9&gt;0,'Tariff Jul 2023'!S9&gt;0),IF($C$5&lt;('Tariff Jul 2023'!R9+'Tariff Jul 2023'!P9),0,IF($C$5&lt;=('Tariff Jul 2023'!T9+'Tariff Jul 2023'!R9+'Tariff Jul 2023'!P9),(($C$5-('Tariff Jul 2023'!R9+'Tariff Jul 2023'!P9))*'Tariff Jul 2023'!S9/100),('Tariff Jul 2023'!T9*'Tariff Jul 2023'!S9/100))),0)</f>
        <v>0</v>
      </c>
      <c r="G15" s="201">
        <v>0</v>
      </c>
      <c r="H15" s="201">
        <f>IF(AND('Tariff Jul 2023'!R9&gt;0,'Tariff Jul 2023'!T9&gt;0),IF(($C$5&lt;'Tariff Jul 2023'!T9),(0),($C$5-'Tariff Jul 2023'!T9)*'Tariff Jul 2023'!U9/100),IF(AND('Tariff Jul 2023'!R9&gt;0,'Tariff Jul 2023'!T9=""),IF(($C$5&lt;'Tariff Jul 2023'!R9+'Tariff Jul 2023'!P9),(0),(($C$5-('Tariff Jul 2023'!R9+'Tariff Jul 2023'!P9))*'Tariff Jul 2023'!S9/100)),IF(AND('Tariff Jul 2023'!P9&gt;0,'Tariff Jul 2023'!R9=""&gt;0),IF(($C$5&lt;'Tariff Jul 2023'!P9),(0),($C$5-'Tariff Jul 2023'!P9)*'Tariff Jul 2023'!Q9/100),0)))</f>
        <v>0</v>
      </c>
      <c r="I15" s="201">
        <f t="shared" si="0"/>
        <v>666.55909090909086</v>
      </c>
      <c r="J15" s="252">
        <f t="shared" si="1"/>
        <v>2318.181818181818</v>
      </c>
      <c r="K15" s="203">
        <f t="shared" si="3"/>
        <v>2666.2363636363634</v>
      </c>
      <c r="L15" s="203">
        <f t="shared" si="4"/>
        <v>2932.86</v>
      </c>
      <c r="M15" s="200">
        <f>'Tariff Jul 2023'!AZ9</f>
        <v>0</v>
      </c>
      <c r="N15" s="200">
        <f>'Tariff Jul 2023'!BA9</f>
        <v>0</v>
      </c>
      <c r="O15" s="200">
        <f>'Tariff Jul 2023'!BB9</f>
        <v>0</v>
      </c>
      <c r="P15" s="200">
        <f>'Tariff Jul 2023'!BC9</f>
        <v>0</v>
      </c>
      <c r="Q15" s="204" t="str">
        <f t="shared" si="5"/>
        <v>No discount</v>
      </c>
      <c r="R15" s="205" t="str">
        <f t="shared" si="2"/>
        <v>Exclusive</v>
      </c>
      <c r="S15" s="254">
        <f t="shared" si="6"/>
        <v>2666.2363636363634</v>
      </c>
      <c r="T15" s="252">
        <f t="shared" si="7"/>
        <v>2666.2363636363634</v>
      </c>
      <c r="U15" s="260">
        <f t="shared" si="8"/>
        <v>2932.86</v>
      </c>
      <c r="V15" s="260">
        <f t="shared" si="8"/>
        <v>2932.86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</row>
    <row r="16" spans="1:40" x14ac:dyDescent="0.15">
      <c r="A16" s="199" t="str">
        <f>'Tariff Jul 2023'!K10</f>
        <v>Simply Energy</v>
      </c>
      <c r="B16" s="200" t="str">
        <f>'Tariff Jul 2023'!L10</f>
        <v>Saver</v>
      </c>
      <c r="C16" s="201">
        <f>IF('Tariff Jul 2023'!BP10=0,91*'Tariff Jul 2023'!M10/100,(91*'Tariff Jul 2023'!M10/100)+'Tariff Jul 2023'!BP10/4)</f>
        <v>99.909727272727267</v>
      </c>
      <c r="D16" s="201">
        <f>IF('Tariff Jul 2023'!O10="",$C$5*'Tariff Jul 2023'!N10/100,IF($C$5&gt;='Tariff Jul 2023'!P10,('Tariff Jul 2023'!P10*'Tariff Jul 2023'!N10/100),($C$5*'Tariff Jul 2023'!N10/100)))</f>
        <v>416.27272727272725</v>
      </c>
      <c r="E16" s="201">
        <f>IF(AND('Tariff Jul 2023'!P10&gt;0,'Tariff Jul 2023'!R10&gt;0),IF($C$5&lt;'Tariff Jul 2023'!P10,0,IF($C$5&lt;=('Tariff Jul 2023'!R10+'Tariff Jul 2023'!P10),(($C$5-'Tariff Jul 2023'!P10)*'Tariff Jul 2023'!Q10/100),(('Tariff Jul 2023'!R10)*'Tariff Jul 2023'!Q10/100))),0)</f>
        <v>0</v>
      </c>
      <c r="F16" s="202">
        <f>IF(AND('Tariff Jul 2023'!Q10&gt;0,'Tariff Jul 2023'!S10&gt;0),IF($C$5&lt;('Tariff Jul 2023'!R10+'Tariff Jul 2023'!P10),0,IF($C$5&lt;=('Tariff Jul 2023'!T10+'Tariff Jul 2023'!R10+'Tariff Jul 2023'!P10),(($C$5-('Tariff Jul 2023'!R10+'Tariff Jul 2023'!P10))*'Tariff Jul 2023'!S10/100),('Tariff Jul 2023'!T10*'Tariff Jul 2023'!S10/100))),0)</f>
        <v>0</v>
      </c>
      <c r="G16" s="201">
        <v>0</v>
      </c>
      <c r="H16" s="201">
        <f>IF(AND('Tariff Jul 2023'!R10&gt;0,'Tariff Jul 2023'!T10&gt;0),IF(($C$5&lt;'Tariff Jul 2023'!T10),(0),($C$5-'Tariff Jul 2023'!T10)*'Tariff Jul 2023'!U10/100),IF(AND('Tariff Jul 2023'!R10&gt;0,'Tariff Jul 2023'!T10=""),IF(($C$5&lt;'Tariff Jul 2023'!R10+'Tariff Jul 2023'!P10),(0),(($C$5-('Tariff Jul 2023'!R10+'Tariff Jul 2023'!P10))*'Tariff Jul 2023'!S10/100)),IF(AND('Tariff Jul 2023'!P10&gt;0,'Tariff Jul 2023'!R10=""&gt;0),IF(($C$5&lt;'Tariff Jul 2023'!P10),(0),($C$5-'Tariff Jul 2023'!P10)*'Tariff Jul 2023'!Q10/100),0)))</f>
        <v>218.54545454545453</v>
      </c>
      <c r="I16" s="201">
        <f t="shared" si="0"/>
        <v>734.72790909090907</v>
      </c>
      <c r="J16" s="252">
        <f t="shared" si="1"/>
        <v>2539.272727272727</v>
      </c>
      <c r="K16" s="203">
        <f t="shared" si="3"/>
        <v>2938.9116363636363</v>
      </c>
      <c r="L16" s="203">
        <f t="shared" si="4"/>
        <v>3232.8027999999999</v>
      </c>
      <c r="M16" s="200">
        <f>'Tariff Jul 2023'!AZ10</f>
        <v>4</v>
      </c>
      <c r="N16" s="200">
        <f>'Tariff Jul 2023'!BA10</f>
        <v>0</v>
      </c>
      <c r="O16" s="200">
        <f>'Tariff Jul 2023'!BB10</f>
        <v>0</v>
      </c>
      <c r="P16" s="200">
        <f>'Tariff Jul 2023'!BC10</f>
        <v>0</v>
      </c>
      <c r="Q16" s="204" t="str">
        <f t="shared" si="5"/>
        <v>Guaranteed off bill</v>
      </c>
      <c r="R16" s="205" t="str">
        <f t="shared" si="2"/>
        <v>Exclusive</v>
      </c>
      <c r="S16" s="254">
        <f t="shared" si="6"/>
        <v>2821.3551709090907</v>
      </c>
      <c r="T16" s="252">
        <f t="shared" si="7"/>
        <v>2821.3551709090907</v>
      </c>
      <c r="U16" s="260">
        <f t="shared" si="8"/>
        <v>3103.4906879999999</v>
      </c>
      <c r="V16" s="260">
        <f t="shared" si="8"/>
        <v>3103.4906879999999</v>
      </c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</row>
    <row r="17" spans="1:40" x14ac:dyDescent="0.15">
      <c r="A17" s="199" t="str">
        <f>'Tariff Jul 2023'!K11</f>
        <v>Powershop</v>
      </c>
      <c r="B17" s="200" t="str">
        <f>'Tariff Jul 2023'!L11</f>
        <v>Carbon neutral</v>
      </c>
      <c r="C17" s="201">
        <f>IF('Tariff Jul 2023'!BP11=0,91*'Tariff Jul 2023'!M11/100,(91*'Tariff Jul 2023'!M11/100)+'Tariff Jul 2023'!BP11/4)</f>
        <v>121.63390909090909</v>
      </c>
      <c r="D17" s="201">
        <f>IF('Tariff Jul 2023'!O11="",$C$5*'Tariff Jul 2023'!N11/100,IF($C$5&gt;='Tariff Jul 2023'!P11,('Tariff Jul 2023'!P11*'Tariff Jul 2023'!N11/100),($C$5*'Tariff Jul 2023'!N11/100)))</f>
        <v>561.27272727272725</v>
      </c>
      <c r="E17" s="201">
        <f>IF(AND('Tariff Jul 2023'!P11&gt;0,'Tariff Jul 2023'!R11&gt;0),IF($C$5&lt;'Tariff Jul 2023'!P11,0,IF($C$5&lt;=('Tariff Jul 2023'!R11+'Tariff Jul 2023'!P11),(($C$5-'Tariff Jul 2023'!P11)*'Tariff Jul 2023'!Q11/100),(('Tariff Jul 2023'!R11)*'Tariff Jul 2023'!Q11/100))),0)</f>
        <v>0</v>
      </c>
      <c r="F17" s="202">
        <f>IF(AND('Tariff Jul 2023'!Q11&gt;0,'Tariff Jul 2023'!S11&gt;0),IF($C$5&lt;('Tariff Jul 2023'!R11+'Tariff Jul 2023'!P11),0,IF($C$5&lt;=('Tariff Jul 2023'!T11+'Tariff Jul 2023'!R11+'Tariff Jul 2023'!P11),(($C$5-('Tariff Jul 2023'!R11+'Tariff Jul 2023'!P11))*'Tariff Jul 2023'!S11/100),('Tariff Jul 2023'!T11*'Tariff Jul 2023'!S11/100))),0)</f>
        <v>0</v>
      </c>
      <c r="G17" s="201">
        <v>0</v>
      </c>
      <c r="H17" s="201">
        <f>IF(AND('Tariff Jul 2023'!R11&gt;0,'Tariff Jul 2023'!T11&gt;0),IF(($C$5&lt;'Tariff Jul 2023'!T11),(0),($C$5-'Tariff Jul 2023'!T11)*'Tariff Jul 2023'!U11/100),IF(AND('Tariff Jul 2023'!R11&gt;0,'Tariff Jul 2023'!T11=""),IF(($C$5&lt;'Tariff Jul 2023'!R11+'Tariff Jul 2023'!P11),(0),(($C$5-('Tariff Jul 2023'!R11+'Tariff Jul 2023'!P11))*'Tariff Jul 2023'!S11/100)),IF(AND('Tariff Jul 2023'!P11&gt;0,'Tariff Jul 2023'!R11=""&gt;0),IF(($C$5&lt;'Tariff Jul 2023'!P11),(0),($C$5-'Tariff Jul 2023'!P11)*'Tariff Jul 2023'!Q11/100),0)))</f>
        <v>0</v>
      </c>
      <c r="I17" s="201">
        <f t="shared" si="0"/>
        <v>682.90663636363638</v>
      </c>
      <c r="J17" s="252">
        <f t="shared" si="1"/>
        <v>2245.090909090909</v>
      </c>
      <c r="K17" s="203">
        <f t="shared" si="3"/>
        <v>2731.6265454545455</v>
      </c>
      <c r="L17" s="203">
        <f t="shared" si="4"/>
        <v>3004.7892000000002</v>
      </c>
      <c r="M17" s="200">
        <f>'Tariff Jul 2023'!AZ11</f>
        <v>0</v>
      </c>
      <c r="N17" s="200">
        <f>'Tariff Jul 2023'!BA11</f>
        <v>0</v>
      </c>
      <c r="O17" s="200">
        <f>'Tariff Jul 2023'!BB11</f>
        <v>0</v>
      </c>
      <c r="P17" s="200">
        <f>'Tariff Jul 2023'!BC11</f>
        <v>0</v>
      </c>
      <c r="Q17" s="204" t="str">
        <f t="shared" si="5"/>
        <v>No discount</v>
      </c>
      <c r="R17" s="205" t="str">
        <f t="shared" si="2"/>
        <v>Inclusive</v>
      </c>
      <c r="S17" s="254">
        <f t="shared" si="6"/>
        <v>2731.6265454545455</v>
      </c>
      <c r="T17" s="252">
        <f t="shared" si="7"/>
        <v>2731.6265454545455</v>
      </c>
      <c r="U17" s="260">
        <f t="shared" si="8"/>
        <v>3004.7892000000002</v>
      </c>
      <c r="V17" s="260">
        <f t="shared" si="8"/>
        <v>3004.7892000000002</v>
      </c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</row>
    <row r="18" spans="1:40" x14ac:dyDescent="0.15">
      <c r="A18" s="199" t="str">
        <f>'Tariff Jul 2023'!K12</f>
        <v>Amber Electric</v>
      </c>
      <c r="B18" s="200" t="str">
        <f>'Tariff Jul 2023'!L12</f>
        <v>Amber Plan</v>
      </c>
      <c r="C18" s="201">
        <f>IF('Tariff Jul 2023'!BP12=0,91*'Tariff Jul 2023'!M12/100,(91*'Tariff Jul 2023'!M12/100)+'Tariff Jul 2023'!BP12/4)</f>
        <v>138.25163636363635</v>
      </c>
      <c r="D18" s="201">
        <f>IF('Tariff Jul 2023'!O12="",$C$5*'Tariff Jul 2023'!N12/100,IF($C$5&gt;='Tariff Jul 2023'!P12,('Tariff Jul 2023'!P12*'Tariff Jul 2023'!N12/100),($C$5*'Tariff Jul 2023'!N12/100)))</f>
        <v>693.27272727272737</v>
      </c>
      <c r="E18" s="201">
        <f>IF(AND('Tariff Jul 2023'!P12&gt;0,'Tariff Jul 2023'!R12&gt;0),IF($C$5&lt;'Tariff Jul 2023'!P12,0,IF($C$5&lt;=('Tariff Jul 2023'!R12+'Tariff Jul 2023'!P12),(($C$5-'Tariff Jul 2023'!P12)*'Tariff Jul 2023'!Q12/100),(('Tariff Jul 2023'!R12)*'Tariff Jul 2023'!Q12/100))),0)</f>
        <v>0</v>
      </c>
      <c r="F18" s="202">
        <f>IF(AND('Tariff Jul 2023'!Q12&gt;0,'Tariff Jul 2023'!S12&gt;0),IF($C$5&lt;('Tariff Jul 2023'!R12+'Tariff Jul 2023'!P12),0,IF($C$5&lt;=('Tariff Jul 2023'!T12+'Tariff Jul 2023'!R12+'Tariff Jul 2023'!P12),(($C$5-('Tariff Jul 2023'!R12+'Tariff Jul 2023'!P12))*'Tariff Jul 2023'!S12/100),('Tariff Jul 2023'!T12*'Tariff Jul 2023'!S12/100))),0)</f>
        <v>0</v>
      </c>
      <c r="G18" s="201">
        <v>0</v>
      </c>
      <c r="H18" s="201">
        <f>IF(AND('Tariff Jul 2023'!R12&gt;0,'Tariff Jul 2023'!T12&gt;0),IF(($C$5&lt;'Tariff Jul 2023'!T12),(0),($C$5-'Tariff Jul 2023'!T12)*'Tariff Jul 2023'!U12/100),IF(AND('Tariff Jul 2023'!R12&gt;0,'Tariff Jul 2023'!T12=""),IF(($C$5&lt;'Tariff Jul 2023'!R12+'Tariff Jul 2023'!P12),(0),(($C$5-('Tariff Jul 2023'!R12+'Tariff Jul 2023'!P12))*'Tariff Jul 2023'!S12/100)),IF(AND('Tariff Jul 2023'!P12&gt;0,'Tariff Jul 2023'!R12=""&gt;0),IF(($C$5&lt;'Tariff Jul 2023'!P12),(0),($C$5-'Tariff Jul 2023'!P12)*'Tariff Jul 2023'!Q12/100),0)))</f>
        <v>0</v>
      </c>
      <c r="I18" s="201">
        <f t="shared" si="0"/>
        <v>831.52436363636366</v>
      </c>
      <c r="J18" s="252">
        <f t="shared" si="1"/>
        <v>2773.090909090909</v>
      </c>
      <c r="K18" s="203">
        <f t="shared" si="3"/>
        <v>3326.0974545454546</v>
      </c>
      <c r="L18" s="203">
        <f t="shared" si="4"/>
        <v>3658.7072000000003</v>
      </c>
      <c r="M18" s="200">
        <f>'Tariff Jul 2023'!AZ12</f>
        <v>0</v>
      </c>
      <c r="N18" s="200">
        <f>'Tariff Jul 2023'!BA12</f>
        <v>0</v>
      </c>
      <c r="O18" s="200">
        <f>'Tariff Jul 2023'!BB12</f>
        <v>0</v>
      </c>
      <c r="P18" s="200">
        <f>'Tariff Jul 2023'!BC12</f>
        <v>0</v>
      </c>
      <c r="Q18" s="204" t="str">
        <f t="shared" si="5"/>
        <v>No discount</v>
      </c>
      <c r="R18" s="205" t="str">
        <f t="shared" si="2"/>
        <v>Exclusive</v>
      </c>
      <c r="S18" s="254">
        <f t="shared" si="6"/>
        <v>3326.0974545454546</v>
      </c>
      <c r="T18" s="252">
        <f t="shared" si="7"/>
        <v>3326.0974545454546</v>
      </c>
      <c r="U18" s="260">
        <f t="shared" si="8"/>
        <v>3658.7072000000003</v>
      </c>
      <c r="V18" s="260">
        <f t="shared" si="8"/>
        <v>3658.7072000000003</v>
      </c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</row>
    <row r="19" spans="1:40" x14ac:dyDescent="0.15">
      <c r="A19" s="199" t="str">
        <f>'Tariff Jul 2023'!K13</f>
        <v>GloBird Energy</v>
      </c>
      <c r="B19" s="200" t="str">
        <f>'Tariff Jul 2023'!L13</f>
        <v>GloSave</v>
      </c>
      <c r="C19" s="201">
        <f>IF('Tariff Jul 2023'!BP13=0,91*'Tariff Jul 2023'!M13/100,(91*'Tariff Jul 2023'!M13/100)+'Tariff Jul 2023'!BP13/4)</f>
        <v>80.079999999999984</v>
      </c>
      <c r="D19" s="201">
        <f>IF('Tariff Jul 2023'!O13="",$C$5*'Tariff Jul 2023'!N13/100,IF($C$5&gt;='Tariff Jul 2023'!P13,('Tariff Jul 2023'!P13*'Tariff Jul 2023'!N13/100),($C$5*'Tariff Jul 2023'!N13/100)))</f>
        <v>490.49999999999994</v>
      </c>
      <c r="E19" s="201">
        <f>IF(AND('Tariff Jul 2023'!P13&gt;0,'Tariff Jul 2023'!R13&gt;0),IF($C$5&lt;'Tariff Jul 2023'!P13,0,IF($C$5&lt;=('Tariff Jul 2023'!R13+'Tariff Jul 2023'!P13),(($C$5-'Tariff Jul 2023'!P13)*'Tariff Jul 2023'!Q13/100),(('Tariff Jul 2023'!R13)*'Tariff Jul 2023'!Q13/100))),0)</f>
        <v>0</v>
      </c>
      <c r="F19" s="202">
        <f>IF(AND('Tariff Jul 2023'!Q13&gt;0,'Tariff Jul 2023'!S13&gt;0),IF($C$5&lt;('Tariff Jul 2023'!R13+'Tariff Jul 2023'!P13),0,IF($C$5&lt;=('Tariff Jul 2023'!T13+'Tariff Jul 2023'!R13+'Tariff Jul 2023'!P13),(($C$5-('Tariff Jul 2023'!R13+'Tariff Jul 2023'!P13))*'Tariff Jul 2023'!S13/100),('Tariff Jul 2023'!T13*'Tariff Jul 2023'!S13/100))),0)</f>
        <v>0</v>
      </c>
      <c r="G19" s="201">
        <v>0</v>
      </c>
      <c r="H19" s="201">
        <f>IF(AND('Tariff Jul 2023'!R13&gt;0,'Tariff Jul 2023'!T13&gt;0),IF(($C$5&lt;'Tariff Jul 2023'!T13),(0),($C$5-'Tariff Jul 2023'!T13)*'Tariff Jul 2023'!U13/100),IF(AND('Tariff Jul 2023'!R13&gt;0,'Tariff Jul 2023'!T13=""),IF(($C$5&lt;'Tariff Jul 2023'!R13+'Tariff Jul 2023'!P13),(0),(($C$5-('Tariff Jul 2023'!R13+'Tariff Jul 2023'!P13))*'Tariff Jul 2023'!S13/100)),IF(AND('Tariff Jul 2023'!P13&gt;0,'Tariff Jul 2023'!R13=""&gt;0),IF(($C$5&lt;'Tariff Jul 2023'!P13),(0),($C$5-'Tariff Jul 2023'!P13)*'Tariff Jul 2023'!Q13/100),0)))</f>
        <v>0</v>
      </c>
      <c r="I19" s="201">
        <f t="shared" si="0"/>
        <v>570.57999999999993</v>
      </c>
      <c r="J19" s="252">
        <f t="shared" si="1"/>
        <v>1961.9999999999998</v>
      </c>
      <c r="K19" s="203">
        <f t="shared" si="3"/>
        <v>2282.3199999999997</v>
      </c>
      <c r="L19" s="203">
        <f t="shared" si="4"/>
        <v>2510.5519999999997</v>
      </c>
      <c r="M19" s="200">
        <f>'Tariff Jul 2023'!AZ13</f>
        <v>0</v>
      </c>
      <c r="N19" s="200">
        <f>'Tariff Jul 2023'!BA13</f>
        <v>0</v>
      </c>
      <c r="O19" s="200">
        <f>'Tariff Jul 2023'!BB13</f>
        <v>2</v>
      </c>
      <c r="P19" s="200">
        <f>'Tariff Jul 2023'!BC13</f>
        <v>0</v>
      </c>
      <c r="Q19" s="204" t="str">
        <f t="shared" si="5"/>
        <v>Pay-on-time off bill</v>
      </c>
      <c r="R19" s="205" t="str">
        <f t="shared" si="2"/>
        <v>Exclusive</v>
      </c>
      <c r="S19" s="254">
        <f t="shared" si="6"/>
        <v>2282.3199999999997</v>
      </c>
      <c r="T19" s="252">
        <f t="shared" si="7"/>
        <v>2236.6735999999996</v>
      </c>
      <c r="U19" s="260">
        <f t="shared" si="8"/>
        <v>2510.5519999999997</v>
      </c>
      <c r="V19" s="260">
        <f t="shared" si="8"/>
        <v>2460.34096</v>
      </c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</row>
    <row r="20" spans="1:40" x14ac:dyDescent="0.15">
      <c r="A20" s="199" t="str">
        <f>'Tariff Jul 2023'!K14</f>
        <v>Kogan Energy</v>
      </c>
      <c r="B20" s="200" t="str">
        <f>'Tariff Jul 2023'!L14</f>
        <v>Free Kogan First Membership</v>
      </c>
      <c r="C20" s="201">
        <f>IF('Tariff Jul 2023'!BP14=0,91*'Tariff Jul 2023'!M14/100,(91*'Tariff Jul 2023'!M14/100)+'Tariff Jul 2023'!BP14/4)</f>
        <v>121.63390909090909</v>
      </c>
      <c r="D20" s="201">
        <f>IF('Tariff Jul 2023'!O14="",$C$5*'Tariff Jul 2023'!N14/100,IF($C$5&gt;='Tariff Jul 2023'!P14,('Tariff Jul 2023'!P14*'Tariff Jul 2023'!N14/100),($C$5*'Tariff Jul 2023'!N14/100)))</f>
        <v>561.27272727272725</v>
      </c>
      <c r="E20" s="201">
        <f>IF(AND('Tariff Jul 2023'!P14&gt;0,'Tariff Jul 2023'!R14&gt;0),IF($C$5&lt;'Tariff Jul 2023'!P14,0,IF($C$5&lt;=('Tariff Jul 2023'!R14+'Tariff Jul 2023'!P14),(($C$5-'Tariff Jul 2023'!P14)*'Tariff Jul 2023'!Q14/100),(('Tariff Jul 2023'!R14)*'Tariff Jul 2023'!Q14/100))),0)</f>
        <v>0</v>
      </c>
      <c r="F20" s="202">
        <f>IF(AND('Tariff Jul 2023'!Q14&gt;0,'Tariff Jul 2023'!S14&gt;0),IF($C$5&lt;('Tariff Jul 2023'!R14+'Tariff Jul 2023'!P14),0,IF($C$5&lt;=('Tariff Jul 2023'!T14+'Tariff Jul 2023'!R14+'Tariff Jul 2023'!P14),(($C$5-('Tariff Jul 2023'!R14+'Tariff Jul 2023'!P14))*'Tariff Jul 2023'!S14/100),('Tariff Jul 2023'!T14*'Tariff Jul 2023'!S14/100))),0)</f>
        <v>0</v>
      </c>
      <c r="G20" s="201">
        <v>0</v>
      </c>
      <c r="H20" s="201">
        <f>IF(AND('Tariff Jul 2023'!R14&gt;0,'Tariff Jul 2023'!T14&gt;0),IF(($C$5&lt;'Tariff Jul 2023'!T14),(0),($C$5-'Tariff Jul 2023'!T14)*'Tariff Jul 2023'!U14/100),IF(AND('Tariff Jul 2023'!R14&gt;0,'Tariff Jul 2023'!T14=""),IF(($C$5&lt;'Tariff Jul 2023'!R14+'Tariff Jul 2023'!P14),(0),(($C$5-('Tariff Jul 2023'!R14+'Tariff Jul 2023'!P14))*'Tariff Jul 2023'!S14/100)),IF(AND('Tariff Jul 2023'!P14&gt;0,'Tariff Jul 2023'!R14=""&gt;0),IF(($C$5&lt;'Tariff Jul 2023'!P14),(0),($C$5-'Tariff Jul 2023'!P14)*'Tariff Jul 2023'!Q14/100),0)))</f>
        <v>0</v>
      </c>
      <c r="I20" s="201">
        <f t="shared" si="0"/>
        <v>682.90663636363638</v>
      </c>
      <c r="J20" s="252">
        <f t="shared" si="1"/>
        <v>2245.090909090909</v>
      </c>
      <c r="K20" s="203">
        <f t="shared" si="3"/>
        <v>2731.6265454545455</v>
      </c>
      <c r="L20" s="203">
        <f t="shared" si="4"/>
        <v>3004.7892000000002</v>
      </c>
      <c r="M20" s="200">
        <f>'Tariff Jul 2023'!AZ14</f>
        <v>0</v>
      </c>
      <c r="N20" s="200">
        <f>'Tariff Jul 2023'!BA14</f>
        <v>0</v>
      </c>
      <c r="O20" s="200">
        <f>'Tariff Jul 2023'!BB14</f>
        <v>0</v>
      </c>
      <c r="P20" s="200">
        <f>'Tariff Jul 2023'!BC14</f>
        <v>0</v>
      </c>
      <c r="Q20" s="204" t="str">
        <f t="shared" si="5"/>
        <v>No discount</v>
      </c>
      <c r="R20" s="205" t="str">
        <f t="shared" si="2"/>
        <v>Exclusive</v>
      </c>
      <c r="S20" s="254">
        <f t="shared" si="6"/>
        <v>2731.6265454545455</v>
      </c>
      <c r="T20" s="252">
        <f t="shared" si="7"/>
        <v>2731.6265454545455</v>
      </c>
      <c r="U20" s="260">
        <f t="shared" si="8"/>
        <v>3004.7892000000002</v>
      </c>
      <c r="V20" s="260">
        <f t="shared" si="8"/>
        <v>3004.7892000000002</v>
      </c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</row>
    <row r="21" spans="1:40" x14ac:dyDescent="0.15">
      <c r="A21" s="199" t="str">
        <f>'Tariff Jul 2023'!K15</f>
        <v>Momentum</v>
      </c>
      <c r="B21" s="200" t="str">
        <f>'Tariff Jul 2023'!L15</f>
        <v>Suit Yourself</v>
      </c>
      <c r="C21" s="201">
        <f>IF('Tariff Jul 2023'!BP15=0,91*'Tariff Jul 2023'!M15/100,(91*'Tariff Jul 2023'!M15/100)+'Tariff Jul 2023'!BP15/4)</f>
        <v>141.505</v>
      </c>
      <c r="D21" s="201">
        <f>IF('Tariff Jul 2023'!O15="",$C$5*'Tariff Jul 2023'!N15/100,IF($C$5&gt;='Tariff Jul 2023'!P15,('Tariff Jul 2023'!P15*'Tariff Jul 2023'!N15/100),($C$5*'Tariff Jul 2023'!N15/100)))</f>
        <v>561</v>
      </c>
      <c r="E21" s="201">
        <f>IF(AND('Tariff Jul 2023'!P15&gt;0,'Tariff Jul 2023'!R15&gt;0),IF($C$5&lt;'Tariff Jul 2023'!P15,0,IF($C$5&lt;=('Tariff Jul 2023'!R15+'Tariff Jul 2023'!P15),(($C$5-'Tariff Jul 2023'!P15)*'Tariff Jul 2023'!Q15/100),(('Tariff Jul 2023'!R15)*'Tariff Jul 2023'!Q15/100))),0)</f>
        <v>0</v>
      </c>
      <c r="F21" s="202">
        <f>IF(AND('Tariff Jul 2023'!Q15&gt;0,'Tariff Jul 2023'!S15&gt;0),IF($C$5&lt;('Tariff Jul 2023'!R15+'Tariff Jul 2023'!P15),0,IF($C$5&lt;=('Tariff Jul 2023'!T15+'Tariff Jul 2023'!R15+'Tariff Jul 2023'!P15),(($C$5-('Tariff Jul 2023'!R15+'Tariff Jul 2023'!P15))*'Tariff Jul 2023'!S15/100),('Tariff Jul 2023'!T15*'Tariff Jul 2023'!S15/100))),0)</f>
        <v>0</v>
      </c>
      <c r="G21" s="201">
        <v>0</v>
      </c>
      <c r="H21" s="201">
        <f>IF(AND('Tariff Jul 2023'!R15&gt;0,'Tariff Jul 2023'!T15&gt;0),IF(($C$5&lt;'Tariff Jul 2023'!T15),(0),($C$5-'Tariff Jul 2023'!T15)*'Tariff Jul 2023'!U15/100),IF(AND('Tariff Jul 2023'!R15&gt;0,'Tariff Jul 2023'!T15=""),IF(($C$5&lt;'Tariff Jul 2023'!R15+'Tariff Jul 2023'!P15),(0),(($C$5-('Tariff Jul 2023'!R15+'Tariff Jul 2023'!P15))*'Tariff Jul 2023'!S15/100)),IF(AND('Tariff Jul 2023'!P15&gt;0,'Tariff Jul 2023'!R15=""&gt;0),IF(($C$5&lt;'Tariff Jul 2023'!P15),(0),($C$5-'Tariff Jul 2023'!P15)*'Tariff Jul 2023'!Q15/100),0)))</f>
        <v>0</v>
      </c>
      <c r="I21" s="201">
        <f t="shared" ref="I21:I24" si="9">SUM(C21:H21)</f>
        <v>702.505</v>
      </c>
      <c r="J21" s="252">
        <f t="shared" ref="J21:J24" si="10">(I21-C21)*4</f>
        <v>2244</v>
      </c>
      <c r="K21" s="203">
        <f t="shared" ref="K21:K24" si="11">I21*4</f>
        <v>2810.02</v>
      </c>
      <c r="L21" s="203">
        <f t="shared" ref="L21:L24" si="12">K21*1.1</f>
        <v>3091.0220000000004</v>
      </c>
      <c r="M21" s="200">
        <f>'Tariff Jul 2023'!AZ15</f>
        <v>0</v>
      </c>
      <c r="N21" s="200">
        <f>'Tariff Jul 2023'!BA15</f>
        <v>0</v>
      </c>
      <c r="O21" s="200">
        <f>'Tariff Jul 2023'!BB15</f>
        <v>0</v>
      </c>
      <c r="P21" s="200">
        <f>'Tariff Jul 2023'!BC15</f>
        <v>0</v>
      </c>
      <c r="Q21" s="204" t="str">
        <f t="shared" ref="Q21:Q24" si="13">IF(SUM(M21:P21)=0,"No discount",IF(M21&gt;0,"Guaranteed off bill",IF(N21&gt;0,"Guaranteed off usage",IF(O21&gt;0,"Pay-on-time off bill","Pay-on-time off usage"))))</f>
        <v>No discount</v>
      </c>
      <c r="R21" s="205" t="str">
        <f t="shared" ref="R21:R24" si="14">IF(OR(A21="Origin Energy",A21="Red Energy",A21="Powershop"),"Inclusive","Exclusive")</f>
        <v>Exclusive</v>
      </c>
      <c r="S21" s="254">
        <f t="shared" ref="S21:S24" si="15">IF(AND(Q21="Guaranteed off bill",R21="Inclusive"),((K21*1.1)-((K21*1.1)*M21/100))/1.1,IF(AND(Q21="Guaranteed off usage",R21="Inclusive"),((K21*1.1)-((J21*1.1)*N21/100))/1.1,IF(AND(Q21="Guaranteed off bill",R21="Exclusive"),K21-(K21*M21/100),IF(AND(Q21="Guaranteed off usage",R21="Exclusive"),K21-(J21*N21/100),IF(R21="Inclusive",((K21*1.1))/1.1,K21)))))</f>
        <v>2810.02</v>
      </c>
      <c r="T21" s="252">
        <f t="shared" ref="T21:T24" si="16">IF(AND(Q21="Pay-on-time off bill",R21="Inclusive"),((S21*1.1)-((S21*1.1)*O21/100))/1.1,IF(AND(Q21="Pay-on-time off usage",R21="Inclusive"),((S21*1.1)-((J21*1.1)*P21/100))/1.1,IF(AND(Q21="Pay-on-time off bill",R21="Exclusive"),S21-(S21*O21/100),IF(AND(Q21="Pay-on-time off usage",R21="Exclusive"),S21-(J21*P21/100),IF(R21="Inclusive",((S21*1.1))/1.1,S21)))))</f>
        <v>2810.02</v>
      </c>
      <c r="U21" s="260">
        <f t="shared" ref="U21:U24" si="17">S21*1.1</f>
        <v>3091.0220000000004</v>
      </c>
      <c r="V21" s="260">
        <f t="shared" ref="V21:V24" si="18">T21*1.1</f>
        <v>3091.0220000000004</v>
      </c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</row>
    <row r="22" spans="1:40" x14ac:dyDescent="0.15">
      <c r="A22" s="199" t="str">
        <f>'Tariff Jul 2023'!K16</f>
        <v>OVO</v>
      </c>
      <c r="B22" s="200" t="str">
        <f>'Tariff Jul 2023'!L16</f>
        <v>The One Plan</v>
      </c>
      <c r="C22" s="201">
        <f>IF('Tariff Jul 2023'!BP16=0,91*'Tariff Jul 2023'!M16/100,(91*'Tariff Jul 2023'!M16/100)+'Tariff Jul 2023'!BP16/4)</f>
        <v>87.814999999999998</v>
      </c>
      <c r="D22" s="201">
        <f>IF('Tariff Jul 2023'!O16="",$C$5*'Tariff Jul 2023'!N16/100,IF($C$5&gt;='Tariff Jul 2023'!P16,('Tariff Jul 2023'!P16*'Tariff Jul 2023'!N16/100),($C$5*'Tariff Jul 2023'!N16/100)))</f>
        <v>466.5</v>
      </c>
      <c r="E22" s="201">
        <f>IF(AND('Tariff Jul 2023'!P16&gt;0,'Tariff Jul 2023'!R16&gt;0),IF($C$5&lt;'Tariff Jul 2023'!P16,0,IF($C$5&lt;=('Tariff Jul 2023'!R16+'Tariff Jul 2023'!P16),(($C$5-'Tariff Jul 2023'!P16)*'Tariff Jul 2023'!Q16/100),(('Tariff Jul 2023'!R16)*'Tariff Jul 2023'!Q16/100))),0)</f>
        <v>0</v>
      </c>
      <c r="F22" s="202">
        <f>IF(AND('Tariff Jul 2023'!Q16&gt;0,'Tariff Jul 2023'!S16&gt;0),IF($C$5&lt;('Tariff Jul 2023'!R16+'Tariff Jul 2023'!P16),0,IF($C$5&lt;=('Tariff Jul 2023'!T16+'Tariff Jul 2023'!R16+'Tariff Jul 2023'!P16),(($C$5-('Tariff Jul 2023'!R16+'Tariff Jul 2023'!P16))*'Tariff Jul 2023'!S16/100),('Tariff Jul 2023'!T16*'Tariff Jul 2023'!S16/100))),0)</f>
        <v>0</v>
      </c>
      <c r="G22" s="201">
        <v>0</v>
      </c>
      <c r="H22" s="201">
        <f>IF(AND('Tariff Jul 2023'!R16&gt;0,'Tariff Jul 2023'!T16&gt;0),IF(($C$5&lt;'Tariff Jul 2023'!T16),(0),($C$5-'Tariff Jul 2023'!T16)*'Tariff Jul 2023'!U16/100),IF(AND('Tariff Jul 2023'!R16&gt;0,'Tariff Jul 2023'!T16=""),IF(($C$5&lt;'Tariff Jul 2023'!R16+'Tariff Jul 2023'!P16),(0),(($C$5-('Tariff Jul 2023'!R16+'Tariff Jul 2023'!P16))*'Tariff Jul 2023'!S16/100)),IF(AND('Tariff Jul 2023'!P16&gt;0,'Tariff Jul 2023'!R16=""&gt;0),IF(($C$5&lt;'Tariff Jul 2023'!P16),(0),($C$5-'Tariff Jul 2023'!P16)*'Tariff Jul 2023'!Q16/100),0)))</f>
        <v>0</v>
      </c>
      <c r="I22" s="201">
        <f t="shared" si="9"/>
        <v>554.31500000000005</v>
      </c>
      <c r="J22" s="252">
        <f t="shared" si="10"/>
        <v>1866.0000000000002</v>
      </c>
      <c r="K22" s="203">
        <f t="shared" si="11"/>
        <v>2217.2600000000002</v>
      </c>
      <c r="L22" s="203">
        <f t="shared" si="12"/>
        <v>2438.9860000000003</v>
      </c>
      <c r="M22" s="200">
        <f>'Tariff Jul 2023'!AZ16</f>
        <v>0</v>
      </c>
      <c r="N22" s="200">
        <f>'Tariff Jul 2023'!BA16</f>
        <v>0</v>
      </c>
      <c r="O22" s="200">
        <f>'Tariff Jul 2023'!BB16</f>
        <v>0</v>
      </c>
      <c r="P22" s="200">
        <f>'Tariff Jul 2023'!BC16</f>
        <v>0</v>
      </c>
      <c r="Q22" s="204" t="str">
        <f t="shared" si="13"/>
        <v>No discount</v>
      </c>
      <c r="R22" s="205" t="str">
        <f t="shared" si="14"/>
        <v>Exclusive</v>
      </c>
      <c r="S22" s="254">
        <f t="shared" si="15"/>
        <v>2217.2600000000002</v>
      </c>
      <c r="T22" s="252">
        <f t="shared" si="16"/>
        <v>2217.2600000000002</v>
      </c>
      <c r="U22" s="260">
        <f t="shared" si="17"/>
        <v>2438.9860000000003</v>
      </c>
      <c r="V22" s="260">
        <f t="shared" si="18"/>
        <v>2438.9860000000003</v>
      </c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</row>
    <row r="23" spans="1:40" x14ac:dyDescent="0.15">
      <c r="A23" s="199" t="str">
        <f>'Tariff Jul 2023'!K17</f>
        <v>Sumo Power</v>
      </c>
      <c r="B23" s="200" t="str">
        <f>'Tariff Jul 2023'!L17</f>
        <v>Lite</v>
      </c>
      <c r="C23" s="201">
        <f>IF('Tariff Jul 2023'!BP17=0,91*'Tariff Jul 2023'!M17/100,(91*'Tariff Jul 2023'!M17/100)+'Tariff Jul 2023'!BP17/4)</f>
        <v>96.45999999999998</v>
      </c>
      <c r="D23" s="201">
        <f>IF('Tariff Jul 2023'!O17="",$C$5*'Tariff Jul 2023'!N17/100,IF($C$5&gt;='Tariff Jul 2023'!P17,('Tariff Jul 2023'!P17*'Tariff Jul 2023'!N17/100),($C$5*'Tariff Jul 2023'!N17/100)))</f>
        <v>630</v>
      </c>
      <c r="E23" s="201">
        <f>IF(AND('Tariff Jul 2023'!P17&gt;0,'Tariff Jul 2023'!R17&gt;0),IF($C$5&lt;'Tariff Jul 2023'!P17,0,IF($C$5&lt;=('Tariff Jul 2023'!R17+'Tariff Jul 2023'!P17),(($C$5-'Tariff Jul 2023'!P17)*'Tariff Jul 2023'!Q17/100),(('Tariff Jul 2023'!R17)*'Tariff Jul 2023'!Q17/100))),0)</f>
        <v>0</v>
      </c>
      <c r="F23" s="202">
        <f>IF(AND('Tariff Jul 2023'!Q17&gt;0,'Tariff Jul 2023'!S17&gt;0),IF($C$5&lt;('Tariff Jul 2023'!R17+'Tariff Jul 2023'!P17),0,IF($C$5&lt;=('Tariff Jul 2023'!T17+'Tariff Jul 2023'!R17+'Tariff Jul 2023'!P17),(($C$5-('Tariff Jul 2023'!R17+'Tariff Jul 2023'!P17))*'Tariff Jul 2023'!S17/100),('Tariff Jul 2023'!T17*'Tariff Jul 2023'!S17/100))),0)</f>
        <v>0</v>
      </c>
      <c r="G23" s="201">
        <v>0</v>
      </c>
      <c r="H23" s="201">
        <f>IF(AND('Tariff Jul 2023'!R17&gt;0,'Tariff Jul 2023'!T17&gt;0),IF(($C$5&lt;'Tariff Jul 2023'!T17),(0),($C$5-'Tariff Jul 2023'!T17)*'Tariff Jul 2023'!U17/100),IF(AND('Tariff Jul 2023'!R17&gt;0,'Tariff Jul 2023'!T17=""),IF(($C$5&lt;'Tariff Jul 2023'!R17+'Tariff Jul 2023'!P17),(0),(($C$5-('Tariff Jul 2023'!R17+'Tariff Jul 2023'!P17))*'Tariff Jul 2023'!S17/100)),IF(AND('Tariff Jul 2023'!P17&gt;0,'Tariff Jul 2023'!R17=""&gt;0),IF(($C$5&lt;'Tariff Jul 2023'!P17),(0),($C$5-'Tariff Jul 2023'!P17)*'Tariff Jul 2023'!Q17/100),0)))</f>
        <v>0</v>
      </c>
      <c r="I23" s="201">
        <f t="shared" si="9"/>
        <v>726.46</v>
      </c>
      <c r="J23" s="252">
        <f t="shared" si="10"/>
        <v>2520</v>
      </c>
      <c r="K23" s="203">
        <f t="shared" si="11"/>
        <v>2905.84</v>
      </c>
      <c r="L23" s="203">
        <f t="shared" si="12"/>
        <v>3196.4240000000004</v>
      </c>
      <c r="M23" s="200">
        <f>'Tariff Jul 2023'!AZ17</f>
        <v>0</v>
      </c>
      <c r="N23" s="200">
        <f>'Tariff Jul 2023'!BA17</f>
        <v>0</v>
      </c>
      <c r="O23" s="200">
        <f>'Tariff Jul 2023'!BB17</f>
        <v>0</v>
      </c>
      <c r="P23" s="200">
        <f>'Tariff Jul 2023'!BC17</f>
        <v>0</v>
      </c>
      <c r="Q23" s="204" t="str">
        <f t="shared" si="13"/>
        <v>No discount</v>
      </c>
      <c r="R23" s="205" t="str">
        <f t="shared" si="14"/>
        <v>Exclusive</v>
      </c>
      <c r="S23" s="254">
        <f t="shared" si="15"/>
        <v>2905.84</v>
      </c>
      <c r="T23" s="252">
        <f t="shared" si="16"/>
        <v>2905.84</v>
      </c>
      <c r="U23" s="260">
        <f t="shared" si="17"/>
        <v>3196.4240000000004</v>
      </c>
      <c r="V23" s="260">
        <f t="shared" si="18"/>
        <v>3196.4240000000004</v>
      </c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</row>
    <row r="24" spans="1:40" x14ac:dyDescent="0.15">
      <c r="A24" s="199" t="str">
        <f>'Tariff Jul 2023'!K18</f>
        <v>CovaU</v>
      </c>
      <c r="B24" s="200" t="str">
        <f>'Tariff Jul 2023'!L18</f>
        <v>Freedom</v>
      </c>
      <c r="C24" s="201">
        <f>IF('Tariff Jul 2023'!BP18=0,91*'Tariff Jul 2023'!M18/100,(91*'Tariff Jul 2023'!M18/100)+'Tariff Jul 2023'!BP18/4)</f>
        <v>85.705454545454543</v>
      </c>
      <c r="D24" s="201">
        <f>IF('Tariff Jul 2023'!O18="",$C$5*'Tariff Jul 2023'!N18/100,IF($C$5&gt;='Tariff Jul 2023'!P18,('Tariff Jul 2023'!P18*'Tariff Jul 2023'!N18/100),($C$5*'Tariff Jul 2023'!N18/100)))</f>
        <v>498.2727272727272</v>
      </c>
      <c r="E24" s="201">
        <f>IF(AND('Tariff Jul 2023'!P18&gt;0,'Tariff Jul 2023'!R18&gt;0),IF($C$5&lt;'Tariff Jul 2023'!P18,0,IF($C$5&lt;=('Tariff Jul 2023'!R18+'Tariff Jul 2023'!P18),(($C$5-'Tariff Jul 2023'!P18)*'Tariff Jul 2023'!Q18/100),(('Tariff Jul 2023'!R18)*'Tariff Jul 2023'!Q18/100))),0)</f>
        <v>0</v>
      </c>
      <c r="F24" s="202">
        <f>IF(AND('Tariff Jul 2023'!Q18&gt;0,'Tariff Jul 2023'!S18&gt;0),IF($C$5&lt;('Tariff Jul 2023'!R18+'Tariff Jul 2023'!P18),0,IF($C$5&lt;=('Tariff Jul 2023'!T18+'Tariff Jul 2023'!R18+'Tariff Jul 2023'!P18),(($C$5-('Tariff Jul 2023'!R18+'Tariff Jul 2023'!P18))*'Tariff Jul 2023'!S18/100),('Tariff Jul 2023'!T18*'Tariff Jul 2023'!S18/100))),0)</f>
        <v>0</v>
      </c>
      <c r="G24" s="201">
        <v>0</v>
      </c>
      <c r="H24" s="201">
        <f>IF(AND('Tariff Jul 2023'!R18&gt;0,'Tariff Jul 2023'!T18&gt;0),IF(($C$5&lt;'Tariff Jul 2023'!T18),(0),($C$5-'Tariff Jul 2023'!T18)*'Tariff Jul 2023'!U18/100),IF(AND('Tariff Jul 2023'!R18&gt;0,'Tariff Jul 2023'!T18=""),IF(($C$5&lt;'Tariff Jul 2023'!R18+'Tariff Jul 2023'!P18),(0),(($C$5-('Tariff Jul 2023'!R18+'Tariff Jul 2023'!P18))*'Tariff Jul 2023'!S18/100)),IF(AND('Tariff Jul 2023'!P18&gt;0,'Tariff Jul 2023'!R18=""&gt;0),IF(($C$5&lt;'Tariff Jul 2023'!P18),(0),($C$5-'Tariff Jul 2023'!P18)*'Tariff Jul 2023'!Q18/100),0)))</f>
        <v>0</v>
      </c>
      <c r="I24" s="201">
        <f t="shared" si="9"/>
        <v>583.97818181818172</v>
      </c>
      <c r="J24" s="252">
        <f t="shared" si="10"/>
        <v>1993.0909090909088</v>
      </c>
      <c r="K24" s="203">
        <f t="shared" si="11"/>
        <v>2335.9127272727269</v>
      </c>
      <c r="L24" s="203">
        <f t="shared" si="12"/>
        <v>2569.5039999999999</v>
      </c>
      <c r="M24" s="200">
        <f>'Tariff Jul 2023'!AZ18</f>
        <v>0</v>
      </c>
      <c r="N24" s="200">
        <f>'Tariff Jul 2023'!BA18</f>
        <v>0</v>
      </c>
      <c r="O24" s="200">
        <f>'Tariff Jul 2023'!BB18</f>
        <v>0</v>
      </c>
      <c r="P24" s="200">
        <f>'Tariff Jul 2023'!BC18</f>
        <v>0</v>
      </c>
      <c r="Q24" s="204" t="str">
        <f t="shared" si="13"/>
        <v>No discount</v>
      </c>
      <c r="R24" s="205" t="str">
        <f t="shared" si="14"/>
        <v>Exclusive</v>
      </c>
      <c r="S24" s="254">
        <f t="shared" si="15"/>
        <v>2335.9127272727269</v>
      </c>
      <c r="T24" s="252">
        <f t="shared" si="16"/>
        <v>2335.9127272727269</v>
      </c>
      <c r="U24" s="260">
        <f t="shared" si="17"/>
        <v>2569.5039999999999</v>
      </c>
      <c r="V24" s="260">
        <f t="shared" si="18"/>
        <v>2569.5039999999999</v>
      </c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</row>
    <row r="25" spans="1:40" customFormat="1" x14ac:dyDescent="0.15">
      <c r="A25" s="308"/>
      <c r="B25" s="309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</row>
    <row r="26" spans="1:40" customFormat="1" ht="15" thickBot="1" x14ac:dyDescent="0.2">
      <c r="A26" s="308"/>
      <c r="B26" s="309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</row>
    <row r="27" spans="1:40" x14ac:dyDescent="0.15">
      <c r="A27" s="116" t="s">
        <v>865</v>
      </c>
      <c r="B27" s="117"/>
      <c r="C27" s="117"/>
      <c r="D27" s="137"/>
      <c r="E27" s="137"/>
      <c r="F27" s="137"/>
      <c r="G27" s="138"/>
      <c r="H27" s="138"/>
      <c r="I27" s="117"/>
      <c r="J27" s="117"/>
      <c r="K27" s="138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</row>
    <row r="28" spans="1:40" x14ac:dyDescent="0.15">
      <c r="A28" s="119" t="s">
        <v>72</v>
      </c>
      <c r="B28" s="60"/>
      <c r="C28" s="143">
        <v>1875</v>
      </c>
      <c r="D28" s="139"/>
      <c r="E28" s="139"/>
      <c r="F28" s="139"/>
      <c r="G28" s="140"/>
      <c r="H28" s="140"/>
      <c r="I28" s="60"/>
      <c r="J28" s="60"/>
      <c r="K28" s="14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</row>
    <row r="29" spans="1:40" x14ac:dyDescent="0.15">
      <c r="A29" s="119" t="s">
        <v>241</v>
      </c>
      <c r="B29" s="60"/>
      <c r="C29" s="144">
        <v>0.8</v>
      </c>
      <c r="D29" s="139"/>
      <c r="E29" s="139"/>
      <c r="F29" s="139"/>
      <c r="G29" s="140"/>
      <c r="H29" s="140"/>
      <c r="I29" s="60"/>
      <c r="J29" s="60"/>
      <c r="K29" s="14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</row>
    <row r="30" spans="1:40" x14ac:dyDescent="0.15">
      <c r="A30" s="119" t="s">
        <v>143</v>
      </c>
      <c r="B30" s="60"/>
      <c r="C30" s="144">
        <v>0.2</v>
      </c>
      <c r="D30" s="139"/>
      <c r="E30" s="139"/>
      <c r="F30" s="139"/>
      <c r="G30" s="140"/>
      <c r="H30" s="140"/>
      <c r="I30" s="60"/>
      <c r="J30" s="60"/>
      <c r="K30" s="14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</row>
    <row r="31" spans="1:40" x14ac:dyDescent="0.15">
      <c r="A31" s="119"/>
      <c r="B31" s="60"/>
      <c r="C31" s="139"/>
      <c r="D31" s="139"/>
      <c r="E31" s="139"/>
      <c r="F31" s="139"/>
      <c r="G31" s="140"/>
      <c r="H31" s="140"/>
      <c r="I31" s="60"/>
      <c r="J31" s="60"/>
      <c r="K31" s="14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</row>
    <row r="32" spans="1:40" ht="75" x14ac:dyDescent="0.15">
      <c r="A32" s="239" t="s">
        <v>278</v>
      </c>
      <c r="B32" s="240" t="s">
        <v>73</v>
      </c>
      <c r="C32" s="248" t="s">
        <v>74</v>
      </c>
      <c r="D32" s="248" t="s">
        <v>852</v>
      </c>
      <c r="E32" s="248" t="s">
        <v>853</v>
      </c>
      <c r="F32" s="248" t="s">
        <v>854</v>
      </c>
      <c r="G32" s="248" t="s">
        <v>856</v>
      </c>
      <c r="H32" s="248" t="s">
        <v>866</v>
      </c>
      <c r="I32" s="248" t="s">
        <v>958</v>
      </c>
      <c r="J32" s="249" t="s">
        <v>857</v>
      </c>
      <c r="K32" s="249" t="s">
        <v>172</v>
      </c>
      <c r="L32" s="242" t="s">
        <v>858</v>
      </c>
      <c r="M32" s="243" t="s">
        <v>174</v>
      </c>
      <c r="N32" s="243" t="s">
        <v>175</v>
      </c>
      <c r="O32" s="243" t="s">
        <v>76</v>
      </c>
      <c r="P32" s="243" t="s">
        <v>77</v>
      </c>
      <c r="Q32" s="251" t="s">
        <v>859</v>
      </c>
      <c r="R32" s="251" t="s">
        <v>860</v>
      </c>
      <c r="S32" s="250" t="s">
        <v>861</v>
      </c>
      <c r="T32" s="250" t="s">
        <v>862</v>
      </c>
      <c r="U32" s="245" t="s">
        <v>353</v>
      </c>
      <c r="V32" s="244" t="s">
        <v>354</v>
      </c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</row>
    <row r="33" spans="1:40" x14ac:dyDescent="0.15">
      <c r="A33" s="199" t="str">
        <f>'Tariff Jul 2023'!K19</f>
        <v>AGL</v>
      </c>
      <c r="B33" s="200" t="str">
        <f>'Tariff Jul 2023'!L19</f>
        <v>Value Saver</v>
      </c>
      <c r="C33" s="217">
        <f>IF('Tariff Jul 2023'!BP19=0,91*'Tariff Jul 2023'!M19/100,(91*'Tariff Jul 2023'!M19/100)+'Tariff Jul 2023'!BP19/4)</f>
        <v>84.59690909090908</v>
      </c>
      <c r="D33" s="217">
        <f>IF('Tariff Jul 2023'!O19="",$C$28*$C$29*'Tariff Jul 2023'!N19/100,IF($C$28*$C$29&gt;='Tariff Jul 2023'!P19,('Tariff Jul 2023'!P19*'Tariff Jul 2023'!N19/100),($C$28*$C$29*'Tariff Jul 2023'!N19/100)))</f>
        <v>591.95454545454527</v>
      </c>
      <c r="E33" s="217">
        <f>IF(AND('Tariff Jul 2023'!P19&gt;0,'Tariff Jul 2023'!R19&gt;0),IF($C$28*$C$29&lt;'Tariff Jul 2023'!P19,0,IF($C$28*$C$29&lt;=('Tariff Jul 2023'!R19+'Tariff Jul 2023'!P19),(($C$28*$C$29-'Tariff Jul 2023'!P19)*'Tariff Jul 2023'!Q19/100),(('Tariff Jul 2023'!R19)*'Tariff Jul 2023'!Q19/100))),0)</f>
        <v>0</v>
      </c>
      <c r="F33" s="217">
        <f>IF(AND('Tariff Jul 2023'!Q19&gt;0,'Tariff Jul 2023'!S19&gt;0),IF($C$28*$C$29&lt;('Tariff Jul 2023'!R19+'Tariff Jul 2023'!P19),0,IF($C$28*$C$29&lt;=('Tariff Jul 2023'!T19+'Tariff Jul 2023'!R19+'Tariff Jul 2023'!P19),(($C$28*$C$29-('Tariff Jul 2023'!R19+'Tariff Jul 2023'!P19))*'Tariff Jul 2023'!S19/100),('Tariff Jul 2023'!T19*'Tariff Jul 2023'!S19/100))),0)</f>
        <v>0</v>
      </c>
      <c r="G33" s="217">
        <f>IF(AND('Tariff Jul 2023'!R19&gt;0,'Tariff Jul 2023'!T19&gt;0),IF(($C$28*$C$29&lt;'Tariff Jul 2023'!T19),(0),($C$28*$C$29-'Tariff Jul 2023'!T19)*'Tariff Jul 2023'!U19/100),IF(AND('Tariff Jul 2023'!R19&gt;0,'Tariff Jul 2023'!T19=""),IF(($C$28*$C$29&lt;'Tariff Jul 2023'!R19+'Tariff Jul 2023'!P19),(0),(($C$28*$C$29-('Tariff Jul 2023'!R19+'Tariff Jul 2023'!P19))*'Tariff Jul 2023'!S19/100)),IF(AND('Tariff Jul 2023'!P19&gt;0,'Tariff Jul 2023'!R19=""&gt;0),IF(($C$28*$C$29&lt;'Tariff Jul 2023'!P19),(0),($C$28*$C$29-'Tariff Jul 2023'!P19)*'Tariff Jul 2023'!Q19/100),0)))</f>
        <v>0</v>
      </c>
      <c r="H33" s="217">
        <f>($C$28*$C$30)*'Tariff Jul 2023'!AE19/100</f>
        <v>72.715909090909079</v>
      </c>
      <c r="I33" s="217">
        <f t="shared" ref="I33:I45" si="19">SUM(C33:H33)</f>
        <v>749.26736363636348</v>
      </c>
      <c r="J33" s="252">
        <f t="shared" ref="J33:J45" si="20">(I33-C33)*4</f>
        <v>2658.6818181818176</v>
      </c>
      <c r="K33" s="203">
        <f>I33*4</f>
        <v>2997.0694545454539</v>
      </c>
      <c r="L33" s="203">
        <f>K33*1.1</f>
        <v>3296.7763999999997</v>
      </c>
      <c r="M33" s="200">
        <f>'Tariff Jul 2023'!AZ19</f>
        <v>0</v>
      </c>
      <c r="N33" s="200">
        <f>'Tariff Jul 2023'!BA19</f>
        <v>0</v>
      </c>
      <c r="O33" s="200">
        <f>'Tariff Jul 2023'!BB19</f>
        <v>0</v>
      </c>
      <c r="P33" s="200">
        <f>'Tariff Jul 2023'!BC19</f>
        <v>0</v>
      </c>
      <c r="Q33" s="204" t="str">
        <f>IF(SUM(M33:P33)=0,"No discount",IF(M33&gt;0,"Guaranteed off bill",IF(N33&gt;0,"Guaranteed off usage",IF(O33&gt;0,"Pay-on-time off bill","Pay-on-time off usage"))))</f>
        <v>No discount</v>
      </c>
      <c r="R33" s="205" t="str">
        <f>IF(OR(A33="Origin Energy",A33="Red Energy",A33="Powershop"),"Inclusive","Exclusive")</f>
        <v>Exclusive</v>
      </c>
      <c r="S33" s="254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2997.0694545454539</v>
      </c>
      <c r="T33" s="25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2997.0694545454539</v>
      </c>
      <c r="U33" s="259">
        <f>S33*1.1</f>
        <v>3296.7763999999997</v>
      </c>
      <c r="V33" s="259">
        <f>T33*1.1</f>
        <v>3296.7763999999997</v>
      </c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</row>
    <row r="34" spans="1:40" x14ac:dyDescent="0.15">
      <c r="A34" s="199" t="str">
        <f>'Tariff Jul 2023'!K20</f>
        <v>Alinta Energy</v>
      </c>
      <c r="B34" s="200" t="str">
        <f>'Tariff Jul 2023'!L20</f>
        <v>Home Deal</v>
      </c>
      <c r="C34" s="217">
        <f>IF('Tariff Jul 2023'!BP20=0,91*'Tariff Jul 2023'!M20/100,(91*'Tariff Jul 2023'!M20/100)+'Tariff Jul 2023'!BP20/4)</f>
        <v>84.208090909090899</v>
      </c>
      <c r="D34" s="217">
        <f>IF('Tariff Jul 2023'!O20="",$C$28*$C$29*'Tariff Jul 2023'!N20/100,IF($C$28*$C$29&gt;='Tariff Jul 2023'!P20,('Tariff Jul 2023'!P20*'Tariff Jul 2023'!N20/100),($C$28*$C$29*'Tariff Jul 2023'!N20/100)))</f>
        <v>648.00000000000011</v>
      </c>
      <c r="E34" s="217">
        <f>IF(AND('Tariff Jul 2023'!P20&gt;0,'Tariff Jul 2023'!R20&gt;0),IF($C$28*$C$29&lt;'Tariff Jul 2023'!P20,0,IF($C$28*$C$29&lt;=('Tariff Jul 2023'!R20+'Tariff Jul 2023'!P20),(($C$28*$C$29-'Tariff Jul 2023'!P20)*'Tariff Jul 2023'!Q20/100),(('Tariff Jul 2023'!R20)*'Tariff Jul 2023'!Q20/100))),0)</f>
        <v>0</v>
      </c>
      <c r="F34" s="217">
        <f>IF(AND('Tariff Jul 2023'!Q20&gt;0,'Tariff Jul 2023'!S20&gt;0),IF($C$28*$C$29&lt;('Tariff Jul 2023'!R20+'Tariff Jul 2023'!P20),0,IF($C$28*$C$29&lt;=('Tariff Jul 2023'!T20+'Tariff Jul 2023'!R20+'Tariff Jul 2023'!P20),(($C$28*$C$29-('Tariff Jul 2023'!R20+'Tariff Jul 2023'!P20))*'Tariff Jul 2023'!S20/100),('Tariff Jul 2023'!T20*'Tariff Jul 2023'!S20/100))),0)</f>
        <v>0</v>
      </c>
      <c r="G34" s="217">
        <f>IF(AND('Tariff Jul 2023'!R20&gt;0,'Tariff Jul 2023'!T20&gt;0),IF(($C$28*$C$29&lt;'Tariff Jul 2023'!T20),(0),($C$28*$C$29-'Tariff Jul 2023'!T20)*'Tariff Jul 2023'!U20/100),IF(AND('Tariff Jul 2023'!R20&gt;0,'Tariff Jul 2023'!T20=""),IF(($C$28*$C$29&lt;'Tariff Jul 2023'!R20+'Tariff Jul 2023'!P20),(0),(($C$28*$C$29-('Tariff Jul 2023'!R20+'Tariff Jul 2023'!P20))*'Tariff Jul 2023'!S20/100)),IF(AND('Tariff Jul 2023'!P20&gt;0,'Tariff Jul 2023'!R20=""&gt;0),IF(($C$28*$C$29&lt;'Tariff Jul 2023'!P20),(0),($C$28*$C$29-'Tariff Jul 2023'!P20)*'Tariff Jul 2023'!Q20/100),0)))</f>
        <v>0</v>
      </c>
      <c r="H34" s="217">
        <f>($C$28*$C$30)*'Tariff Jul 2023'!AE20/100</f>
        <v>77.931818181818187</v>
      </c>
      <c r="I34" s="217">
        <f t="shared" si="19"/>
        <v>810.13990909090921</v>
      </c>
      <c r="J34" s="252">
        <f t="shared" si="20"/>
        <v>2903.7272727272734</v>
      </c>
      <c r="K34" s="203">
        <f t="shared" ref="K34:K45" si="21">I34*4</f>
        <v>3240.5596363636369</v>
      </c>
      <c r="L34" s="203">
        <f t="shared" ref="L34:L45" si="22">K34*1.1</f>
        <v>3564.615600000001</v>
      </c>
      <c r="M34" s="200">
        <f>'Tariff Jul 2023'!AZ20</f>
        <v>0</v>
      </c>
      <c r="N34" s="200">
        <f>'Tariff Jul 2023'!BA20</f>
        <v>0</v>
      </c>
      <c r="O34" s="200">
        <f>'Tariff Jul 2023'!BB20</f>
        <v>0</v>
      </c>
      <c r="P34" s="200">
        <f>'Tariff Jul 2023'!BC20</f>
        <v>0</v>
      </c>
      <c r="Q34" s="204" t="str">
        <f t="shared" ref="Q34:Q45" si="23">IF(SUM(M34:P34)=0,"No discount",IF(M34&gt;0,"Guaranteed off bill",IF(N34&gt;0,"Guaranteed off usage",IF(O34&gt;0,"Pay-on-time off bill","Pay-on-time off usage"))))</f>
        <v>No discount</v>
      </c>
      <c r="R34" s="205" t="str">
        <f>IF(OR(A34="Origin Energy",A34="Red Energy",A34="Powershop"),"Inclusive","Exclusive")</f>
        <v>Exclusive</v>
      </c>
      <c r="S34" s="254">
        <f t="shared" ref="S34:S45" si="24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3240.5596363636369</v>
      </c>
      <c r="T34" s="252">
        <f t="shared" ref="T34:T45" si="25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3240.5596363636369</v>
      </c>
      <c r="U34" s="260">
        <f t="shared" ref="U34:V45" si="26">S34*1.1</f>
        <v>3564.615600000001</v>
      </c>
      <c r="V34" s="260">
        <f t="shared" si="26"/>
        <v>3564.615600000001</v>
      </c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</row>
    <row r="35" spans="1:40" x14ac:dyDescent="0.15">
      <c r="A35" s="199" t="str">
        <f>'Tariff Jul 2023'!K21</f>
        <v>Diamond Energy</v>
      </c>
      <c r="B35" s="200" t="str">
        <f>'Tariff Jul 2023'!L21</f>
        <v>Renewable Saver</v>
      </c>
      <c r="C35" s="217">
        <f>IF('Tariff Jul 2023'!BP21=0,91*'Tariff Jul 2023'!M21/100,(91*'Tariff Jul 2023'!M21/100)+'Tariff Jul 2023'!BP21/4)</f>
        <v>72.8</v>
      </c>
      <c r="D35" s="217">
        <f>IF('Tariff Jul 2023'!O21="",$C$28*$C$29*'Tariff Jul 2023'!N21/100,IF($C$28*$C$29&gt;='Tariff Jul 2023'!P21,('Tariff Jul 2023'!P21*'Tariff Jul 2023'!N21/100),($C$28*$C$29*'Tariff Jul 2023'!N21/100)))</f>
        <v>128.99999999999997</v>
      </c>
      <c r="E35" s="217">
        <f>IF(AND('Tariff Jul 2023'!P21&gt;0,'Tariff Jul 2023'!R21&gt;0),IF($C$28*$C$29&lt;'Tariff Jul 2023'!P21,0,IF($C$28*$C$29&lt;=('Tariff Jul 2023'!R21+'Tariff Jul 2023'!P21),(($C$28*$C$29-'Tariff Jul 2023'!P21)*'Tariff Jul 2023'!Q21/100),(('Tariff Jul 2023'!R21)*'Tariff Jul 2023'!Q21/100))),0)</f>
        <v>186.00909090909087</v>
      </c>
      <c r="F35" s="217">
        <f>IF(AND('Tariff Jul 2023'!Q21&gt;0,'Tariff Jul 2023'!S21&gt;0),IF($C$28*$C$29&lt;('Tariff Jul 2023'!R21+'Tariff Jul 2023'!P21),0,IF($C$28*$C$29&lt;=('Tariff Jul 2023'!T21+'Tariff Jul 2023'!R21+'Tariff Jul 2023'!P21),(($C$28*$C$29-('Tariff Jul 2023'!R21+'Tariff Jul 2023'!P21))*'Tariff Jul 2023'!S21/100),('Tariff Jul 2023'!T21*'Tariff Jul 2023'!S21/100))),0)</f>
        <v>244.99999999999997</v>
      </c>
      <c r="G35" s="217">
        <f>IF(AND('Tariff Jul 2023'!R21&gt;0,'Tariff Jul 2023'!T21&gt;0),IF(($C$28*$C$29&lt;'Tariff Jul 2023'!T21),(0),($C$28*$C$29-'Tariff Jul 2023'!T21)*'Tariff Jul 2023'!U21/100),IF(AND('Tariff Jul 2023'!R21&gt;0,'Tariff Jul 2023'!T21=""),IF(($C$28*$C$29&lt;'Tariff Jul 2023'!R21+'Tariff Jul 2023'!P21),(0),(($C$28*$C$29-('Tariff Jul 2023'!R21+'Tariff Jul 2023'!P21))*'Tariff Jul 2023'!S21/100)),IF(AND('Tariff Jul 2023'!P21&gt;0,'Tariff Jul 2023'!R21=""&gt;0),IF(($C$28*$C$29&lt;'Tariff Jul 2023'!P21),(0),($C$28*$C$29-'Tariff Jul 2023'!P21)*'Tariff Jul 2023'!Q21/100),0)))</f>
        <v>0</v>
      </c>
      <c r="H35" s="217">
        <f>($C$28*$C$30)*'Tariff Jul 2023'!AE21/100</f>
        <v>77.249999999999986</v>
      </c>
      <c r="I35" s="217">
        <f t="shared" si="19"/>
        <v>710.05909090909086</v>
      </c>
      <c r="J35" s="252">
        <f t="shared" si="20"/>
        <v>2549.0363636363636</v>
      </c>
      <c r="K35" s="203">
        <f t="shared" si="21"/>
        <v>2840.2363636363634</v>
      </c>
      <c r="L35" s="203">
        <f t="shared" si="22"/>
        <v>3124.26</v>
      </c>
      <c r="M35" s="200">
        <f>'Tariff Jul 2023'!AZ21</f>
        <v>0</v>
      </c>
      <c r="N35" s="200">
        <f>'Tariff Jul 2023'!BA21</f>
        <v>0</v>
      </c>
      <c r="O35" s="200">
        <f>'Tariff Jul 2023'!BB21</f>
        <v>2</v>
      </c>
      <c r="P35" s="200">
        <f>'Tariff Jul 2023'!BC21</f>
        <v>0</v>
      </c>
      <c r="Q35" s="204" t="str">
        <f t="shared" si="23"/>
        <v>Pay-on-time off bill</v>
      </c>
      <c r="R35" s="205" t="str">
        <f>IF(OR(A35="Origin Energy",A35="Red Energy",A35="Powershop"),"Inclusive","Exclusive")</f>
        <v>Exclusive</v>
      </c>
      <c r="S35" s="254">
        <f t="shared" si="24"/>
        <v>2840.2363636363634</v>
      </c>
      <c r="T35" s="252">
        <f t="shared" si="25"/>
        <v>2783.4316363636362</v>
      </c>
      <c r="U35" s="260">
        <f t="shared" si="26"/>
        <v>3124.26</v>
      </c>
      <c r="V35" s="260">
        <f t="shared" si="26"/>
        <v>3061.7748000000001</v>
      </c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</row>
    <row r="36" spans="1:40" x14ac:dyDescent="0.15">
      <c r="A36" s="199" t="str">
        <f>'Tariff Jul 2023'!K22</f>
        <v>EnergyAustralia</v>
      </c>
      <c r="B36" s="200" t="str">
        <f>'Tariff Jul 2023'!L22</f>
        <v>Flexi Plan</v>
      </c>
      <c r="C36" s="217">
        <f>IF('Tariff Jul 2023'!BP22=0,91*'Tariff Jul 2023'!M22/100,(91*'Tariff Jul 2023'!M22/100)+'Tariff Jul 2023'!BP22/4)</f>
        <v>86.449999999999989</v>
      </c>
      <c r="D36" s="217">
        <f>IF('Tariff Jul 2023'!O22="",$C$28*$C$29*'Tariff Jul 2023'!N22/100,IF($C$28*$C$29&gt;='Tariff Jul 2023'!P22,('Tariff Jul 2023'!P22*'Tariff Jul 2023'!N22/100),($C$28*$C$29*'Tariff Jul 2023'!N22/100)))</f>
        <v>644.72727272727263</v>
      </c>
      <c r="E36" s="217">
        <f>IF(AND('Tariff Jul 2023'!P22&gt;0,'Tariff Jul 2023'!R22&gt;0),IF($C$28*$C$29&lt;'Tariff Jul 2023'!P22,0,IF($C$28*$C$29&lt;=('Tariff Jul 2023'!R22+'Tariff Jul 2023'!P22),(($C$28*$C$29-'Tariff Jul 2023'!P22)*'Tariff Jul 2023'!Q22/100),(('Tariff Jul 2023'!R22)*'Tariff Jul 2023'!Q22/100))),0)</f>
        <v>0</v>
      </c>
      <c r="F36" s="217">
        <f>IF(AND('Tariff Jul 2023'!Q22&gt;0,'Tariff Jul 2023'!S22&gt;0),IF($C$28*$C$29&lt;('Tariff Jul 2023'!R22+'Tariff Jul 2023'!P22),0,IF($C$28*$C$29&lt;=('Tariff Jul 2023'!T22+'Tariff Jul 2023'!R22+'Tariff Jul 2023'!P22),(($C$28*$C$29-('Tariff Jul 2023'!R22+'Tariff Jul 2023'!P22))*'Tariff Jul 2023'!S22/100),('Tariff Jul 2023'!T22*'Tariff Jul 2023'!S22/100))),0)</f>
        <v>0</v>
      </c>
      <c r="G36" s="217">
        <f>IF(AND('Tariff Jul 2023'!R22&gt;0,'Tariff Jul 2023'!T22&gt;0),IF(($C$28*$C$29&lt;'Tariff Jul 2023'!T22),(0),($C$28*$C$29-'Tariff Jul 2023'!T22)*'Tariff Jul 2023'!U22/100),IF(AND('Tariff Jul 2023'!R22&gt;0,'Tariff Jul 2023'!T22=""),IF(($C$28*$C$29&lt;'Tariff Jul 2023'!R22+'Tariff Jul 2023'!P22),(0),(($C$28*$C$29-('Tariff Jul 2023'!R22+'Tariff Jul 2023'!P22))*'Tariff Jul 2023'!S22/100)),IF(AND('Tariff Jul 2023'!P22&gt;0,'Tariff Jul 2023'!R22=""&gt;0),IF(($C$28*$C$29&lt;'Tariff Jul 2023'!P22),(0),($C$28*$C$29-'Tariff Jul 2023'!P22)*'Tariff Jul 2023'!Q22/100),0)))</f>
        <v>0</v>
      </c>
      <c r="H36" s="217">
        <f>($C$28*$C$30)*'Tariff Jul 2023'!AE22/100</f>
        <v>77.999999999999986</v>
      </c>
      <c r="I36" s="217">
        <f t="shared" si="19"/>
        <v>809.17727272727257</v>
      </c>
      <c r="J36" s="252">
        <f t="shared" si="20"/>
        <v>2890.9090909090901</v>
      </c>
      <c r="K36" s="203">
        <f t="shared" si="21"/>
        <v>3236.7090909090903</v>
      </c>
      <c r="L36" s="203">
        <f t="shared" si="22"/>
        <v>3560.3799999999997</v>
      </c>
      <c r="M36" s="200">
        <f>'Tariff Jul 2023'!AZ22</f>
        <v>0</v>
      </c>
      <c r="N36" s="200">
        <f>'Tariff Jul 2023'!BA22</f>
        <v>0</v>
      </c>
      <c r="O36" s="200">
        <f>'Tariff Jul 2023'!BB22</f>
        <v>0</v>
      </c>
      <c r="P36" s="200">
        <f>'Tariff Jul 2023'!BC22</f>
        <v>0</v>
      </c>
      <c r="Q36" s="204" t="str">
        <f t="shared" si="23"/>
        <v>No discount</v>
      </c>
      <c r="R36" s="205" t="str">
        <f t="shared" ref="R36:R45" si="27">IF(OR(A36="Origin Energy",A36="Red Energy",A36="Powershop"),"Inclusive","Exclusive")</f>
        <v>Exclusive</v>
      </c>
      <c r="S36" s="254">
        <f t="shared" si="24"/>
        <v>3236.7090909090903</v>
      </c>
      <c r="T36" s="252">
        <f t="shared" si="25"/>
        <v>3236.7090909090903</v>
      </c>
      <c r="U36" s="260">
        <f t="shared" si="26"/>
        <v>3560.3799999999997</v>
      </c>
      <c r="V36" s="260">
        <f t="shared" si="26"/>
        <v>3560.3799999999997</v>
      </c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</row>
    <row r="37" spans="1:40" x14ac:dyDescent="0.15">
      <c r="A37" s="199" t="str">
        <f>'Tariff Jul 2023'!K23</f>
        <v>Lumo Energy</v>
      </c>
      <c r="B37" s="200" t="str">
        <f>'Tariff Jul 2023'!L23</f>
        <v>Plus</v>
      </c>
      <c r="C37" s="217">
        <f>IF('Tariff Jul 2023'!BP23=0,91*'Tariff Jul 2023'!M23/100,(91*'Tariff Jul 2023'!M23/100)+'Tariff Jul 2023'!BP23/4)</f>
        <v>76.580636363636344</v>
      </c>
      <c r="D37" s="217">
        <f>IF('Tariff Jul 2023'!O23="",$C$28*$C$29*'Tariff Jul 2023'!N23/100,IF($C$28*$C$29&gt;='Tariff Jul 2023'!P23,('Tariff Jul 2023'!P23*'Tariff Jul 2023'!N23/100),($C$28*$C$29*'Tariff Jul 2023'!N23/100)))</f>
        <v>494.72727272727263</v>
      </c>
      <c r="E37" s="217">
        <f>IF(AND('Tariff Jul 2023'!P23&gt;0,'Tariff Jul 2023'!R23&gt;0),IF($C$28*$C$29&lt;'Tariff Jul 2023'!P23,0,IF($C$28*$C$29&lt;=('Tariff Jul 2023'!R23+'Tariff Jul 2023'!P23),(($C$28*$C$29-'Tariff Jul 2023'!P23)*'Tariff Jul 2023'!Q23/100),(('Tariff Jul 2023'!R23)*'Tariff Jul 2023'!Q23/100))),0)</f>
        <v>0</v>
      </c>
      <c r="F37" s="217">
        <f>IF(AND('Tariff Jul 2023'!Q23&gt;0,'Tariff Jul 2023'!S23&gt;0),IF($C$28*$C$29&lt;('Tariff Jul 2023'!R23+'Tariff Jul 2023'!P23),0,IF($C$28*$C$29&lt;=('Tariff Jul 2023'!T23+'Tariff Jul 2023'!R23+'Tariff Jul 2023'!P23),(($C$28*$C$29-('Tariff Jul 2023'!R23+'Tariff Jul 2023'!P23))*'Tariff Jul 2023'!S23/100),('Tariff Jul 2023'!T23*'Tariff Jul 2023'!S23/100))),0)</f>
        <v>0</v>
      </c>
      <c r="G37" s="217">
        <f>IF(AND('Tariff Jul 2023'!R23&gt;0,'Tariff Jul 2023'!T23&gt;0),IF(($C$28*$C$29&lt;'Tariff Jul 2023'!T23),(0),($C$28*$C$29-'Tariff Jul 2023'!T23)*'Tariff Jul 2023'!U23/100),IF(AND('Tariff Jul 2023'!R23&gt;0,'Tariff Jul 2023'!T23=""),IF(($C$28*$C$29&lt;'Tariff Jul 2023'!R23+'Tariff Jul 2023'!P23),(0),(($C$28*$C$29-('Tariff Jul 2023'!R23+'Tariff Jul 2023'!P23))*'Tariff Jul 2023'!S23/100)),IF(AND('Tariff Jul 2023'!P23&gt;0,'Tariff Jul 2023'!R23=""&gt;0),IF(($C$28*$C$29&lt;'Tariff Jul 2023'!P23),(0),($C$28*$C$29-'Tariff Jul 2023'!P23)*'Tariff Jul 2023'!Q23/100),0)))</f>
        <v>0</v>
      </c>
      <c r="H37" s="217">
        <f>($C$28*$C$30)*'Tariff Jul 2023'!AE23/100</f>
        <v>67.5</v>
      </c>
      <c r="I37" s="217">
        <f t="shared" si="19"/>
        <v>638.80790909090899</v>
      </c>
      <c r="J37" s="252">
        <f t="shared" si="20"/>
        <v>2248.9090909090905</v>
      </c>
      <c r="K37" s="203">
        <f t="shared" si="21"/>
        <v>2555.231636363636</v>
      </c>
      <c r="L37" s="203">
        <f t="shared" si="22"/>
        <v>2810.7547999999997</v>
      </c>
      <c r="M37" s="200">
        <f>'Tariff Jul 2023'!AZ23</f>
        <v>0</v>
      </c>
      <c r="N37" s="200">
        <f>'Tariff Jul 2023'!BA23</f>
        <v>0</v>
      </c>
      <c r="O37" s="200">
        <f>'Tariff Jul 2023'!BB23</f>
        <v>0</v>
      </c>
      <c r="P37" s="200">
        <f>'Tariff Jul 2023'!BC23</f>
        <v>0</v>
      </c>
      <c r="Q37" s="204" t="str">
        <f t="shared" si="23"/>
        <v>No discount</v>
      </c>
      <c r="R37" s="205" t="str">
        <f t="shared" si="27"/>
        <v>Exclusive</v>
      </c>
      <c r="S37" s="254">
        <f t="shared" si="24"/>
        <v>2555.231636363636</v>
      </c>
      <c r="T37" s="252">
        <f t="shared" si="25"/>
        <v>2555.231636363636</v>
      </c>
      <c r="U37" s="260">
        <f t="shared" si="26"/>
        <v>2810.7547999999997</v>
      </c>
      <c r="V37" s="260">
        <f t="shared" si="26"/>
        <v>2810.7547999999997</v>
      </c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</row>
    <row r="38" spans="1:40" x14ac:dyDescent="0.15">
      <c r="A38" s="199" t="str">
        <f>'Tariff Jul 2023'!K24</f>
        <v>Origin Energy</v>
      </c>
      <c r="B38" s="200" t="str">
        <f>'Tariff Jul 2023'!L24</f>
        <v>Go Variable</v>
      </c>
      <c r="C38" s="217">
        <f>IF('Tariff Jul 2023'!BP24=0,91*'Tariff Jul 2023'!M24/100,(91*'Tariff Jul 2023'!M24/100)+'Tariff Jul 2023'!BP24/4)</f>
        <v>83.6041818181818</v>
      </c>
      <c r="D38" s="217">
        <f>IF('Tariff Jul 2023'!O24="",$C$28*$C$29*'Tariff Jul 2023'!N24/100,IF($C$28*$C$29&gt;='Tariff Jul 2023'!P24,('Tariff Jul 2023'!P24*'Tariff Jul 2023'!N24/100),($C$28*$C$29*'Tariff Jul 2023'!N24/100)))</f>
        <v>396.45454545454544</v>
      </c>
      <c r="E38" s="217">
        <f>IF(AND('Tariff Jul 2023'!P24&gt;0,'Tariff Jul 2023'!R24&gt;0),IF($C$28*$C$29&lt;'Tariff Jul 2023'!P24,0,IF($C$28*$C$29&lt;=('Tariff Jul 2023'!R24+'Tariff Jul 2023'!P24),(($C$28*$C$29-'Tariff Jul 2023'!P24)*'Tariff Jul 2023'!Q24/100),(('Tariff Jul 2023'!R24)*'Tariff Jul 2023'!Q24/100))),0)</f>
        <v>0</v>
      </c>
      <c r="F38" s="217">
        <f>IF(AND('Tariff Jul 2023'!Q24&gt;0,'Tariff Jul 2023'!S24&gt;0),IF($C$28*$C$29&lt;('Tariff Jul 2023'!R24+'Tariff Jul 2023'!P24),0,IF($C$28*$C$29&lt;=('Tariff Jul 2023'!T24+'Tariff Jul 2023'!R24+'Tariff Jul 2023'!P24),(($C$28*$C$29-('Tariff Jul 2023'!R24+'Tariff Jul 2023'!P24))*'Tariff Jul 2023'!S24/100),('Tariff Jul 2023'!T24*'Tariff Jul 2023'!S24/100))),0)</f>
        <v>0</v>
      </c>
      <c r="G38" s="217">
        <f>IF(AND('Tariff Jul 2023'!R24&gt;0,'Tariff Jul 2023'!T24&gt;0),IF(($C$28*$C$29&lt;'Tariff Jul 2023'!T24),(0),($C$28*$C$29-'Tariff Jul 2023'!T24)*'Tariff Jul 2023'!U24/100),IF(AND('Tariff Jul 2023'!R24&gt;0,'Tariff Jul 2023'!T24=""),IF(($C$28*$C$29&lt;'Tariff Jul 2023'!R24+'Tariff Jul 2023'!P24),(0),(($C$28*$C$29-('Tariff Jul 2023'!R24+'Tariff Jul 2023'!P24))*'Tariff Jul 2023'!S24/100)),IF(AND('Tariff Jul 2023'!P24&gt;0,'Tariff Jul 2023'!R24=""&gt;0),IF(($C$28*$C$29&lt;'Tariff Jul 2023'!P24),(0),($C$28*$C$29-'Tariff Jul 2023'!P24)*'Tariff Jul 2023'!Q24/100),0)))</f>
        <v>214.09090909090909</v>
      </c>
      <c r="H38" s="217">
        <f>($C$28*$C$30)*'Tariff Jul 2023'!AE24/100</f>
        <v>71.386363636363626</v>
      </c>
      <c r="I38" s="217">
        <f t="shared" si="19"/>
        <v>765.53599999999994</v>
      </c>
      <c r="J38" s="252">
        <f t="shared" si="20"/>
        <v>2727.7272727272725</v>
      </c>
      <c r="K38" s="203">
        <f t="shared" si="21"/>
        <v>3062.1439999999998</v>
      </c>
      <c r="L38" s="203">
        <f t="shared" si="22"/>
        <v>3368.3584000000001</v>
      </c>
      <c r="M38" s="200">
        <f>'Tariff Jul 2023'!AZ24</f>
        <v>0</v>
      </c>
      <c r="N38" s="200">
        <f>'Tariff Jul 2023'!BA24</f>
        <v>0</v>
      </c>
      <c r="O38" s="200">
        <f>'Tariff Jul 2023'!BB24</f>
        <v>0</v>
      </c>
      <c r="P38" s="200">
        <f>'Tariff Jul 2023'!BC24</f>
        <v>0</v>
      </c>
      <c r="Q38" s="204" t="str">
        <f t="shared" si="23"/>
        <v>No discount</v>
      </c>
      <c r="R38" s="205" t="str">
        <f t="shared" si="27"/>
        <v>Inclusive</v>
      </c>
      <c r="S38" s="254">
        <f t="shared" si="24"/>
        <v>3062.1439999999998</v>
      </c>
      <c r="T38" s="252">
        <f t="shared" si="25"/>
        <v>3062.1439999999998</v>
      </c>
      <c r="U38" s="260">
        <f t="shared" si="26"/>
        <v>3368.3584000000001</v>
      </c>
      <c r="V38" s="260">
        <f t="shared" si="26"/>
        <v>3368.3584000000001</v>
      </c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</row>
    <row r="39" spans="1:40" x14ac:dyDescent="0.15">
      <c r="A39" s="199" t="str">
        <f>'Tariff Jul 2023'!K25</f>
        <v>Red Energy</v>
      </c>
      <c r="B39" s="200" t="str">
        <f>'Tariff Jul 2023'!L25</f>
        <v>Living Energy Saver</v>
      </c>
      <c r="C39" s="217">
        <f>IF('Tariff Jul 2023'!BP25=0,91*'Tariff Jul 2023'!M25/100,(91*'Tariff Jul 2023'!M25/100)+'Tariff Jul 2023'!BP25/4)</f>
        <v>77.349999999999994</v>
      </c>
      <c r="D39" s="217">
        <f>IF('Tariff Jul 2023'!O25="",$C$28*$C$29*'Tariff Jul 2023'!N25/100,IF($C$28*$C$29&gt;='Tariff Jul 2023'!P25,('Tariff Jul 2023'!P25*'Tariff Jul 2023'!N25/100),($C$28*$C$29*'Tariff Jul 2023'!N25/100)))</f>
        <v>506.31818181818181</v>
      </c>
      <c r="E39" s="217">
        <f>IF(AND('Tariff Jul 2023'!P25&gt;0,'Tariff Jul 2023'!R25&gt;0),IF($C$28*$C$29&lt;'Tariff Jul 2023'!P25,0,IF($C$28*$C$29&lt;=('Tariff Jul 2023'!R25+'Tariff Jul 2023'!P25),(($C$28*$C$29-'Tariff Jul 2023'!P25)*'Tariff Jul 2023'!Q25/100),(('Tariff Jul 2023'!R25)*'Tariff Jul 2023'!Q25/100))),0)</f>
        <v>0</v>
      </c>
      <c r="F39" s="217">
        <f>IF(AND('Tariff Jul 2023'!Q25&gt;0,'Tariff Jul 2023'!S25&gt;0),IF($C$28*$C$29&lt;('Tariff Jul 2023'!R25+'Tariff Jul 2023'!P25),0,IF($C$28*$C$29&lt;=('Tariff Jul 2023'!T25+'Tariff Jul 2023'!R25+'Tariff Jul 2023'!P25),(($C$28*$C$29-('Tariff Jul 2023'!R25+'Tariff Jul 2023'!P25))*'Tariff Jul 2023'!S25/100),('Tariff Jul 2023'!T25*'Tariff Jul 2023'!S25/100))),0)</f>
        <v>0</v>
      </c>
      <c r="G39" s="217">
        <f>IF(AND('Tariff Jul 2023'!R25&gt;0,'Tariff Jul 2023'!T25&gt;0),IF(($C$28*$C$29&lt;'Tariff Jul 2023'!T25),(0),($C$28*$C$29-'Tariff Jul 2023'!T25)*'Tariff Jul 2023'!U25/100),IF(AND('Tariff Jul 2023'!R25&gt;0,'Tariff Jul 2023'!T25=""),IF(($C$28*$C$29&lt;'Tariff Jul 2023'!R25+'Tariff Jul 2023'!P25),(0),(($C$28*$C$29-('Tariff Jul 2023'!R25+'Tariff Jul 2023'!P25))*'Tariff Jul 2023'!S25/100)),IF(AND('Tariff Jul 2023'!P25&gt;0,'Tariff Jul 2023'!R25=""&gt;0),IF(($C$28*$C$29&lt;'Tariff Jul 2023'!P25),(0),($C$28*$C$29-'Tariff Jul 2023'!P25)*'Tariff Jul 2023'!Q25/100),0)))</f>
        <v>0</v>
      </c>
      <c r="H39" s="217">
        <f>($C$28*$C$30)*'Tariff Jul 2023'!AE25/100</f>
        <v>67.5</v>
      </c>
      <c r="I39" s="217">
        <f t="shared" si="19"/>
        <v>651.16818181818178</v>
      </c>
      <c r="J39" s="252">
        <f t="shared" si="20"/>
        <v>2295.272727272727</v>
      </c>
      <c r="K39" s="203">
        <f t="shared" si="21"/>
        <v>2604.6727272727271</v>
      </c>
      <c r="L39" s="203">
        <f t="shared" si="22"/>
        <v>2865.14</v>
      </c>
      <c r="M39" s="200">
        <f>'Tariff Jul 2023'!AZ25</f>
        <v>0</v>
      </c>
      <c r="N39" s="200">
        <f>'Tariff Jul 2023'!BA25</f>
        <v>0</v>
      </c>
      <c r="O39" s="200">
        <f>'Tariff Jul 2023'!BB25</f>
        <v>0</v>
      </c>
      <c r="P39" s="200">
        <f>'Tariff Jul 2023'!BC25</f>
        <v>0</v>
      </c>
      <c r="Q39" s="204" t="str">
        <f t="shared" si="23"/>
        <v>No discount</v>
      </c>
      <c r="R39" s="205" t="str">
        <f t="shared" si="27"/>
        <v>Inclusive</v>
      </c>
      <c r="S39" s="254">
        <f t="shared" si="24"/>
        <v>2604.6727272727271</v>
      </c>
      <c r="T39" s="252">
        <f t="shared" si="25"/>
        <v>2604.6727272727271</v>
      </c>
      <c r="U39" s="260">
        <f t="shared" si="26"/>
        <v>2865.14</v>
      </c>
      <c r="V39" s="260">
        <f t="shared" si="26"/>
        <v>2865.14</v>
      </c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</row>
    <row r="40" spans="1:40" x14ac:dyDescent="0.15">
      <c r="A40" s="199" t="str">
        <f>'Tariff Jul 2023'!K26</f>
        <v>Energy Locals</v>
      </c>
      <c r="B40" s="200" t="str">
        <f>'Tariff Jul 2023'!L26</f>
        <v>Online Member</v>
      </c>
      <c r="C40" s="217">
        <f>IF('Tariff Jul 2023'!BP26=0,91*'Tariff Jul 2023'!M26/100,(91*'Tariff Jul 2023'!M26/100)+'Tariff Jul 2023'!BP26/4)</f>
        <v>87.013636363636351</v>
      </c>
      <c r="D40" s="217">
        <f>IF('Tariff Jul 2023'!O26="",$C$28*$C$29*'Tariff Jul 2023'!N26/100,IF($C$28*$C$29&gt;='Tariff Jul 2023'!P26,('Tariff Jul 2023'!P26*'Tariff Jul 2023'!N26/100),($C$28*$C$29*'Tariff Jul 2023'!N26/100)))</f>
        <v>579.5454545454545</v>
      </c>
      <c r="E40" s="217">
        <f>IF(AND('Tariff Jul 2023'!P26&gt;0,'Tariff Jul 2023'!R26&gt;0),IF($C$28*$C$29&lt;'Tariff Jul 2023'!P26,0,IF($C$28*$C$29&lt;=('Tariff Jul 2023'!R26+'Tariff Jul 2023'!P26),(($C$28*$C$29-'Tariff Jul 2023'!P26)*'Tariff Jul 2023'!Q26/100),(('Tariff Jul 2023'!R26)*'Tariff Jul 2023'!Q26/100))),0)</f>
        <v>0</v>
      </c>
      <c r="F40" s="217">
        <f>IF(AND('Tariff Jul 2023'!Q26&gt;0,'Tariff Jul 2023'!S26&gt;0),IF($C$28*$C$29&lt;('Tariff Jul 2023'!R26+'Tariff Jul 2023'!P26),0,IF($C$28*$C$29&lt;=('Tariff Jul 2023'!T26+'Tariff Jul 2023'!R26+'Tariff Jul 2023'!P26),(($C$28*$C$29-('Tariff Jul 2023'!R26+'Tariff Jul 2023'!P26))*'Tariff Jul 2023'!S26/100),('Tariff Jul 2023'!T26*'Tariff Jul 2023'!S26/100))),0)</f>
        <v>0</v>
      </c>
      <c r="G40" s="217">
        <f>IF(AND('Tariff Jul 2023'!R26&gt;0,'Tariff Jul 2023'!T26&gt;0),IF(($C$28*$C$29&lt;'Tariff Jul 2023'!T26),(0),($C$28*$C$29-'Tariff Jul 2023'!T26)*'Tariff Jul 2023'!U26/100),IF(AND('Tariff Jul 2023'!R26&gt;0,'Tariff Jul 2023'!T26=""),IF(($C$28*$C$29&lt;'Tariff Jul 2023'!R26+'Tariff Jul 2023'!P26),(0),(($C$28*$C$29-('Tariff Jul 2023'!R26+'Tariff Jul 2023'!P26))*'Tariff Jul 2023'!S26/100)),IF(AND('Tariff Jul 2023'!P26&gt;0,'Tariff Jul 2023'!R26=""&gt;0),IF(($C$28*$C$29&lt;'Tariff Jul 2023'!P26),(0),($C$28*$C$29-'Tariff Jul 2023'!P26)*'Tariff Jul 2023'!Q26/100),0)))</f>
        <v>0</v>
      </c>
      <c r="H40" s="217">
        <f>($C$28*$C$30)*'Tariff Jul 2023'!AE26/100</f>
        <v>119.31818181818181</v>
      </c>
      <c r="I40" s="217">
        <f t="shared" si="19"/>
        <v>785.87727272727261</v>
      </c>
      <c r="J40" s="252">
        <f t="shared" si="20"/>
        <v>2795.454545454545</v>
      </c>
      <c r="K40" s="203">
        <f t="shared" si="21"/>
        <v>3143.5090909090904</v>
      </c>
      <c r="L40" s="203">
        <f t="shared" si="22"/>
        <v>3457.8599999999997</v>
      </c>
      <c r="M40" s="200">
        <f>'Tariff Jul 2023'!AZ26</f>
        <v>0</v>
      </c>
      <c r="N40" s="200">
        <f>'Tariff Jul 2023'!BA26</f>
        <v>0</v>
      </c>
      <c r="O40" s="200">
        <f>'Tariff Jul 2023'!BB26</f>
        <v>0</v>
      </c>
      <c r="P40" s="200">
        <f>'Tariff Jul 2023'!BC26</f>
        <v>0</v>
      </c>
      <c r="Q40" s="204" t="str">
        <f t="shared" si="23"/>
        <v>No discount</v>
      </c>
      <c r="R40" s="205" t="str">
        <f t="shared" si="27"/>
        <v>Exclusive</v>
      </c>
      <c r="S40" s="254">
        <f t="shared" si="24"/>
        <v>3143.5090909090904</v>
      </c>
      <c r="T40" s="252">
        <f t="shared" si="25"/>
        <v>3143.5090909090904</v>
      </c>
      <c r="U40" s="260">
        <f t="shared" si="26"/>
        <v>3457.8599999999997</v>
      </c>
      <c r="V40" s="260">
        <f t="shared" si="26"/>
        <v>3457.8599999999997</v>
      </c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</row>
    <row r="41" spans="1:40" x14ac:dyDescent="0.15">
      <c r="A41" s="199" t="str">
        <f>'Tariff Jul 2023'!K27</f>
        <v>Simply Energy</v>
      </c>
      <c r="B41" s="200" t="str">
        <f>'Tariff Jul 2023'!L27</f>
        <v>Saver</v>
      </c>
      <c r="C41" s="217">
        <f>IF('Tariff Jul 2023'!BP27=0,91*'Tariff Jul 2023'!M27/100,(91*'Tariff Jul 2023'!M27/100)+'Tariff Jul 2023'!BP27/4)</f>
        <v>99.909727272727267</v>
      </c>
      <c r="D41" s="217">
        <f>IF('Tariff Jul 2023'!O27="",$C$28*$C$29*'Tariff Jul 2023'!N27/100,IF($C$28*$C$29&gt;='Tariff Jul 2023'!P27,('Tariff Jul 2023'!P27*'Tariff Jul 2023'!N27/100),($C$28*$C$29*'Tariff Jul 2023'!N27/100)))</f>
        <v>416.27272727272725</v>
      </c>
      <c r="E41" s="217">
        <f>IF(AND('Tariff Jul 2023'!P27&gt;0,'Tariff Jul 2023'!R27&gt;0),IF($C$28*$C$29&lt;'Tariff Jul 2023'!P27,0,IF($C$28*$C$29&lt;=('Tariff Jul 2023'!R27+'Tariff Jul 2023'!P27),(($C$28*$C$29-'Tariff Jul 2023'!P27)*'Tariff Jul 2023'!Q27/100),(('Tariff Jul 2023'!R27)*'Tariff Jul 2023'!Q27/100))),0)</f>
        <v>0</v>
      </c>
      <c r="F41" s="217">
        <f>IF(AND('Tariff Jul 2023'!Q27&gt;0,'Tariff Jul 2023'!S27&gt;0),IF($C$28*$C$29&lt;('Tariff Jul 2023'!R27+'Tariff Jul 2023'!P27),0,IF($C$28*$C$29&lt;=('Tariff Jul 2023'!T27+'Tariff Jul 2023'!R27+'Tariff Jul 2023'!P27),(($C$28*$C$29-('Tariff Jul 2023'!R27+'Tariff Jul 2023'!P27))*'Tariff Jul 2023'!S27/100),('Tariff Jul 2023'!T27*'Tariff Jul 2023'!S27/100))),0)</f>
        <v>0</v>
      </c>
      <c r="G41" s="217">
        <f>IF(AND('Tariff Jul 2023'!R27&gt;0,'Tariff Jul 2023'!T27&gt;0),IF(($C$28*$C$29&lt;'Tariff Jul 2023'!T27),(0),($C$28*$C$29-'Tariff Jul 2023'!T27)*'Tariff Jul 2023'!U27/100),IF(AND('Tariff Jul 2023'!R27&gt;0,'Tariff Jul 2023'!T27=""),IF(($C$28*$C$29&lt;'Tariff Jul 2023'!R27+'Tariff Jul 2023'!P27),(0),(($C$28*$C$29-('Tariff Jul 2023'!R27+'Tariff Jul 2023'!P27))*'Tariff Jul 2023'!S27/100)),IF(AND('Tariff Jul 2023'!P27&gt;0,'Tariff Jul 2023'!R27=""&gt;0),IF(($C$28*$C$29&lt;'Tariff Jul 2023'!P27),(0),($C$28*$C$29-'Tariff Jul 2023'!P27)*'Tariff Jul 2023'!Q27/100),0)))</f>
        <v>218.54545454545453</v>
      </c>
      <c r="H41" s="217">
        <f>($C$28*$C$30)*'Tariff Jul 2023'!AE27/100</f>
        <v>77.693181818181813</v>
      </c>
      <c r="I41" s="217">
        <f t="shared" si="19"/>
        <v>812.42109090909094</v>
      </c>
      <c r="J41" s="252">
        <f t="shared" si="20"/>
        <v>2850.0454545454545</v>
      </c>
      <c r="K41" s="203">
        <f t="shared" si="21"/>
        <v>3249.6843636363637</v>
      </c>
      <c r="L41" s="203">
        <f t="shared" si="22"/>
        <v>3574.6528000000003</v>
      </c>
      <c r="M41" s="200">
        <f>'Tariff Jul 2023'!AZ27</f>
        <v>4</v>
      </c>
      <c r="N41" s="200">
        <f>'Tariff Jul 2023'!BA27</f>
        <v>0</v>
      </c>
      <c r="O41" s="200">
        <f>'Tariff Jul 2023'!BB27</f>
        <v>0</v>
      </c>
      <c r="P41" s="200">
        <f>'Tariff Jul 2023'!BC27</f>
        <v>0</v>
      </c>
      <c r="Q41" s="204" t="str">
        <f t="shared" si="23"/>
        <v>Guaranteed off bill</v>
      </c>
      <c r="R41" s="205" t="str">
        <f t="shared" si="27"/>
        <v>Exclusive</v>
      </c>
      <c r="S41" s="254">
        <f t="shared" si="24"/>
        <v>3119.696989090909</v>
      </c>
      <c r="T41" s="252">
        <f t="shared" si="25"/>
        <v>3119.696989090909</v>
      </c>
      <c r="U41" s="260">
        <f t="shared" si="26"/>
        <v>3431.6666880000002</v>
      </c>
      <c r="V41" s="260">
        <f t="shared" si="26"/>
        <v>3431.6666880000002</v>
      </c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</row>
    <row r="42" spans="1:40" x14ac:dyDescent="0.15">
      <c r="A42" s="199" t="str">
        <f>'Tariff Jul 2023'!K28</f>
        <v>Powershop</v>
      </c>
      <c r="B42" s="200" t="str">
        <f>'Tariff Jul 2023'!L28</f>
        <v>Carbon neutral</v>
      </c>
      <c r="C42" s="217">
        <f>IF('Tariff Jul 2023'!BP28=0,91*'Tariff Jul 2023'!M28/100,(91*'Tariff Jul 2023'!M28/100)+'Tariff Jul 2023'!BP28/4)</f>
        <v>121.63390909090909</v>
      </c>
      <c r="D42" s="217">
        <f>IF('Tariff Jul 2023'!O28="",$C$28*$C$29*'Tariff Jul 2023'!N28/100,IF($C$28*$C$29&gt;='Tariff Jul 2023'!P28,('Tariff Jul 2023'!P28*'Tariff Jul 2023'!N28/100),($C$28*$C$29*'Tariff Jul 2023'!N28/100)))</f>
        <v>561.27272727272725</v>
      </c>
      <c r="E42" s="217">
        <f>IF(AND('Tariff Jul 2023'!P28&gt;0,'Tariff Jul 2023'!R28&gt;0),IF($C$28*$C$29&lt;'Tariff Jul 2023'!P28,0,IF($C$28*$C$29&lt;=('Tariff Jul 2023'!R28+'Tariff Jul 2023'!P28),(($C$28*$C$29-'Tariff Jul 2023'!P28)*'Tariff Jul 2023'!Q28/100),(('Tariff Jul 2023'!R28)*'Tariff Jul 2023'!Q28/100))),0)</f>
        <v>0</v>
      </c>
      <c r="F42" s="217">
        <f>IF(AND('Tariff Jul 2023'!Q28&gt;0,'Tariff Jul 2023'!S28&gt;0),IF($C$28*$C$29&lt;('Tariff Jul 2023'!R28+'Tariff Jul 2023'!P28),0,IF($C$28*$C$29&lt;=('Tariff Jul 2023'!T28+'Tariff Jul 2023'!R28+'Tariff Jul 2023'!P28),(($C$28*$C$29-('Tariff Jul 2023'!R28+'Tariff Jul 2023'!P28))*'Tariff Jul 2023'!S28/100),('Tariff Jul 2023'!T28*'Tariff Jul 2023'!S28/100))),0)</f>
        <v>0</v>
      </c>
      <c r="G42" s="217">
        <f>IF(AND('Tariff Jul 2023'!R28&gt;0,'Tariff Jul 2023'!T28&gt;0),IF(($C$28*$C$29&lt;'Tariff Jul 2023'!T28),(0),($C$28*$C$29-'Tariff Jul 2023'!T28)*'Tariff Jul 2023'!U28/100),IF(AND('Tariff Jul 2023'!R28&gt;0,'Tariff Jul 2023'!T28=""),IF(($C$28*$C$29&lt;'Tariff Jul 2023'!R28+'Tariff Jul 2023'!P28),(0),(($C$28*$C$29-('Tariff Jul 2023'!R28+'Tariff Jul 2023'!P28))*'Tariff Jul 2023'!S28/100)),IF(AND('Tariff Jul 2023'!P28&gt;0,'Tariff Jul 2023'!R28=""&gt;0),IF(($C$28*$C$29&lt;'Tariff Jul 2023'!P28),(0),($C$28*$C$29-'Tariff Jul 2023'!P28)*'Tariff Jul 2023'!Q28/100),0)))</f>
        <v>0</v>
      </c>
      <c r="H42" s="217">
        <f>($C$28*$C$30)*'Tariff Jul 2023'!AE28/100</f>
        <v>93.681818181818187</v>
      </c>
      <c r="I42" s="217">
        <f t="shared" si="19"/>
        <v>776.58845454545462</v>
      </c>
      <c r="J42" s="252">
        <f t="shared" si="20"/>
        <v>2619.818181818182</v>
      </c>
      <c r="K42" s="203">
        <f t="shared" si="21"/>
        <v>3106.3538181818185</v>
      </c>
      <c r="L42" s="203">
        <f t="shared" si="22"/>
        <v>3416.9892000000004</v>
      </c>
      <c r="M42" s="200">
        <f>'Tariff Jul 2023'!AZ28</f>
        <v>0</v>
      </c>
      <c r="N42" s="200">
        <f>'Tariff Jul 2023'!BA28</f>
        <v>0</v>
      </c>
      <c r="O42" s="200">
        <f>'Tariff Jul 2023'!BB28</f>
        <v>0</v>
      </c>
      <c r="P42" s="200">
        <f>'Tariff Jul 2023'!BC28</f>
        <v>0</v>
      </c>
      <c r="Q42" s="204" t="str">
        <f t="shared" si="23"/>
        <v>No discount</v>
      </c>
      <c r="R42" s="205" t="str">
        <f t="shared" si="27"/>
        <v>Inclusive</v>
      </c>
      <c r="S42" s="254">
        <f t="shared" si="24"/>
        <v>3106.3538181818185</v>
      </c>
      <c r="T42" s="252">
        <f t="shared" si="25"/>
        <v>3106.3538181818185</v>
      </c>
      <c r="U42" s="260">
        <f t="shared" si="26"/>
        <v>3416.9892000000004</v>
      </c>
      <c r="V42" s="260">
        <f t="shared" si="26"/>
        <v>3416.9892000000004</v>
      </c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</row>
    <row r="43" spans="1:40" x14ac:dyDescent="0.15">
      <c r="A43" s="199" t="str">
        <f>'Tariff Jul 2023'!K29</f>
        <v>Amber Electric</v>
      </c>
      <c r="B43" s="200" t="str">
        <f>'Tariff Jul 2023'!L29</f>
        <v>Amber Plan</v>
      </c>
      <c r="C43" s="217">
        <f>IF('Tariff Jul 2023'!BP29=0,91*'Tariff Jul 2023'!M29/100,(91*'Tariff Jul 2023'!M29/100)+'Tariff Jul 2023'!BP29/4)</f>
        <v>138.25163636363635</v>
      </c>
      <c r="D43" s="217">
        <f>IF('Tariff Jul 2023'!O29="",$C$28*$C$29*'Tariff Jul 2023'!N29/100,IF($C$28*$C$29&gt;='Tariff Jul 2023'!P29,('Tariff Jul 2023'!P29*'Tariff Jul 2023'!N29/100),($C$28*$C$29*'Tariff Jul 2023'!N29/100)))</f>
        <v>693.27272727272737</v>
      </c>
      <c r="E43" s="217">
        <f>IF(AND('Tariff Jul 2023'!P29&gt;0,'Tariff Jul 2023'!R29&gt;0),IF($C$28*$C$29&lt;'Tariff Jul 2023'!P29,0,IF($C$28*$C$29&lt;=('Tariff Jul 2023'!R29+'Tariff Jul 2023'!P29),(($C$28*$C$29-'Tariff Jul 2023'!P29)*'Tariff Jul 2023'!Q29/100),(('Tariff Jul 2023'!R29)*'Tariff Jul 2023'!Q29/100))),0)</f>
        <v>0</v>
      </c>
      <c r="F43" s="217">
        <f>IF(AND('Tariff Jul 2023'!Q29&gt;0,'Tariff Jul 2023'!S29&gt;0),IF($C$28*$C$29&lt;('Tariff Jul 2023'!R29+'Tariff Jul 2023'!P29),0,IF($C$28*$C$29&lt;=('Tariff Jul 2023'!T29+'Tariff Jul 2023'!R29+'Tariff Jul 2023'!P29),(($C$28*$C$29-('Tariff Jul 2023'!R29+'Tariff Jul 2023'!P29))*'Tariff Jul 2023'!S29/100),('Tariff Jul 2023'!T29*'Tariff Jul 2023'!S29/100))),0)</f>
        <v>0</v>
      </c>
      <c r="G43" s="217">
        <f>IF(AND('Tariff Jul 2023'!R29&gt;0,'Tariff Jul 2023'!T29&gt;0),IF(($C$28*$C$29&lt;'Tariff Jul 2023'!T29),(0),($C$28*$C$29-'Tariff Jul 2023'!T29)*'Tariff Jul 2023'!U29/100),IF(AND('Tariff Jul 2023'!R29&gt;0,'Tariff Jul 2023'!T29=""),IF(($C$28*$C$29&lt;'Tariff Jul 2023'!R29+'Tariff Jul 2023'!P29),(0),(($C$28*$C$29-('Tariff Jul 2023'!R29+'Tariff Jul 2023'!P29))*'Tariff Jul 2023'!S29/100)),IF(AND('Tariff Jul 2023'!P29&gt;0,'Tariff Jul 2023'!R29=""&gt;0),IF(($C$28*$C$29&lt;'Tariff Jul 2023'!P29),(0),($C$28*$C$29-'Tariff Jul 2023'!P29)*'Tariff Jul 2023'!Q29/100),0)))</f>
        <v>0</v>
      </c>
      <c r="H43" s="217">
        <f>($C$28*$C$30)*'Tariff Jul 2023'!AE29/100</f>
        <v>127.36363636363636</v>
      </c>
      <c r="I43" s="217">
        <f t="shared" si="19"/>
        <v>958.88800000000003</v>
      </c>
      <c r="J43" s="252">
        <f t="shared" si="20"/>
        <v>3282.545454545455</v>
      </c>
      <c r="K43" s="203">
        <f t="shared" si="21"/>
        <v>3835.5520000000001</v>
      </c>
      <c r="L43" s="203">
        <f t="shared" si="22"/>
        <v>4219.1072000000004</v>
      </c>
      <c r="M43" s="200">
        <f>'Tariff Jul 2023'!AZ29</f>
        <v>0</v>
      </c>
      <c r="N43" s="200">
        <f>'Tariff Jul 2023'!BA29</f>
        <v>0</v>
      </c>
      <c r="O43" s="200">
        <f>'Tariff Jul 2023'!BB29</f>
        <v>0</v>
      </c>
      <c r="P43" s="200">
        <f>'Tariff Jul 2023'!BC29</f>
        <v>0</v>
      </c>
      <c r="Q43" s="204" t="str">
        <f t="shared" si="23"/>
        <v>No discount</v>
      </c>
      <c r="R43" s="205" t="str">
        <f t="shared" si="27"/>
        <v>Exclusive</v>
      </c>
      <c r="S43" s="254">
        <f t="shared" si="24"/>
        <v>3835.5520000000001</v>
      </c>
      <c r="T43" s="252">
        <f t="shared" si="25"/>
        <v>3835.5520000000001</v>
      </c>
      <c r="U43" s="260">
        <f t="shared" si="26"/>
        <v>4219.1072000000004</v>
      </c>
      <c r="V43" s="260">
        <f t="shared" si="26"/>
        <v>4219.1072000000004</v>
      </c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</row>
    <row r="44" spans="1:40" x14ac:dyDescent="0.15">
      <c r="A44" s="199" t="str">
        <f>'Tariff Jul 2023'!K30</f>
        <v>GloBird Energy</v>
      </c>
      <c r="B44" s="200" t="str">
        <f>'Tariff Jul 2023'!L30</f>
        <v>GloSave</v>
      </c>
      <c r="C44" s="217">
        <f>IF('Tariff Jul 2023'!BP30=0,91*'Tariff Jul 2023'!M30/100,(91*'Tariff Jul 2023'!M30/100)+'Tariff Jul 2023'!BP30/4)</f>
        <v>80.079999999999984</v>
      </c>
      <c r="D44" s="217">
        <f>IF('Tariff Jul 2023'!O30="",$C$28*$C$29*'Tariff Jul 2023'!N30/100,IF($C$28*$C$29&gt;='Tariff Jul 2023'!P30,('Tariff Jul 2023'!P30*'Tariff Jul 2023'!N30/100),($C$28*$C$29*'Tariff Jul 2023'!N30/100)))</f>
        <v>490.49999999999994</v>
      </c>
      <c r="E44" s="217">
        <f>IF(AND('Tariff Jul 2023'!P30&gt;0,'Tariff Jul 2023'!R30&gt;0),IF($C$28*$C$29&lt;'Tariff Jul 2023'!P30,0,IF($C$28*$C$29&lt;=('Tariff Jul 2023'!R30+'Tariff Jul 2023'!P30),(($C$28*$C$29-'Tariff Jul 2023'!P30)*'Tariff Jul 2023'!Q30/100),(('Tariff Jul 2023'!R30)*'Tariff Jul 2023'!Q30/100))),0)</f>
        <v>0</v>
      </c>
      <c r="F44" s="217">
        <f>IF(AND('Tariff Jul 2023'!Q30&gt;0,'Tariff Jul 2023'!S30&gt;0),IF($C$28*$C$29&lt;('Tariff Jul 2023'!R30+'Tariff Jul 2023'!P30),0,IF($C$28*$C$29&lt;=('Tariff Jul 2023'!T30+'Tariff Jul 2023'!R30+'Tariff Jul 2023'!P30),(($C$28*$C$29-('Tariff Jul 2023'!R30+'Tariff Jul 2023'!P30))*'Tariff Jul 2023'!S30/100),('Tariff Jul 2023'!T30*'Tariff Jul 2023'!S30/100))),0)</f>
        <v>0</v>
      </c>
      <c r="G44" s="217">
        <f>IF(AND('Tariff Jul 2023'!R30&gt;0,'Tariff Jul 2023'!T30&gt;0),IF(($C$28*$C$29&lt;'Tariff Jul 2023'!T30),(0),($C$28*$C$29-'Tariff Jul 2023'!T30)*'Tariff Jul 2023'!U30/100),IF(AND('Tariff Jul 2023'!R30&gt;0,'Tariff Jul 2023'!T30=""),IF(($C$28*$C$29&lt;'Tariff Jul 2023'!R30+'Tariff Jul 2023'!P30),(0),(($C$28*$C$29-('Tariff Jul 2023'!R30+'Tariff Jul 2023'!P30))*'Tariff Jul 2023'!S30/100)),IF(AND('Tariff Jul 2023'!P30&gt;0,'Tariff Jul 2023'!R30=""&gt;0),IF(($C$28*$C$29&lt;'Tariff Jul 2023'!P30),(0),($C$28*$C$29-'Tariff Jul 2023'!P30)*'Tariff Jul 2023'!Q30/100),0)))</f>
        <v>0</v>
      </c>
      <c r="H44" s="217">
        <f>($C$28*$C$30)*'Tariff Jul 2023'!AE30/100</f>
        <v>73.124999999999986</v>
      </c>
      <c r="I44" s="217">
        <f t="shared" si="19"/>
        <v>643.70499999999993</v>
      </c>
      <c r="J44" s="252">
        <f t="shared" si="20"/>
        <v>2254.5</v>
      </c>
      <c r="K44" s="203">
        <f t="shared" si="21"/>
        <v>2574.8199999999997</v>
      </c>
      <c r="L44" s="203">
        <f t="shared" si="22"/>
        <v>2832.3020000000001</v>
      </c>
      <c r="M44" s="200">
        <f>'Tariff Jul 2023'!AZ30</f>
        <v>0</v>
      </c>
      <c r="N44" s="200">
        <f>'Tariff Jul 2023'!BA30</f>
        <v>0</v>
      </c>
      <c r="O44" s="200">
        <f>'Tariff Jul 2023'!BB30</f>
        <v>2</v>
      </c>
      <c r="P44" s="200">
        <f>'Tariff Jul 2023'!BC30</f>
        <v>0</v>
      </c>
      <c r="Q44" s="204" t="str">
        <f t="shared" si="23"/>
        <v>Pay-on-time off bill</v>
      </c>
      <c r="R44" s="205" t="str">
        <f t="shared" si="27"/>
        <v>Exclusive</v>
      </c>
      <c r="S44" s="254">
        <f t="shared" si="24"/>
        <v>2574.8199999999997</v>
      </c>
      <c r="T44" s="252">
        <f t="shared" si="25"/>
        <v>2523.3235999999997</v>
      </c>
      <c r="U44" s="260">
        <f t="shared" si="26"/>
        <v>2832.3020000000001</v>
      </c>
      <c r="V44" s="260">
        <f t="shared" si="26"/>
        <v>2775.6559600000001</v>
      </c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</row>
    <row r="45" spans="1:40" x14ac:dyDescent="0.15">
      <c r="A45" s="199" t="str">
        <f>'Tariff Jul 2023'!K31</f>
        <v>Kogan Energy</v>
      </c>
      <c r="B45" s="200" t="str">
        <f>'Tariff Jul 2023'!L31</f>
        <v>Free Kogan First Membership</v>
      </c>
      <c r="C45" s="217">
        <f>IF('Tariff Jul 2023'!BP31=0,91*'Tariff Jul 2023'!M31/100,(91*'Tariff Jul 2023'!M31/100)+'Tariff Jul 2023'!BP31/4)</f>
        <v>121.63390909090909</v>
      </c>
      <c r="D45" s="217">
        <f>IF('Tariff Jul 2023'!O31="",$C$28*$C$29*'Tariff Jul 2023'!N31/100,IF($C$28*$C$29&gt;='Tariff Jul 2023'!P31,('Tariff Jul 2023'!P31*'Tariff Jul 2023'!N31/100),($C$28*$C$29*'Tariff Jul 2023'!N31/100)))</f>
        <v>561.27272727272725</v>
      </c>
      <c r="E45" s="217">
        <f>IF(AND('Tariff Jul 2023'!P31&gt;0,'Tariff Jul 2023'!R31&gt;0),IF($C$28*$C$29&lt;'Tariff Jul 2023'!P31,0,IF($C$28*$C$29&lt;=('Tariff Jul 2023'!R31+'Tariff Jul 2023'!P31),(($C$28*$C$29-'Tariff Jul 2023'!P31)*'Tariff Jul 2023'!Q31/100),(('Tariff Jul 2023'!R31)*'Tariff Jul 2023'!Q31/100))),0)</f>
        <v>0</v>
      </c>
      <c r="F45" s="217">
        <f>IF(AND('Tariff Jul 2023'!Q31&gt;0,'Tariff Jul 2023'!S31&gt;0),IF($C$28*$C$29&lt;('Tariff Jul 2023'!R31+'Tariff Jul 2023'!P31),0,IF($C$28*$C$29&lt;=('Tariff Jul 2023'!T31+'Tariff Jul 2023'!R31+'Tariff Jul 2023'!P31),(($C$28*$C$29-('Tariff Jul 2023'!R31+'Tariff Jul 2023'!P31))*'Tariff Jul 2023'!S31/100),('Tariff Jul 2023'!T31*'Tariff Jul 2023'!S31/100))),0)</f>
        <v>0</v>
      </c>
      <c r="G45" s="217">
        <f>IF(AND('Tariff Jul 2023'!R31&gt;0,'Tariff Jul 2023'!T31&gt;0),IF(($C$28*$C$29&lt;'Tariff Jul 2023'!T31),(0),($C$28*$C$29-'Tariff Jul 2023'!T31)*'Tariff Jul 2023'!U31/100),IF(AND('Tariff Jul 2023'!R31&gt;0,'Tariff Jul 2023'!T31=""),IF(($C$28*$C$29&lt;'Tariff Jul 2023'!R31+'Tariff Jul 2023'!P31),(0),(($C$28*$C$29-('Tariff Jul 2023'!R31+'Tariff Jul 2023'!P31))*'Tariff Jul 2023'!S31/100)),IF(AND('Tariff Jul 2023'!P31&gt;0,'Tariff Jul 2023'!R31=""&gt;0),IF(($C$28*$C$29&lt;'Tariff Jul 2023'!P31),(0),($C$28*$C$29-'Tariff Jul 2023'!P31)*'Tariff Jul 2023'!Q31/100),0)))</f>
        <v>0</v>
      </c>
      <c r="H45" s="217">
        <f>($C$28*$C$30)*'Tariff Jul 2023'!AE31/100</f>
        <v>93.681818181818187</v>
      </c>
      <c r="I45" s="217">
        <f t="shared" si="19"/>
        <v>776.58845454545462</v>
      </c>
      <c r="J45" s="252">
        <f t="shared" si="20"/>
        <v>2619.818181818182</v>
      </c>
      <c r="K45" s="203">
        <f t="shared" si="21"/>
        <v>3106.3538181818185</v>
      </c>
      <c r="L45" s="203">
        <f t="shared" si="22"/>
        <v>3416.9892000000004</v>
      </c>
      <c r="M45" s="200">
        <f>'Tariff Jul 2023'!AZ31</f>
        <v>0</v>
      </c>
      <c r="N45" s="200">
        <f>'Tariff Jul 2023'!BA31</f>
        <v>0</v>
      </c>
      <c r="O45" s="200">
        <f>'Tariff Jul 2023'!BB31</f>
        <v>0</v>
      </c>
      <c r="P45" s="200">
        <f>'Tariff Jul 2023'!BC31</f>
        <v>0</v>
      </c>
      <c r="Q45" s="204" t="str">
        <f t="shared" si="23"/>
        <v>No discount</v>
      </c>
      <c r="R45" s="205" t="str">
        <f t="shared" si="27"/>
        <v>Exclusive</v>
      </c>
      <c r="S45" s="254">
        <f t="shared" si="24"/>
        <v>3106.3538181818185</v>
      </c>
      <c r="T45" s="252">
        <f t="shared" si="25"/>
        <v>3106.3538181818185</v>
      </c>
      <c r="U45" s="260">
        <f t="shared" si="26"/>
        <v>3416.9892000000004</v>
      </c>
      <c r="V45" s="260">
        <f t="shared" si="26"/>
        <v>3416.9892000000004</v>
      </c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</row>
    <row r="46" spans="1:40" x14ac:dyDescent="0.15">
      <c r="A46" s="199" t="str">
        <f>'Tariff Jul 2023'!K32</f>
        <v>Momentum</v>
      </c>
      <c r="B46" s="200" t="str">
        <f>'Tariff Jul 2023'!L32</f>
        <v>Suit Yourself</v>
      </c>
      <c r="C46" s="217">
        <f>IF('Tariff Jul 2023'!BP32=0,91*'Tariff Jul 2023'!M32/100,(91*'Tariff Jul 2023'!M32/100)+'Tariff Jul 2023'!BP32/4)</f>
        <v>142.96100000000001</v>
      </c>
      <c r="D46" s="217">
        <f>IF('Tariff Jul 2023'!O32="",$C$28*$C$29*'Tariff Jul 2023'!N32/100,IF($C$28*$C$29&gt;='Tariff Jul 2023'!P32,('Tariff Jul 2023'!P32*'Tariff Jul 2023'!N32/100),($C$28*$C$29*'Tariff Jul 2023'!N32/100)))</f>
        <v>594</v>
      </c>
      <c r="E46" s="217">
        <f>IF(AND('Tariff Jul 2023'!P32&gt;0,'Tariff Jul 2023'!R32&gt;0),IF($C$28*$C$29&lt;'Tariff Jul 2023'!P32,0,IF($C$28*$C$29&lt;=('Tariff Jul 2023'!R32+'Tariff Jul 2023'!P32),(($C$28*$C$29-'Tariff Jul 2023'!P32)*'Tariff Jul 2023'!Q32/100),(('Tariff Jul 2023'!R32)*'Tariff Jul 2023'!Q32/100))),0)</f>
        <v>0</v>
      </c>
      <c r="F46" s="217">
        <f>IF(AND('Tariff Jul 2023'!Q32&gt;0,'Tariff Jul 2023'!S32&gt;0),IF($C$28*$C$29&lt;('Tariff Jul 2023'!R32+'Tariff Jul 2023'!P32),0,IF($C$28*$C$29&lt;=('Tariff Jul 2023'!T32+'Tariff Jul 2023'!R32+'Tariff Jul 2023'!P32),(($C$28*$C$29-('Tariff Jul 2023'!R32+'Tariff Jul 2023'!P32))*'Tariff Jul 2023'!S32/100),('Tariff Jul 2023'!T32*'Tariff Jul 2023'!S32/100))),0)</f>
        <v>0</v>
      </c>
      <c r="G46" s="217">
        <f>IF(AND('Tariff Jul 2023'!R32&gt;0,'Tariff Jul 2023'!T32&gt;0),IF(($C$28*$C$29&lt;'Tariff Jul 2023'!T32),(0),($C$28*$C$29-'Tariff Jul 2023'!T32)*'Tariff Jul 2023'!U32/100),IF(AND('Tariff Jul 2023'!R32&gt;0,'Tariff Jul 2023'!T32=""),IF(($C$28*$C$29&lt;'Tariff Jul 2023'!R32+'Tariff Jul 2023'!P32),(0),(($C$28*$C$29-('Tariff Jul 2023'!R32+'Tariff Jul 2023'!P32))*'Tariff Jul 2023'!S32/100)),IF(AND('Tariff Jul 2023'!P32&gt;0,'Tariff Jul 2023'!R32=""&gt;0),IF(($C$28*$C$29&lt;'Tariff Jul 2023'!P32),(0),($C$28*$C$29-'Tariff Jul 2023'!P32)*'Tariff Jul 2023'!Q32/100),0)))</f>
        <v>0</v>
      </c>
      <c r="H46" s="217">
        <f>($C$28*$C$30)*'Tariff Jul 2023'!AE32/100</f>
        <v>60</v>
      </c>
      <c r="I46" s="217">
        <f t="shared" ref="I46:I49" si="28">SUM(C46:H46)</f>
        <v>796.96100000000001</v>
      </c>
      <c r="J46" s="252">
        <f t="shared" ref="J46:J49" si="29">(I46-C46)*4</f>
        <v>2616</v>
      </c>
      <c r="K46" s="203">
        <f t="shared" ref="K46:K49" si="30">I46*4</f>
        <v>3187.8440000000001</v>
      </c>
      <c r="L46" s="203">
        <f t="shared" ref="L46:L49" si="31">K46*1.1</f>
        <v>3506.6284000000005</v>
      </c>
      <c r="M46" s="200">
        <f>'Tariff Jul 2023'!AZ32</f>
        <v>0</v>
      </c>
      <c r="N46" s="200">
        <f>'Tariff Jul 2023'!BA32</f>
        <v>0</v>
      </c>
      <c r="O46" s="200">
        <f>'Tariff Jul 2023'!BB32</f>
        <v>0</v>
      </c>
      <c r="P46" s="200">
        <f>'Tariff Jul 2023'!BC32</f>
        <v>0</v>
      </c>
      <c r="Q46" s="204" t="str">
        <f t="shared" ref="Q46:Q49" si="32">IF(SUM(M46:P46)=0,"No discount",IF(M46&gt;0,"Guaranteed off bill",IF(N46&gt;0,"Guaranteed off usage",IF(O46&gt;0,"Pay-on-time off bill","Pay-on-time off usage"))))</f>
        <v>No discount</v>
      </c>
      <c r="R46" s="205" t="str">
        <f t="shared" ref="R46:R49" si="33">IF(OR(A46="Origin Energy",A46="Red Energy",A46="Powershop"),"Inclusive","Exclusive")</f>
        <v>Exclusive</v>
      </c>
      <c r="S46" s="254">
        <f t="shared" ref="S46:S49" si="34">IF(AND(Q46="Guaranteed off bill",R46="Inclusive"),((K46*1.1)-((K46*1.1)*M46/100))/1.1,IF(AND(Q46="Guaranteed off usage",R46="Inclusive"),((K46*1.1)-((J46*1.1)*N46/100))/1.1,IF(AND(Q46="Guaranteed off bill",R46="Exclusive"),K46-(K46*M46/100),IF(AND(Q46="Guaranteed off usage",R46="Exclusive"),K46-(J46*N46/100),IF(R46="Inclusive",((K46*1.1))/1.1,K46)))))</f>
        <v>3187.8440000000001</v>
      </c>
      <c r="T46" s="252">
        <f t="shared" ref="T46:T49" si="35">IF(AND(Q46="Pay-on-time off bill",R46="Inclusive"),((S46*1.1)-((S46*1.1)*O46/100))/1.1,IF(AND(Q46="Pay-on-time off usage",R46="Inclusive"),((S46*1.1)-((J46*1.1)*P46/100))/1.1,IF(AND(Q46="Pay-on-time off bill",R46="Exclusive"),S46-(S46*O46/100),IF(AND(Q46="Pay-on-time off usage",R46="Exclusive"),S46-(J46*P46/100),IF(R46="Inclusive",((S46*1.1))/1.1,S46)))))</f>
        <v>3187.8440000000001</v>
      </c>
      <c r="U46" s="260">
        <f t="shared" ref="U46:U49" si="36">S46*1.1</f>
        <v>3506.6284000000005</v>
      </c>
      <c r="V46" s="260">
        <f t="shared" ref="V46:V49" si="37">T46*1.1</f>
        <v>3506.6284000000005</v>
      </c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</row>
    <row r="47" spans="1:40" x14ac:dyDescent="0.15">
      <c r="A47" s="199" t="str">
        <f>'Tariff Jul 2023'!K33</f>
        <v>OVO</v>
      </c>
      <c r="B47" s="200" t="str">
        <f>'Tariff Jul 2023'!L33</f>
        <v>The One Plan</v>
      </c>
      <c r="C47" s="217">
        <f>IF('Tariff Jul 2023'!BP33=0,91*'Tariff Jul 2023'!M33/100,(91*'Tariff Jul 2023'!M33/100)+'Tariff Jul 2023'!BP33/4)</f>
        <v>87.814999999999998</v>
      </c>
      <c r="D47" s="217">
        <f>IF('Tariff Jul 2023'!O33="",$C$28*$C$29*'Tariff Jul 2023'!N33/100,IF($C$28*$C$29&gt;='Tariff Jul 2023'!P33,('Tariff Jul 2023'!P33*'Tariff Jul 2023'!N33/100),($C$28*$C$29*'Tariff Jul 2023'!N33/100)))</f>
        <v>466.5</v>
      </c>
      <c r="E47" s="217">
        <f>IF(AND('Tariff Jul 2023'!P33&gt;0,'Tariff Jul 2023'!R33&gt;0),IF($C$28*$C$29&lt;'Tariff Jul 2023'!P33,0,IF($C$28*$C$29&lt;=('Tariff Jul 2023'!R33+'Tariff Jul 2023'!P33),(($C$28*$C$29-'Tariff Jul 2023'!P33)*'Tariff Jul 2023'!Q33/100),(('Tariff Jul 2023'!R33)*'Tariff Jul 2023'!Q33/100))),0)</f>
        <v>0</v>
      </c>
      <c r="F47" s="217">
        <f>IF(AND('Tariff Jul 2023'!Q33&gt;0,'Tariff Jul 2023'!S33&gt;0),IF($C$28*$C$29&lt;('Tariff Jul 2023'!R33+'Tariff Jul 2023'!P33),0,IF($C$28*$C$29&lt;=('Tariff Jul 2023'!T33+'Tariff Jul 2023'!R33+'Tariff Jul 2023'!P33),(($C$28*$C$29-('Tariff Jul 2023'!R33+'Tariff Jul 2023'!P33))*'Tariff Jul 2023'!S33/100),('Tariff Jul 2023'!T33*'Tariff Jul 2023'!S33/100))),0)</f>
        <v>0</v>
      </c>
      <c r="G47" s="217">
        <f>IF(AND('Tariff Jul 2023'!R33&gt;0,'Tariff Jul 2023'!T33&gt;0),IF(($C$28*$C$29&lt;'Tariff Jul 2023'!T33),(0),($C$28*$C$29-'Tariff Jul 2023'!T33)*'Tariff Jul 2023'!U33/100),IF(AND('Tariff Jul 2023'!R33&gt;0,'Tariff Jul 2023'!T33=""),IF(($C$28*$C$29&lt;'Tariff Jul 2023'!R33+'Tariff Jul 2023'!P33),(0),(($C$28*$C$29-('Tariff Jul 2023'!R33+'Tariff Jul 2023'!P33))*'Tariff Jul 2023'!S33/100)),IF(AND('Tariff Jul 2023'!P33&gt;0,'Tariff Jul 2023'!R33=""&gt;0),IF(($C$28*$C$29&lt;'Tariff Jul 2023'!P33),(0),($C$28*$C$29-'Tariff Jul 2023'!P33)*'Tariff Jul 2023'!Q33/100),0)))</f>
        <v>0</v>
      </c>
      <c r="H47" s="217">
        <f>($C$28*$C$30)*'Tariff Jul 2023'!AE33/100</f>
        <v>68.25</v>
      </c>
      <c r="I47" s="217">
        <f t="shared" si="28"/>
        <v>622.56500000000005</v>
      </c>
      <c r="J47" s="252">
        <f t="shared" si="29"/>
        <v>2139</v>
      </c>
      <c r="K47" s="203">
        <f t="shared" si="30"/>
        <v>2490.2600000000002</v>
      </c>
      <c r="L47" s="203">
        <f t="shared" si="31"/>
        <v>2739.2860000000005</v>
      </c>
      <c r="M47" s="200">
        <f>'Tariff Jul 2023'!AZ33</f>
        <v>0</v>
      </c>
      <c r="N47" s="200">
        <f>'Tariff Jul 2023'!BA33</f>
        <v>0</v>
      </c>
      <c r="O47" s="200">
        <f>'Tariff Jul 2023'!BB33</f>
        <v>0</v>
      </c>
      <c r="P47" s="200">
        <f>'Tariff Jul 2023'!BC33</f>
        <v>0</v>
      </c>
      <c r="Q47" s="204" t="str">
        <f t="shared" si="32"/>
        <v>No discount</v>
      </c>
      <c r="R47" s="205" t="str">
        <f t="shared" si="33"/>
        <v>Exclusive</v>
      </c>
      <c r="S47" s="254">
        <f t="shared" si="34"/>
        <v>2490.2600000000002</v>
      </c>
      <c r="T47" s="252">
        <f t="shared" si="35"/>
        <v>2490.2600000000002</v>
      </c>
      <c r="U47" s="260">
        <f t="shared" si="36"/>
        <v>2739.2860000000005</v>
      </c>
      <c r="V47" s="260">
        <f t="shared" si="37"/>
        <v>2739.2860000000005</v>
      </c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</row>
    <row r="48" spans="1:40" x14ac:dyDescent="0.15">
      <c r="A48" s="199" t="str">
        <f>'Tariff Jul 2023'!K34</f>
        <v>Sumo Power</v>
      </c>
      <c r="B48" s="200" t="str">
        <f>'Tariff Jul 2023'!L34</f>
        <v>Lite</v>
      </c>
      <c r="C48" s="217">
        <f>IF('Tariff Jul 2023'!BP34=0,91*'Tariff Jul 2023'!M34/100,(91*'Tariff Jul 2023'!M34/100)+'Tariff Jul 2023'!BP34/4)</f>
        <v>96.45999999999998</v>
      </c>
      <c r="D48" s="217">
        <f>IF('Tariff Jul 2023'!O34="",$C$28*$C$29*'Tariff Jul 2023'!N34/100,IF($C$28*$C$29&gt;='Tariff Jul 2023'!P34,('Tariff Jul 2023'!P34*'Tariff Jul 2023'!N34/100),($C$28*$C$29*'Tariff Jul 2023'!N34/100)))</f>
        <v>630</v>
      </c>
      <c r="E48" s="217">
        <f>IF(AND('Tariff Jul 2023'!P34&gt;0,'Tariff Jul 2023'!R34&gt;0),IF($C$28*$C$29&lt;'Tariff Jul 2023'!P34,0,IF($C$28*$C$29&lt;=('Tariff Jul 2023'!R34+'Tariff Jul 2023'!P34),(($C$28*$C$29-'Tariff Jul 2023'!P34)*'Tariff Jul 2023'!Q34/100),(('Tariff Jul 2023'!R34)*'Tariff Jul 2023'!Q34/100))),0)</f>
        <v>0</v>
      </c>
      <c r="F48" s="217">
        <f>IF(AND('Tariff Jul 2023'!Q34&gt;0,'Tariff Jul 2023'!S34&gt;0),IF($C$28*$C$29&lt;('Tariff Jul 2023'!R34+'Tariff Jul 2023'!P34),0,IF($C$28*$C$29&lt;=('Tariff Jul 2023'!T34+'Tariff Jul 2023'!R34+'Tariff Jul 2023'!P34),(($C$28*$C$29-('Tariff Jul 2023'!R34+'Tariff Jul 2023'!P34))*'Tariff Jul 2023'!S34/100),('Tariff Jul 2023'!T34*'Tariff Jul 2023'!S34/100))),0)</f>
        <v>0</v>
      </c>
      <c r="G48" s="217">
        <f>IF(AND('Tariff Jul 2023'!R34&gt;0,'Tariff Jul 2023'!T34&gt;0),IF(($C$28*$C$29&lt;'Tariff Jul 2023'!T34),(0),($C$28*$C$29-'Tariff Jul 2023'!T34)*'Tariff Jul 2023'!U34/100),IF(AND('Tariff Jul 2023'!R34&gt;0,'Tariff Jul 2023'!T34=""),IF(($C$28*$C$29&lt;'Tariff Jul 2023'!R34+'Tariff Jul 2023'!P34),(0),(($C$28*$C$29-('Tariff Jul 2023'!R34+'Tariff Jul 2023'!P34))*'Tariff Jul 2023'!S34/100)),IF(AND('Tariff Jul 2023'!P34&gt;0,'Tariff Jul 2023'!R34=""&gt;0),IF(($C$28*$C$29&lt;'Tariff Jul 2023'!P34),(0),($C$28*$C$29-'Tariff Jul 2023'!P34)*'Tariff Jul 2023'!Q34/100),0)))</f>
        <v>0</v>
      </c>
      <c r="H48" s="217">
        <f>($C$28*$C$30)*'Tariff Jul 2023'!AE34/100</f>
        <v>78.374999999999986</v>
      </c>
      <c r="I48" s="217">
        <f t="shared" si="28"/>
        <v>804.83500000000004</v>
      </c>
      <c r="J48" s="252">
        <f t="shared" si="29"/>
        <v>2833.5</v>
      </c>
      <c r="K48" s="203">
        <f t="shared" si="30"/>
        <v>3219.34</v>
      </c>
      <c r="L48" s="203">
        <f t="shared" si="31"/>
        <v>3541.2740000000003</v>
      </c>
      <c r="M48" s="200">
        <f>'Tariff Jul 2023'!AZ34</f>
        <v>0</v>
      </c>
      <c r="N48" s="200">
        <f>'Tariff Jul 2023'!BA34</f>
        <v>0</v>
      </c>
      <c r="O48" s="200">
        <f>'Tariff Jul 2023'!BB34</f>
        <v>0</v>
      </c>
      <c r="P48" s="200">
        <f>'Tariff Jul 2023'!BC34</f>
        <v>0</v>
      </c>
      <c r="Q48" s="204" t="str">
        <f t="shared" si="32"/>
        <v>No discount</v>
      </c>
      <c r="R48" s="205" t="str">
        <f t="shared" si="33"/>
        <v>Exclusive</v>
      </c>
      <c r="S48" s="254">
        <f t="shared" si="34"/>
        <v>3219.34</v>
      </c>
      <c r="T48" s="252">
        <f t="shared" si="35"/>
        <v>3219.34</v>
      </c>
      <c r="U48" s="260">
        <f t="shared" si="36"/>
        <v>3541.2740000000003</v>
      </c>
      <c r="V48" s="260">
        <f t="shared" si="37"/>
        <v>3541.2740000000003</v>
      </c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</row>
    <row r="49" spans="1:40" x14ac:dyDescent="0.15">
      <c r="A49" s="199" t="str">
        <f>'Tariff Jul 2023'!K35</f>
        <v>CovaU</v>
      </c>
      <c r="B49" s="200" t="str">
        <f>'Tariff Jul 2023'!L35</f>
        <v>Freedom</v>
      </c>
      <c r="C49" s="217">
        <f>IF('Tariff Jul 2023'!BP35=0,91*'Tariff Jul 2023'!M35/100,(91*'Tariff Jul 2023'!M35/100)+'Tariff Jul 2023'!BP35/4)</f>
        <v>85.705454545454543</v>
      </c>
      <c r="D49" s="217">
        <f>IF('Tariff Jul 2023'!O35="",$C$28*$C$29*'Tariff Jul 2023'!N35/100,IF($C$28*$C$29&gt;='Tariff Jul 2023'!P35,('Tariff Jul 2023'!P35*'Tariff Jul 2023'!N35/100),($C$28*$C$29*'Tariff Jul 2023'!N35/100)))</f>
        <v>498.2727272727272</v>
      </c>
      <c r="E49" s="217">
        <f>IF(AND('Tariff Jul 2023'!P35&gt;0,'Tariff Jul 2023'!R35&gt;0),IF($C$28*$C$29&lt;'Tariff Jul 2023'!P35,0,IF($C$28*$C$29&lt;=('Tariff Jul 2023'!R35+'Tariff Jul 2023'!P35),(($C$28*$C$29-'Tariff Jul 2023'!P35)*'Tariff Jul 2023'!Q35/100),(('Tariff Jul 2023'!R35)*'Tariff Jul 2023'!Q35/100))),0)</f>
        <v>0</v>
      </c>
      <c r="F49" s="217">
        <f>IF(AND('Tariff Jul 2023'!Q35&gt;0,'Tariff Jul 2023'!S35&gt;0),IF($C$28*$C$29&lt;('Tariff Jul 2023'!R35+'Tariff Jul 2023'!P35),0,IF($C$28*$C$29&lt;=('Tariff Jul 2023'!T35+'Tariff Jul 2023'!R35+'Tariff Jul 2023'!P35),(($C$28*$C$29-('Tariff Jul 2023'!R35+'Tariff Jul 2023'!P35))*'Tariff Jul 2023'!S35/100),('Tariff Jul 2023'!T35*'Tariff Jul 2023'!S35/100))),0)</f>
        <v>0</v>
      </c>
      <c r="G49" s="217">
        <f>IF(AND('Tariff Jul 2023'!R35&gt;0,'Tariff Jul 2023'!T35&gt;0),IF(($C$28*$C$29&lt;'Tariff Jul 2023'!T35),(0),($C$28*$C$29-'Tariff Jul 2023'!T35)*'Tariff Jul 2023'!U35/100),IF(AND('Tariff Jul 2023'!R35&gt;0,'Tariff Jul 2023'!T35=""),IF(($C$28*$C$29&lt;'Tariff Jul 2023'!R35+'Tariff Jul 2023'!P35),(0),(($C$28*$C$29-('Tariff Jul 2023'!R35+'Tariff Jul 2023'!P35))*'Tariff Jul 2023'!S35/100)),IF(AND('Tariff Jul 2023'!P35&gt;0,'Tariff Jul 2023'!R35=""&gt;0),IF(($C$28*$C$29&lt;'Tariff Jul 2023'!P35),(0),($C$28*$C$29-'Tariff Jul 2023'!P35)*'Tariff Jul 2023'!Q35/100),0)))</f>
        <v>0</v>
      </c>
      <c r="H49" s="217">
        <f>($C$28*$C$30)*'Tariff Jul 2023'!AE35/100</f>
        <v>88.36363636363636</v>
      </c>
      <c r="I49" s="217">
        <f t="shared" si="28"/>
        <v>672.3418181818181</v>
      </c>
      <c r="J49" s="252">
        <f t="shared" si="29"/>
        <v>2346.545454545454</v>
      </c>
      <c r="K49" s="203">
        <f t="shared" si="30"/>
        <v>2689.3672727272724</v>
      </c>
      <c r="L49" s="203">
        <f t="shared" si="31"/>
        <v>2958.3040000000001</v>
      </c>
      <c r="M49" s="200">
        <f>'Tariff Jul 2023'!AZ35</f>
        <v>0</v>
      </c>
      <c r="N49" s="200">
        <f>'Tariff Jul 2023'!BA35</f>
        <v>0</v>
      </c>
      <c r="O49" s="200">
        <f>'Tariff Jul 2023'!BB35</f>
        <v>0</v>
      </c>
      <c r="P49" s="200">
        <f>'Tariff Jul 2023'!BC35</f>
        <v>0</v>
      </c>
      <c r="Q49" s="204" t="str">
        <f t="shared" si="32"/>
        <v>No discount</v>
      </c>
      <c r="R49" s="205" t="str">
        <f t="shared" si="33"/>
        <v>Exclusive</v>
      </c>
      <c r="S49" s="254">
        <f t="shared" si="34"/>
        <v>2689.3672727272724</v>
      </c>
      <c r="T49" s="252">
        <f t="shared" si="35"/>
        <v>2689.3672727272724</v>
      </c>
      <c r="U49" s="260">
        <f t="shared" si="36"/>
        <v>2958.3040000000001</v>
      </c>
      <c r="V49" s="260">
        <f t="shared" si="37"/>
        <v>2958.3040000000001</v>
      </c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</row>
    <row r="50" spans="1:40" customFormat="1" ht="13" x14ac:dyDescent="0.15">
      <c r="A50" s="307"/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</row>
    <row r="51" spans="1:40" customFormat="1" ht="13" x14ac:dyDescent="0.15">
      <c r="A51" s="307"/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</row>
    <row r="52" spans="1:40" customFormat="1" ht="13" x14ac:dyDescent="0.15">
      <c r="A52" s="307"/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</row>
    <row r="53" spans="1:40" customFormat="1" ht="13" x14ac:dyDescent="0.15">
      <c r="A53" s="307"/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</row>
    <row r="54" spans="1:40" customFormat="1" ht="13" x14ac:dyDescent="0.15">
      <c r="A54" s="307"/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</row>
    <row r="55" spans="1:40" customFormat="1" ht="13" x14ac:dyDescent="0.15">
      <c r="A55" s="307"/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</row>
    <row r="56" spans="1:40" customFormat="1" ht="13" x14ac:dyDescent="0.15">
      <c r="A56" s="307"/>
      <c r="B56" s="307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</row>
    <row r="57" spans="1:40" customFormat="1" ht="13" x14ac:dyDescent="0.15">
      <c r="A57" s="307"/>
      <c r="B57" s="307"/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</row>
    <row r="58" spans="1:40" customFormat="1" ht="13" x14ac:dyDescent="0.15">
      <c r="A58" s="307"/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</row>
    <row r="59" spans="1:40" customFormat="1" ht="13" x14ac:dyDescent="0.15">
      <c r="A59" s="307"/>
      <c r="B59" s="307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</row>
    <row r="60" spans="1:40" customFormat="1" ht="13" x14ac:dyDescent="0.15">
      <c r="A60" s="307"/>
      <c r="B60" s="307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</row>
    <row r="61" spans="1:40" customFormat="1" ht="13" x14ac:dyDescent="0.15">
      <c r="A61" s="307"/>
      <c r="B61" s="307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</row>
    <row r="62" spans="1:40" customFormat="1" ht="13" x14ac:dyDescent="0.15">
      <c r="A62" s="307"/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</row>
    <row r="63" spans="1:40" customFormat="1" ht="13" x14ac:dyDescent="0.15">
      <c r="A63" s="307"/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</row>
    <row r="64" spans="1:40" customFormat="1" ht="13" x14ac:dyDescent="0.15">
      <c r="A64" s="307"/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</row>
    <row r="65" spans="1:40" customFormat="1" ht="13" x14ac:dyDescent="0.15">
      <c r="A65" s="307"/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</row>
    <row r="66" spans="1:40" customFormat="1" ht="13" x14ac:dyDescent="0.15">
      <c r="A66" s="307"/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</row>
    <row r="67" spans="1:40" customFormat="1" ht="13" x14ac:dyDescent="0.15">
      <c r="A67" s="307"/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</row>
    <row r="68" spans="1:40" customFormat="1" ht="13" x14ac:dyDescent="0.15">
      <c r="A68" s="307"/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</row>
    <row r="69" spans="1:40" customFormat="1" ht="13" x14ac:dyDescent="0.15">
      <c r="A69" s="307"/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</row>
    <row r="70" spans="1:40" customFormat="1" ht="13" x14ac:dyDescent="0.15">
      <c r="A70" s="307"/>
      <c r="B70" s="307"/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</row>
    <row r="71" spans="1:40" customFormat="1" ht="13" x14ac:dyDescent="0.15">
      <c r="A71" s="307"/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</row>
    <row r="72" spans="1:40" customFormat="1" ht="13" x14ac:dyDescent="0.15">
      <c r="A72" s="307"/>
      <c r="B72" s="307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</row>
    <row r="73" spans="1:40" customFormat="1" ht="13" x14ac:dyDescent="0.15">
      <c r="A73" s="307"/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</row>
    <row r="74" spans="1:40" customFormat="1" ht="13" x14ac:dyDescent="0.15">
      <c r="A74" s="307"/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</row>
    <row r="75" spans="1:40" customFormat="1" ht="13" x14ac:dyDescent="0.15">
      <c r="A75" s="307"/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</row>
    <row r="76" spans="1:40" customFormat="1" ht="13" x14ac:dyDescent="0.15">
      <c r="A76" s="307"/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</row>
    <row r="77" spans="1:40" customFormat="1" ht="13" x14ac:dyDescent="0.15">
      <c r="A77" s="307"/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</row>
    <row r="78" spans="1:40" customFormat="1" ht="13" x14ac:dyDescent="0.1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</row>
    <row r="79" spans="1:40" customFormat="1" ht="13" x14ac:dyDescent="0.15">
      <c r="A79" s="307"/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</row>
    <row r="80" spans="1:40" customFormat="1" ht="13" x14ac:dyDescent="0.15">
      <c r="A80" s="307"/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</row>
    <row r="81" spans="1:40" customFormat="1" ht="13" x14ac:dyDescent="0.15">
      <c r="A81" s="307"/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</row>
    <row r="82" spans="1:40" customFormat="1" ht="13" x14ac:dyDescent="0.15">
      <c r="A82" s="307"/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</row>
    <row r="83" spans="1:40" customFormat="1" ht="13" x14ac:dyDescent="0.15">
      <c r="A83" s="307"/>
      <c r="B83" s="307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  <c r="AJ83" s="307"/>
      <c r="AK83" s="307"/>
      <c r="AL83" s="307"/>
      <c r="AM83" s="307"/>
      <c r="AN83" s="307"/>
    </row>
    <row r="84" spans="1:40" customFormat="1" ht="13" x14ac:dyDescent="0.15">
      <c r="A84" s="307"/>
      <c r="B84" s="307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</row>
    <row r="85" spans="1:40" customFormat="1" ht="13" x14ac:dyDescent="0.15">
      <c r="A85" s="307"/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</row>
    <row r="86" spans="1:40" customFormat="1" ht="13" x14ac:dyDescent="0.15">
      <c r="A86" s="307"/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</row>
    <row r="87" spans="1:40" customFormat="1" ht="13" x14ac:dyDescent="0.15">
      <c r="A87" s="307"/>
      <c r="B87" s="307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</row>
    <row r="88" spans="1:40" customFormat="1" ht="13" x14ac:dyDescent="0.15">
      <c r="A88" s="307"/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</row>
    <row r="89" spans="1:40" customFormat="1" ht="13" x14ac:dyDescent="0.15">
      <c r="A89" s="307"/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</row>
    <row r="90" spans="1:40" customFormat="1" ht="13" x14ac:dyDescent="0.15">
      <c r="A90" s="307"/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</row>
    <row r="91" spans="1:40" customFormat="1" ht="13" x14ac:dyDescent="0.15">
      <c r="A91" s="307"/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307"/>
      <c r="AL91" s="307"/>
      <c r="AM91" s="307"/>
      <c r="AN91" s="307"/>
    </row>
    <row r="92" spans="1:40" customFormat="1" ht="13" x14ac:dyDescent="0.15">
      <c r="A92" s="307"/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7"/>
      <c r="AK92" s="307"/>
      <c r="AL92" s="307"/>
      <c r="AM92" s="307"/>
      <c r="AN92" s="307"/>
    </row>
    <row r="93" spans="1:40" customFormat="1" ht="13" x14ac:dyDescent="0.15">
      <c r="A93" s="307"/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307"/>
      <c r="AL93" s="307"/>
      <c r="AM93" s="307"/>
      <c r="AN93" s="307"/>
    </row>
    <row r="94" spans="1:40" customFormat="1" ht="13" x14ac:dyDescent="0.15">
      <c r="A94" s="307"/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</row>
    <row r="95" spans="1:40" customFormat="1" ht="13" x14ac:dyDescent="0.15">
      <c r="A95" s="307"/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</row>
    <row r="96" spans="1:40" customFormat="1" ht="13" x14ac:dyDescent="0.15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</row>
    <row r="97" spans="1:40" customFormat="1" ht="13" x14ac:dyDescent="0.15">
      <c r="A97" s="307"/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</row>
    <row r="98" spans="1:40" customFormat="1" ht="13" x14ac:dyDescent="0.15">
      <c r="A98" s="307"/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</row>
    <row r="99" spans="1:40" customFormat="1" ht="13" x14ac:dyDescent="0.15">
      <c r="A99" s="307"/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</row>
    <row r="100" spans="1:40" customFormat="1" ht="13" x14ac:dyDescent="0.15">
      <c r="A100" s="307"/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</row>
    <row r="101" spans="1:40" customFormat="1" ht="13" x14ac:dyDescent="0.15">
      <c r="A101" s="307"/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</row>
    <row r="102" spans="1:40" customFormat="1" ht="13" x14ac:dyDescent="0.15">
      <c r="A102" s="307"/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</row>
    <row r="103" spans="1:40" customFormat="1" ht="13" x14ac:dyDescent="0.15">
      <c r="A103" s="307"/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</row>
    <row r="104" spans="1:40" customFormat="1" ht="13" x14ac:dyDescent="0.15">
      <c r="A104" s="307"/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</row>
    <row r="105" spans="1:40" customFormat="1" ht="13" x14ac:dyDescent="0.15">
      <c r="A105" s="307"/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</row>
    <row r="106" spans="1:40" customFormat="1" ht="13" x14ac:dyDescent="0.15">
      <c r="A106" s="307"/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  <c r="AJ106" s="307"/>
      <c r="AK106" s="307"/>
      <c r="AL106" s="307"/>
      <c r="AM106" s="307"/>
      <c r="AN106" s="307"/>
    </row>
    <row r="107" spans="1:40" customFormat="1" ht="13" x14ac:dyDescent="0.15">
      <c r="A107" s="307"/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</row>
    <row r="108" spans="1:40" customFormat="1" ht="13" x14ac:dyDescent="0.15">
      <c r="A108" s="307"/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</row>
    <row r="109" spans="1:40" customFormat="1" ht="13" x14ac:dyDescent="0.15">
      <c r="A109" s="307"/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</row>
    <row r="110" spans="1:40" customFormat="1" ht="13" x14ac:dyDescent="0.15">
      <c r="A110" s="307"/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  <c r="AA110" s="307"/>
      <c r="AB110" s="307"/>
      <c r="AC110" s="307"/>
      <c r="AD110" s="307"/>
      <c r="AE110" s="307"/>
      <c r="AF110" s="307"/>
      <c r="AG110" s="307"/>
      <c r="AH110" s="307"/>
      <c r="AI110" s="307"/>
      <c r="AJ110" s="307"/>
      <c r="AK110" s="307"/>
      <c r="AL110" s="307"/>
      <c r="AM110" s="307"/>
      <c r="AN110" s="307"/>
    </row>
    <row r="111" spans="1:40" customFormat="1" ht="13" x14ac:dyDescent="0.15">
      <c r="A111" s="307"/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</row>
    <row r="112" spans="1:40" customFormat="1" ht="13" x14ac:dyDescent="0.1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</row>
    <row r="113" spans="1:40" customFormat="1" ht="13" x14ac:dyDescent="0.15">
      <c r="A113" s="307"/>
      <c r="B113" s="307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</row>
    <row r="114" spans="1:40" customFormat="1" ht="13" x14ac:dyDescent="0.15">
      <c r="A114" s="307"/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</row>
    <row r="115" spans="1:40" customFormat="1" ht="13" x14ac:dyDescent="0.15">
      <c r="A115" s="307"/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</row>
    <row r="116" spans="1:40" customFormat="1" ht="13" x14ac:dyDescent="0.15">
      <c r="A116" s="307"/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C116" s="307"/>
      <c r="AD116" s="307"/>
      <c r="AE116" s="307"/>
      <c r="AF116" s="307"/>
      <c r="AG116" s="307"/>
      <c r="AH116" s="307"/>
      <c r="AI116" s="307"/>
      <c r="AJ116" s="307"/>
      <c r="AK116" s="307"/>
      <c r="AL116" s="307"/>
      <c r="AM116" s="307"/>
      <c r="AN116" s="307"/>
    </row>
    <row r="117" spans="1:40" customFormat="1" ht="13" x14ac:dyDescent="0.1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</row>
    <row r="118" spans="1:40" customFormat="1" ht="13" x14ac:dyDescent="0.15">
      <c r="A118" s="307"/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</row>
    <row r="119" spans="1:40" customFormat="1" ht="13" x14ac:dyDescent="0.15">
      <c r="A119" s="307"/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</row>
    <row r="120" spans="1:40" customFormat="1" ht="13" x14ac:dyDescent="0.15">
      <c r="A120" s="307"/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C120" s="307"/>
      <c r="AD120" s="307"/>
      <c r="AE120" s="307"/>
      <c r="AF120" s="307"/>
      <c r="AG120" s="307"/>
      <c r="AH120" s="307"/>
      <c r="AI120" s="307"/>
      <c r="AJ120" s="307"/>
      <c r="AK120" s="307"/>
      <c r="AL120" s="307"/>
      <c r="AM120" s="307"/>
      <c r="AN120" s="307"/>
    </row>
    <row r="121" spans="1:40" customFormat="1" ht="13" x14ac:dyDescent="0.15">
      <c r="A121" s="307"/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</row>
    <row r="122" spans="1:40" customFormat="1" ht="13" x14ac:dyDescent="0.15">
      <c r="A122" s="307"/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</row>
    <row r="123" spans="1:40" customFormat="1" ht="13" x14ac:dyDescent="0.15">
      <c r="A123" s="307"/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</row>
    <row r="124" spans="1:40" customFormat="1" ht="13" x14ac:dyDescent="0.15">
      <c r="A124" s="307"/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C124" s="307"/>
      <c r="AD124" s="307"/>
      <c r="AE124" s="307"/>
      <c r="AF124" s="307"/>
      <c r="AG124" s="307"/>
      <c r="AH124" s="307"/>
      <c r="AI124" s="307"/>
      <c r="AJ124" s="307"/>
      <c r="AK124" s="307"/>
      <c r="AL124" s="307"/>
      <c r="AM124" s="307"/>
      <c r="AN124" s="307"/>
    </row>
    <row r="125" spans="1:40" customFormat="1" ht="13" x14ac:dyDescent="0.15">
      <c r="A125" s="307"/>
      <c r="B125" s="307"/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</row>
    <row r="126" spans="1:40" customFormat="1" ht="13" x14ac:dyDescent="0.15">
      <c r="A126" s="307"/>
      <c r="B126" s="307"/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</row>
    <row r="127" spans="1:40" customFormat="1" ht="13" x14ac:dyDescent="0.15">
      <c r="A127" s="307"/>
      <c r="B127" s="307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C127" s="307"/>
      <c r="AD127" s="307"/>
      <c r="AE127" s="307"/>
      <c r="AF127" s="307"/>
      <c r="AG127" s="307"/>
      <c r="AH127" s="307"/>
      <c r="AI127" s="307"/>
      <c r="AJ127" s="307"/>
      <c r="AK127" s="307"/>
      <c r="AL127" s="307"/>
      <c r="AM127" s="307"/>
      <c r="AN127" s="307"/>
    </row>
    <row r="128" spans="1:40" customFormat="1" ht="13" x14ac:dyDescent="0.15">
      <c r="A128" s="307"/>
      <c r="B128" s="307"/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C128" s="307"/>
      <c r="AD128" s="307"/>
      <c r="AE128" s="307"/>
      <c r="AF128" s="307"/>
      <c r="AG128" s="307"/>
      <c r="AH128" s="307"/>
      <c r="AI128" s="307"/>
      <c r="AJ128" s="307"/>
      <c r="AK128" s="307"/>
      <c r="AL128" s="307"/>
      <c r="AM128" s="307"/>
      <c r="AN128" s="307"/>
    </row>
    <row r="129" spans="1:40" customFormat="1" ht="13" x14ac:dyDescent="0.15">
      <c r="A129" s="307"/>
      <c r="B129" s="307"/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</row>
    <row r="130" spans="1:40" customFormat="1" ht="13" x14ac:dyDescent="0.15">
      <c r="A130" s="307"/>
      <c r="B130" s="307"/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307"/>
    </row>
    <row r="131" spans="1:40" customFormat="1" ht="13" x14ac:dyDescent="0.15">
      <c r="A131" s="307"/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C131" s="307"/>
      <c r="AD131" s="307"/>
      <c r="AE131" s="307"/>
      <c r="AF131" s="307"/>
      <c r="AG131" s="307"/>
      <c r="AH131" s="307"/>
      <c r="AI131" s="307"/>
      <c r="AJ131" s="307"/>
      <c r="AK131" s="307"/>
      <c r="AL131" s="307"/>
      <c r="AM131" s="307"/>
      <c r="AN131" s="307"/>
    </row>
    <row r="132" spans="1:40" customFormat="1" ht="13" x14ac:dyDescent="0.15">
      <c r="A132" s="307"/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C132" s="307"/>
      <c r="AD132" s="307"/>
      <c r="AE132" s="307"/>
      <c r="AF132" s="307"/>
      <c r="AG132" s="307"/>
      <c r="AH132" s="307"/>
      <c r="AI132" s="307"/>
      <c r="AJ132" s="307"/>
      <c r="AK132" s="307"/>
      <c r="AL132" s="307"/>
      <c r="AM132" s="307"/>
      <c r="AN132" s="307"/>
    </row>
    <row r="133" spans="1:40" customFormat="1" ht="13" x14ac:dyDescent="0.15">
      <c r="A133" s="307"/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</row>
    <row r="134" spans="1:40" customFormat="1" ht="13" x14ac:dyDescent="0.15">
      <c r="A134" s="307"/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</row>
    <row r="135" spans="1:40" customFormat="1" ht="13" x14ac:dyDescent="0.15">
      <c r="A135" s="307"/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307"/>
      <c r="AK135" s="307"/>
      <c r="AL135" s="307"/>
      <c r="AM135" s="307"/>
      <c r="AN135" s="307"/>
    </row>
    <row r="136" spans="1:40" customFormat="1" ht="13" x14ac:dyDescent="0.15">
      <c r="A136" s="307"/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  <c r="AA136" s="307"/>
      <c r="AB136" s="307"/>
      <c r="AC136" s="307"/>
      <c r="AD136" s="307"/>
      <c r="AE136" s="307"/>
      <c r="AF136" s="307"/>
      <c r="AG136" s="307"/>
      <c r="AH136" s="307"/>
      <c r="AI136" s="307"/>
      <c r="AJ136" s="307"/>
      <c r="AK136" s="307"/>
      <c r="AL136" s="307"/>
      <c r="AM136" s="307"/>
      <c r="AN136" s="307"/>
    </row>
    <row r="137" spans="1:40" customFormat="1" ht="13" x14ac:dyDescent="0.15">
      <c r="A137" s="307"/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</row>
    <row r="138" spans="1:40" customFormat="1" ht="13" x14ac:dyDescent="0.15">
      <c r="A138" s="307"/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</row>
    <row r="139" spans="1:40" customFormat="1" ht="13" x14ac:dyDescent="0.15">
      <c r="A139" s="307"/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</row>
    <row r="140" spans="1:40" customFormat="1" ht="13" x14ac:dyDescent="0.15">
      <c r="A140" s="307"/>
      <c r="B140" s="307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</row>
    <row r="141" spans="1:40" customFormat="1" ht="13" x14ac:dyDescent="0.15">
      <c r="A141" s="307"/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</row>
    <row r="142" spans="1:40" customFormat="1" ht="13" x14ac:dyDescent="0.15">
      <c r="A142" s="307"/>
      <c r="B142" s="307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</row>
    <row r="143" spans="1:40" customFormat="1" ht="13" x14ac:dyDescent="0.15">
      <c r="A143" s="307"/>
      <c r="B143" s="307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</row>
    <row r="144" spans="1:40" customFormat="1" ht="13" x14ac:dyDescent="0.15">
      <c r="A144" s="307"/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C144" s="307"/>
      <c r="AD144" s="307"/>
      <c r="AE144" s="307"/>
      <c r="AF144" s="307"/>
      <c r="AG144" s="307"/>
      <c r="AH144" s="307"/>
      <c r="AI144" s="307"/>
      <c r="AJ144" s="307"/>
      <c r="AK144" s="307"/>
      <c r="AL144" s="307"/>
      <c r="AM144" s="307"/>
      <c r="AN144" s="307"/>
    </row>
    <row r="145" spans="1:40" customFormat="1" ht="13" x14ac:dyDescent="0.15">
      <c r="A145" s="307"/>
      <c r="B145" s="307"/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</row>
    <row r="146" spans="1:40" customFormat="1" ht="13" x14ac:dyDescent="0.1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  <c r="AA146" s="307"/>
      <c r="AB146" s="307"/>
      <c r="AC146" s="307"/>
      <c r="AD146" s="307"/>
      <c r="AE146" s="307"/>
      <c r="AF146" s="307"/>
      <c r="AG146" s="307"/>
      <c r="AH146" s="307"/>
      <c r="AI146" s="307"/>
      <c r="AJ146" s="307"/>
      <c r="AK146" s="307"/>
      <c r="AL146" s="307"/>
      <c r="AM146" s="307"/>
      <c r="AN146" s="307"/>
    </row>
    <row r="147" spans="1:40" customFormat="1" ht="13" x14ac:dyDescent="0.15">
      <c r="A147" s="307"/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</row>
    <row r="148" spans="1:40" customFormat="1" ht="13" x14ac:dyDescent="0.15">
      <c r="A148" s="307"/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C148" s="307"/>
      <c r="AD148" s="307"/>
      <c r="AE148" s="307"/>
      <c r="AF148" s="307"/>
      <c r="AG148" s="307"/>
      <c r="AH148" s="307"/>
      <c r="AI148" s="307"/>
      <c r="AJ148" s="307"/>
      <c r="AK148" s="307"/>
      <c r="AL148" s="307"/>
      <c r="AM148" s="307"/>
      <c r="AN148" s="307"/>
    </row>
    <row r="149" spans="1:40" customFormat="1" ht="13" x14ac:dyDescent="0.15">
      <c r="A149" s="307"/>
      <c r="B149" s="307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C149" s="30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</row>
    <row r="150" spans="1:40" customFormat="1" ht="13" x14ac:dyDescent="0.15">
      <c r="A150" s="307"/>
      <c r="B150" s="307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C150" s="30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</row>
    <row r="151" spans="1:40" customFormat="1" ht="13" x14ac:dyDescent="0.15">
      <c r="A151" s="307"/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  <c r="AA151" s="307"/>
      <c r="AB151" s="307"/>
      <c r="AC151" s="307"/>
      <c r="AD151" s="307"/>
      <c r="AE151" s="307"/>
      <c r="AF151" s="307"/>
      <c r="AG151" s="307"/>
      <c r="AH151" s="307"/>
      <c r="AI151" s="307"/>
      <c r="AJ151" s="307"/>
      <c r="AK151" s="307"/>
      <c r="AL151" s="307"/>
      <c r="AM151" s="307"/>
      <c r="AN151" s="307"/>
    </row>
    <row r="152" spans="1:40" customFormat="1" ht="13" x14ac:dyDescent="0.15">
      <c r="A152" s="307"/>
      <c r="B152" s="307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  <c r="AA152" s="307"/>
      <c r="AB152" s="307"/>
      <c r="AC152" s="307"/>
      <c r="AD152" s="307"/>
      <c r="AE152" s="307"/>
      <c r="AF152" s="307"/>
      <c r="AG152" s="307"/>
      <c r="AH152" s="307"/>
      <c r="AI152" s="307"/>
      <c r="AJ152" s="307"/>
      <c r="AK152" s="307"/>
      <c r="AL152" s="307"/>
      <c r="AM152" s="307"/>
      <c r="AN152" s="307"/>
    </row>
    <row r="153" spans="1:40" customFormat="1" ht="13" x14ac:dyDescent="0.15">
      <c r="A153" s="307"/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</row>
    <row r="154" spans="1:40" customFormat="1" ht="13" x14ac:dyDescent="0.15">
      <c r="A154" s="307"/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C154" s="307"/>
      <c r="AD154" s="307"/>
      <c r="AE154" s="307"/>
      <c r="AF154" s="307"/>
      <c r="AG154" s="307"/>
      <c r="AH154" s="307"/>
      <c r="AI154" s="307"/>
      <c r="AJ154" s="307"/>
      <c r="AK154" s="307"/>
      <c r="AL154" s="307"/>
      <c r="AM154" s="307"/>
      <c r="AN154" s="307"/>
    </row>
    <row r="155" spans="1:40" customFormat="1" ht="13" x14ac:dyDescent="0.15">
      <c r="A155" s="307"/>
      <c r="B155" s="307"/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C155" s="307"/>
      <c r="AD155" s="307"/>
      <c r="AE155" s="307"/>
      <c r="AF155" s="307"/>
      <c r="AG155" s="307"/>
      <c r="AH155" s="307"/>
      <c r="AI155" s="307"/>
      <c r="AJ155" s="307"/>
      <c r="AK155" s="307"/>
      <c r="AL155" s="307"/>
      <c r="AM155" s="307"/>
      <c r="AN155" s="307"/>
    </row>
    <row r="156" spans="1:40" customFormat="1" ht="13" x14ac:dyDescent="0.15">
      <c r="A156" s="307"/>
      <c r="B156" s="307"/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C156" s="307"/>
      <c r="AD156" s="307"/>
      <c r="AE156" s="307"/>
      <c r="AF156" s="307"/>
      <c r="AG156" s="307"/>
      <c r="AH156" s="307"/>
      <c r="AI156" s="307"/>
      <c r="AJ156" s="307"/>
      <c r="AK156" s="307"/>
      <c r="AL156" s="307"/>
      <c r="AM156" s="307"/>
      <c r="AN156" s="307"/>
    </row>
    <row r="157" spans="1:40" customFormat="1" ht="13" x14ac:dyDescent="0.15">
      <c r="A157" s="307"/>
      <c r="B157" s="307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7"/>
      <c r="AK157" s="307"/>
      <c r="AL157" s="307"/>
      <c r="AM157" s="307"/>
      <c r="AN157" s="307"/>
    </row>
    <row r="158" spans="1:40" customFormat="1" ht="13" x14ac:dyDescent="0.15">
      <c r="A158" s="307"/>
      <c r="B158" s="307"/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  <c r="AA158" s="307"/>
      <c r="AB158" s="307"/>
      <c r="AC158" s="307"/>
      <c r="AD158" s="307"/>
      <c r="AE158" s="307"/>
      <c r="AF158" s="307"/>
      <c r="AG158" s="307"/>
      <c r="AH158" s="307"/>
      <c r="AI158" s="307"/>
      <c r="AJ158" s="307"/>
      <c r="AK158" s="307"/>
      <c r="AL158" s="307"/>
      <c r="AM158" s="307"/>
      <c r="AN158" s="307"/>
    </row>
    <row r="159" spans="1:40" customFormat="1" ht="13" x14ac:dyDescent="0.15">
      <c r="A159" s="307"/>
      <c r="B159" s="307"/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  <c r="AA159" s="307"/>
      <c r="AB159" s="307"/>
      <c r="AC159" s="307"/>
      <c r="AD159" s="307"/>
      <c r="AE159" s="307"/>
      <c r="AF159" s="307"/>
      <c r="AG159" s="307"/>
      <c r="AH159" s="307"/>
      <c r="AI159" s="307"/>
      <c r="AJ159" s="307"/>
      <c r="AK159" s="307"/>
      <c r="AL159" s="307"/>
      <c r="AM159" s="307"/>
      <c r="AN159" s="307"/>
    </row>
    <row r="160" spans="1:40" customFormat="1" ht="13" x14ac:dyDescent="0.15">
      <c r="A160" s="307"/>
      <c r="B160" s="307"/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</row>
    <row r="161" spans="1:40" customFormat="1" ht="13" x14ac:dyDescent="0.15">
      <c r="A161" s="307"/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</row>
    <row r="162" spans="1:40" customFormat="1" ht="13" x14ac:dyDescent="0.15">
      <c r="A162" s="307"/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7"/>
      <c r="AK162" s="307"/>
      <c r="AL162" s="307"/>
      <c r="AM162" s="307"/>
      <c r="AN162" s="307"/>
    </row>
    <row r="163" spans="1:40" customFormat="1" ht="13" x14ac:dyDescent="0.15">
      <c r="A163" s="307"/>
      <c r="B163" s="307"/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  <c r="AA163" s="307"/>
      <c r="AB163" s="307"/>
      <c r="AC163" s="307"/>
      <c r="AD163" s="307"/>
      <c r="AE163" s="307"/>
      <c r="AF163" s="307"/>
      <c r="AG163" s="307"/>
      <c r="AH163" s="307"/>
      <c r="AI163" s="307"/>
      <c r="AJ163" s="307"/>
      <c r="AK163" s="307"/>
      <c r="AL163" s="307"/>
      <c r="AM163" s="307"/>
      <c r="AN163" s="307"/>
    </row>
    <row r="164" spans="1:40" customFormat="1" ht="13" x14ac:dyDescent="0.15">
      <c r="A164" s="307"/>
      <c r="B164" s="307"/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  <c r="AA164" s="307"/>
      <c r="AB164" s="307"/>
      <c r="AC164" s="307"/>
      <c r="AD164" s="307"/>
      <c r="AE164" s="307"/>
      <c r="AF164" s="307"/>
      <c r="AG164" s="307"/>
      <c r="AH164" s="307"/>
      <c r="AI164" s="307"/>
      <c r="AJ164" s="307"/>
      <c r="AK164" s="307"/>
      <c r="AL164" s="307"/>
      <c r="AM164" s="307"/>
      <c r="AN164" s="307"/>
    </row>
    <row r="165" spans="1:40" customFormat="1" ht="13" x14ac:dyDescent="0.15">
      <c r="A165" s="307"/>
      <c r="B165" s="307"/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C165" s="30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</row>
    <row r="166" spans="1:40" customFormat="1" ht="13" x14ac:dyDescent="0.15">
      <c r="A166" s="307"/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  <c r="AA166" s="307"/>
      <c r="AB166" s="307"/>
      <c r="AC166" s="307"/>
      <c r="AD166" s="307"/>
      <c r="AE166" s="307"/>
      <c r="AF166" s="307"/>
      <c r="AG166" s="307"/>
      <c r="AH166" s="307"/>
      <c r="AI166" s="307"/>
      <c r="AJ166" s="307"/>
      <c r="AK166" s="307"/>
      <c r="AL166" s="307"/>
      <c r="AM166" s="307"/>
      <c r="AN166" s="307"/>
    </row>
    <row r="167" spans="1:40" customFormat="1" ht="13" x14ac:dyDescent="0.15">
      <c r="A167" s="307"/>
      <c r="B167" s="307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C167" s="307"/>
      <c r="AD167" s="307"/>
      <c r="AE167" s="307"/>
      <c r="AF167" s="307"/>
      <c r="AG167" s="307"/>
      <c r="AH167" s="307"/>
      <c r="AI167" s="307"/>
      <c r="AJ167" s="307"/>
      <c r="AK167" s="307"/>
      <c r="AL167" s="307"/>
      <c r="AM167" s="307"/>
      <c r="AN167" s="307"/>
    </row>
    <row r="168" spans="1:40" customFormat="1" ht="13" x14ac:dyDescent="0.15">
      <c r="A168" s="307"/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</row>
    <row r="169" spans="1:40" customFormat="1" ht="13" x14ac:dyDescent="0.15">
      <c r="A169" s="307"/>
      <c r="B169" s="307"/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</row>
    <row r="170" spans="1:40" customFormat="1" ht="13" x14ac:dyDescent="0.15">
      <c r="A170" s="307"/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  <c r="AA170" s="307"/>
      <c r="AB170" s="307"/>
      <c r="AC170" s="307"/>
      <c r="AD170" s="307"/>
      <c r="AE170" s="307"/>
      <c r="AF170" s="307"/>
      <c r="AG170" s="307"/>
      <c r="AH170" s="307"/>
      <c r="AI170" s="307"/>
      <c r="AJ170" s="307"/>
      <c r="AK170" s="307"/>
      <c r="AL170" s="307"/>
      <c r="AM170" s="307"/>
      <c r="AN170" s="307"/>
    </row>
    <row r="171" spans="1:40" customFormat="1" ht="13" x14ac:dyDescent="0.15">
      <c r="A171" s="307"/>
      <c r="B171" s="307"/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  <c r="AA171" s="307"/>
      <c r="AB171" s="307"/>
      <c r="AC171" s="307"/>
      <c r="AD171" s="307"/>
      <c r="AE171" s="307"/>
      <c r="AF171" s="307"/>
      <c r="AG171" s="307"/>
      <c r="AH171" s="307"/>
      <c r="AI171" s="307"/>
      <c r="AJ171" s="307"/>
      <c r="AK171" s="307"/>
      <c r="AL171" s="307"/>
      <c r="AM171" s="307"/>
      <c r="AN171" s="307"/>
    </row>
    <row r="172" spans="1:40" customFormat="1" ht="13" x14ac:dyDescent="0.15">
      <c r="A172" s="307"/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7"/>
      <c r="AK172" s="307"/>
      <c r="AL172" s="307"/>
      <c r="AM172" s="307"/>
      <c r="AN172" s="307"/>
    </row>
    <row r="173" spans="1:40" customFormat="1" ht="13" x14ac:dyDescent="0.15">
      <c r="A173" s="307"/>
      <c r="B173" s="307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</row>
    <row r="174" spans="1:40" customFormat="1" ht="13" x14ac:dyDescent="0.15">
      <c r="A174" s="307"/>
      <c r="B174" s="307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7"/>
      <c r="AK174" s="307"/>
      <c r="AL174" s="307"/>
      <c r="AM174" s="307"/>
      <c r="AN174" s="307"/>
    </row>
    <row r="175" spans="1:40" customFormat="1" ht="13" x14ac:dyDescent="0.15">
      <c r="A175" s="307"/>
      <c r="B175" s="307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C175" s="307"/>
      <c r="AD175" s="307"/>
      <c r="AE175" s="307"/>
      <c r="AF175" s="307"/>
      <c r="AG175" s="307"/>
      <c r="AH175" s="307"/>
      <c r="AI175" s="307"/>
      <c r="AJ175" s="307"/>
      <c r="AK175" s="307"/>
      <c r="AL175" s="307"/>
      <c r="AM175" s="307"/>
      <c r="AN175" s="307"/>
    </row>
    <row r="176" spans="1:40" customFormat="1" ht="13" x14ac:dyDescent="0.15"/>
    <row r="177" customFormat="1" ht="13" x14ac:dyDescent="0.15"/>
    <row r="178" customFormat="1" ht="13" x14ac:dyDescent="0.15"/>
    <row r="179" customFormat="1" ht="13" x14ac:dyDescent="0.15"/>
    <row r="180" customFormat="1" ht="13" x14ac:dyDescent="0.15"/>
    <row r="181" customFormat="1" ht="13" x14ac:dyDescent="0.15"/>
    <row r="182" customFormat="1" ht="13" x14ac:dyDescent="0.15"/>
    <row r="183" customFormat="1" ht="13" x14ac:dyDescent="0.15"/>
    <row r="184" customFormat="1" ht="13" x14ac:dyDescent="0.15"/>
    <row r="185" customFormat="1" ht="13" x14ac:dyDescent="0.15"/>
    <row r="186" customFormat="1" ht="13" x14ac:dyDescent="0.15"/>
    <row r="187" customFormat="1" ht="13" x14ac:dyDescent="0.15"/>
    <row r="188" customFormat="1" ht="13" x14ac:dyDescent="0.15"/>
    <row r="189" customFormat="1" ht="13" x14ac:dyDescent="0.15"/>
    <row r="190" customFormat="1" ht="13" x14ac:dyDescent="0.15"/>
    <row r="191" customFormat="1" ht="13" x14ac:dyDescent="0.15"/>
    <row r="192" customFormat="1" ht="13" x14ac:dyDescent="0.15"/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customFormat="1" ht="13" x14ac:dyDescent="0.15"/>
    <row r="418" customFormat="1" ht="13" x14ac:dyDescent="0.15"/>
    <row r="419" customFormat="1" ht="13" x14ac:dyDescent="0.15"/>
    <row r="420" customFormat="1" ht="13" x14ac:dyDescent="0.15"/>
    <row r="421" customFormat="1" ht="13" x14ac:dyDescent="0.15"/>
    <row r="422" customFormat="1" ht="13" x14ac:dyDescent="0.15"/>
    <row r="423" customFormat="1" ht="13" x14ac:dyDescent="0.15"/>
    <row r="424" customFormat="1" ht="13" x14ac:dyDescent="0.15"/>
    <row r="425" customFormat="1" ht="13" x14ac:dyDescent="0.15"/>
    <row r="426" customFormat="1" ht="13" x14ac:dyDescent="0.15"/>
    <row r="427" customFormat="1" ht="13" x14ac:dyDescent="0.15"/>
    <row r="428" customFormat="1" ht="13" x14ac:dyDescent="0.15"/>
    <row r="429" customFormat="1" ht="13" x14ac:dyDescent="0.15"/>
    <row r="430" customFormat="1" ht="13" x14ac:dyDescent="0.15"/>
    <row r="431" customFormat="1" ht="13" x14ac:dyDescent="0.15"/>
    <row r="432" customFormat="1" ht="13" x14ac:dyDescent="0.15"/>
    <row r="433" spans="23:38" customFormat="1" ht="13" x14ac:dyDescent="0.15"/>
    <row r="434" spans="23:38" customFormat="1" ht="13" x14ac:dyDescent="0.15"/>
    <row r="435" spans="23:38" customFormat="1" ht="13" x14ac:dyDescent="0.15"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</row>
    <row r="436" spans="23:38" customFormat="1" ht="13" x14ac:dyDescent="0.15"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</row>
    <row r="437" spans="23:38" customFormat="1" ht="13" x14ac:dyDescent="0.15">
      <c r="W437" s="284"/>
      <c r="X437" s="284"/>
      <c r="Y437" s="284"/>
      <c r="Z437" s="284"/>
      <c r="AA437" s="284"/>
      <c r="AB437" s="284"/>
      <c r="AC437" s="284"/>
      <c r="AD437" s="284"/>
      <c r="AE437" s="284"/>
      <c r="AF437" s="284"/>
      <c r="AG437" s="284"/>
      <c r="AH437" s="284"/>
      <c r="AI437" s="284"/>
      <c r="AJ437" s="284"/>
      <c r="AK437" s="284"/>
      <c r="AL437" s="284"/>
    </row>
    <row r="438" spans="23:38" customFormat="1" ht="13" x14ac:dyDescent="0.15">
      <c r="W438" s="284"/>
      <c r="X438" s="284"/>
      <c r="Y438" s="284"/>
      <c r="Z438" s="284"/>
      <c r="AA438" s="284"/>
      <c r="AB438" s="284"/>
      <c r="AC438" s="284"/>
      <c r="AD438" s="284"/>
      <c r="AE438" s="284"/>
      <c r="AF438" s="284"/>
      <c r="AG438" s="284"/>
      <c r="AH438" s="284"/>
      <c r="AI438" s="284"/>
      <c r="AJ438" s="284"/>
      <c r="AK438" s="284"/>
      <c r="AL438" s="284"/>
    </row>
    <row r="439" spans="23:38" customFormat="1" ht="13" x14ac:dyDescent="0.15"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</row>
    <row r="440" spans="23:38" customFormat="1" ht="13" x14ac:dyDescent="0.15"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</row>
    <row r="441" spans="23:38" customFormat="1" ht="13" x14ac:dyDescent="0.15"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</row>
    <row r="442" spans="23:38" customFormat="1" ht="13" x14ac:dyDescent="0.15">
      <c r="W442" s="284"/>
      <c r="X442" s="284"/>
      <c r="Y442" s="284"/>
      <c r="Z442" s="284"/>
      <c r="AA442" s="284"/>
      <c r="AB442" s="284"/>
      <c r="AC442" s="284"/>
      <c r="AD442" s="284"/>
      <c r="AE442" s="284"/>
      <c r="AF442" s="284"/>
      <c r="AG442" s="284"/>
      <c r="AH442" s="284"/>
      <c r="AI442" s="284"/>
      <c r="AJ442" s="284"/>
      <c r="AK442" s="284"/>
      <c r="AL442" s="284"/>
    </row>
    <row r="443" spans="23:38" customFormat="1" ht="13" x14ac:dyDescent="0.15"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</row>
    <row r="444" spans="23:38" customFormat="1" ht="13" x14ac:dyDescent="0.15"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</row>
    <row r="445" spans="23:38" customFormat="1" ht="13" x14ac:dyDescent="0.15">
      <c r="W445" s="284"/>
      <c r="X445" s="284"/>
      <c r="Y445" s="284"/>
      <c r="Z445" s="284"/>
      <c r="AA445" s="284"/>
      <c r="AB445" s="284"/>
      <c r="AC445" s="284"/>
      <c r="AD445" s="284"/>
      <c r="AE445" s="284"/>
      <c r="AF445" s="284"/>
      <c r="AG445" s="284"/>
      <c r="AH445" s="284"/>
      <c r="AI445" s="284"/>
      <c r="AJ445" s="284"/>
      <c r="AK445" s="284"/>
      <c r="AL445" s="284"/>
    </row>
    <row r="446" spans="23:38" customFormat="1" ht="13" x14ac:dyDescent="0.15">
      <c r="W446" s="284"/>
      <c r="X446" s="284"/>
      <c r="Y446" s="284"/>
      <c r="Z446" s="284"/>
      <c r="AA446" s="284"/>
      <c r="AB446" s="284"/>
      <c r="AC446" s="284"/>
      <c r="AD446" s="284"/>
      <c r="AE446" s="284"/>
      <c r="AF446" s="284"/>
      <c r="AG446" s="284"/>
      <c r="AH446" s="284"/>
      <c r="AI446" s="284"/>
      <c r="AJ446" s="284"/>
      <c r="AK446" s="284"/>
      <c r="AL446" s="284"/>
    </row>
    <row r="447" spans="23:38" customFormat="1" ht="13" x14ac:dyDescent="0.15"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</row>
    <row r="448" spans="23:38" customFormat="1" ht="13" x14ac:dyDescent="0.15"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</row>
    <row r="449" spans="23:38" customFormat="1" ht="13" x14ac:dyDescent="0.15">
      <c r="W449" s="284"/>
      <c r="X449" s="284"/>
      <c r="Y449" s="284"/>
      <c r="Z449" s="284"/>
      <c r="AA449" s="284"/>
      <c r="AB449" s="284"/>
      <c r="AC449" s="284"/>
      <c r="AD449" s="284"/>
      <c r="AE449" s="284"/>
      <c r="AF449" s="284"/>
      <c r="AG449" s="284"/>
      <c r="AH449" s="284"/>
      <c r="AI449" s="284"/>
      <c r="AJ449" s="284"/>
      <c r="AK449" s="284"/>
      <c r="AL449" s="284"/>
    </row>
    <row r="450" spans="23:38" customFormat="1" ht="13" x14ac:dyDescent="0.15">
      <c r="W450" s="284"/>
      <c r="X450" s="284"/>
      <c r="Y450" s="284"/>
      <c r="Z450" s="284"/>
      <c r="AA450" s="284"/>
      <c r="AB450" s="284"/>
      <c r="AC450" s="284"/>
      <c r="AD450" s="284"/>
      <c r="AE450" s="284"/>
      <c r="AF450" s="284"/>
      <c r="AG450" s="284"/>
      <c r="AH450" s="284"/>
      <c r="AI450" s="284"/>
      <c r="AJ450" s="284"/>
      <c r="AK450" s="284"/>
      <c r="AL450" s="284"/>
    </row>
    <row r="451" spans="23:38" customFormat="1" ht="13" x14ac:dyDescent="0.15"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</row>
    <row r="452" spans="23:38" customFormat="1" ht="13" x14ac:dyDescent="0.15"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</row>
    <row r="453" spans="23:38" customFormat="1" ht="13" x14ac:dyDescent="0.15">
      <c r="W453" s="284"/>
      <c r="X453" s="284"/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</row>
    <row r="454" spans="23:38" customFormat="1" ht="13" x14ac:dyDescent="0.15"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</row>
    <row r="455" spans="23:38" customFormat="1" ht="13" x14ac:dyDescent="0.15"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</row>
    <row r="456" spans="23:38" customFormat="1" ht="13" x14ac:dyDescent="0.15"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</row>
    <row r="457" spans="23:38" customFormat="1" ht="13" x14ac:dyDescent="0.15">
      <c r="W457" s="284"/>
      <c r="X457" s="284"/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</row>
    <row r="458" spans="23:38" customFormat="1" ht="13" x14ac:dyDescent="0.15">
      <c r="W458" s="284"/>
      <c r="X458" s="284"/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</row>
    <row r="459" spans="23:38" customFormat="1" ht="13" x14ac:dyDescent="0.15"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</row>
    <row r="460" spans="23:38" customFormat="1" ht="13" x14ac:dyDescent="0.15"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</row>
    <row r="461" spans="23:38" customFormat="1" ht="13" x14ac:dyDescent="0.15">
      <c r="W461" s="284"/>
      <c r="X461" s="284"/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</row>
    <row r="462" spans="23:38" customFormat="1" ht="13" x14ac:dyDescent="0.15"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</row>
    <row r="463" spans="23:38" customFormat="1" ht="13" x14ac:dyDescent="0.15"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</row>
    <row r="464" spans="23:38" customFormat="1" ht="13" x14ac:dyDescent="0.15"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</row>
    <row r="465" spans="23:38" customFormat="1" ht="13" x14ac:dyDescent="0.15">
      <c r="W465" s="284"/>
      <c r="X465" s="284"/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</row>
    <row r="466" spans="23:38" customFormat="1" ht="13" x14ac:dyDescent="0.15"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</row>
    <row r="467" spans="23:38" customFormat="1" ht="13" x14ac:dyDescent="0.15"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</row>
    <row r="468" spans="23:38" customFormat="1" ht="13" x14ac:dyDescent="0.15">
      <c r="W468" s="284"/>
      <c r="X468" s="284"/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</row>
    <row r="469" spans="23:38" customFormat="1" ht="13" x14ac:dyDescent="0.15">
      <c r="W469" s="284"/>
      <c r="X469" s="284"/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</row>
    <row r="470" spans="23:38" customFormat="1" ht="13" x14ac:dyDescent="0.15">
      <c r="W470" s="284"/>
      <c r="X470" s="284"/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</row>
    <row r="471" spans="23:38" customFormat="1" ht="13" x14ac:dyDescent="0.15">
      <c r="W471" s="284"/>
      <c r="X471" s="284"/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</row>
    <row r="472" spans="23:38" customFormat="1" ht="13" x14ac:dyDescent="0.15">
      <c r="W472" s="284"/>
      <c r="X472" s="284"/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</row>
    <row r="473" spans="23:38" customFormat="1" ht="13" x14ac:dyDescent="0.15">
      <c r="W473" s="284"/>
      <c r="X473" s="284"/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</row>
    <row r="474" spans="23:38" customFormat="1" ht="13" x14ac:dyDescent="0.15">
      <c r="W474" s="284"/>
      <c r="X474" s="284"/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</row>
    <row r="475" spans="23:38" customFormat="1" ht="13" x14ac:dyDescent="0.15">
      <c r="W475" s="284"/>
      <c r="X475" s="284"/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</row>
    <row r="476" spans="23:38" customFormat="1" ht="13" x14ac:dyDescent="0.15">
      <c r="W476" s="284"/>
      <c r="X476" s="284"/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</row>
    <row r="477" spans="23:38" customFormat="1" ht="13" x14ac:dyDescent="0.15">
      <c r="W477" s="284"/>
      <c r="X477" s="284"/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</row>
    <row r="478" spans="23:38" customFormat="1" ht="13" x14ac:dyDescent="0.15">
      <c r="W478" s="284"/>
      <c r="X478" s="284"/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</row>
    <row r="479" spans="23:38" customFormat="1" ht="13" x14ac:dyDescent="0.15">
      <c r="W479" s="284"/>
      <c r="X479" s="284"/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</row>
    <row r="480" spans="23:38" customFormat="1" ht="13" x14ac:dyDescent="0.15"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</row>
    <row r="481" spans="23:38" customFormat="1" ht="13" x14ac:dyDescent="0.15"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</row>
    <row r="482" spans="23:38" customFormat="1" ht="13" x14ac:dyDescent="0.15"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</row>
    <row r="483" spans="23:38" customFormat="1" ht="13" x14ac:dyDescent="0.15">
      <c r="W483" s="284"/>
      <c r="X483" s="284"/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</row>
    <row r="484" spans="23:38" customFormat="1" ht="13" x14ac:dyDescent="0.15">
      <c r="W484" s="284"/>
      <c r="X484" s="284"/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</row>
    <row r="485" spans="23:38" customFormat="1" ht="13" x14ac:dyDescent="0.15"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</row>
    <row r="486" spans="23:38" customFormat="1" ht="13" x14ac:dyDescent="0.15"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</row>
    <row r="487" spans="23:38" customFormat="1" ht="13" x14ac:dyDescent="0.15">
      <c r="W487" s="284"/>
      <c r="X487" s="284"/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</row>
    <row r="488" spans="23:38" customFormat="1" ht="13" x14ac:dyDescent="0.15">
      <c r="W488" s="284"/>
      <c r="X488" s="284"/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</row>
    <row r="489" spans="23:38" customFormat="1" ht="13" x14ac:dyDescent="0.15"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</row>
    <row r="490" spans="23:38" customFormat="1" ht="13" x14ac:dyDescent="0.15"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</row>
    <row r="491" spans="23:38" customFormat="1" ht="13" x14ac:dyDescent="0.15">
      <c r="W491" s="284"/>
      <c r="X491" s="284"/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</row>
    <row r="492" spans="23:38" customFormat="1" ht="13" x14ac:dyDescent="0.15">
      <c r="W492" s="284"/>
      <c r="X492" s="284"/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</row>
    <row r="493" spans="23:38" customFormat="1" ht="13" x14ac:dyDescent="0.15"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</row>
    <row r="494" spans="23:38" customFormat="1" ht="13" x14ac:dyDescent="0.15"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</row>
    <row r="495" spans="23:38" customFormat="1" ht="13" x14ac:dyDescent="0.15">
      <c r="W495" s="284"/>
      <c r="X495" s="284"/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</row>
    <row r="496" spans="23:38" customFormat="1" ht="13" x14ac:dyDescent="0.15">
      <c r="W496" s="284"/>
      <c r="X496" s="284"/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</row>
    <row r="497" spans="23:38" customFormat="1" ht="13" x14ac:dyDescent="0.15"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</row>
    <row r="498" spans="23:38" customFormat="1" ht="13" x14ac:dyDescent="0.15"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</row>
    <row r="499" spans="23:38" customFormat="1" ht="13" x14ac:dyDescent="0.15">
      <c r="W499" s="284"/>
      <c r="X499" s="284"/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</row>
    <row r="500" spans="23:38" customFormat="1" ht="13" x14ac:dyDescent="0.15">
      <c r="W500" s="284"/>
      <c r="X500" s="284"/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</row>
    <row r="501" spans="23:38" customFormat="1" ht="13" x14ac:dyDescent="0.15"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</row>
    <row r="502" spans="23:38" customFormat="1" ht="13" x14ac:dyDescent="0.15"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</row>
    <row r="503" spans="23:38" customFormat="1" ht="13" x14ac:dyDescent="0.15">
      <c r="W503" s="284"/>
      <c r="X503" s="284"/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</row>
    <row r="504" spans="23:38" customFormat="1" ht="13" x14ac:dyDescent="0.15">
      <c r="W504" s="284"/>
      <c r="X504" s="284"/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</row>
    <row r="505" spans="23:38" customFormat="1" ht="13" x14ac:dyDescent="0.15"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</row>
    <row r="506" spans="23:38" customFormat="1" ht="13" x14ac:dyDescent="0.15"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</row>
    <row r="507" spans="23:38" customFormat="1" ht="13" x14ac:dyDescent="0.15">
      <c r="W507" s="284"/>
      <c r="X507" s="284"/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</row>
    <row r="508" spans="23:38" customFormat="1" ht="13" x14ac:dyDescent="0.15">
      <c r="W508" s="284"/>
      <c r="X508" s="284"/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</row>
    <row r="509" spans="23:38" customFormat="1" ht="13" x14ac:dyDescent="0.15"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</row>
    <row r="510" spans="23:38" customFormat="1" ht="13" x14ac:dyDescent="0.15"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</row>
    <row r="511" spans="23:38" customFormat="1" ht="13" x14ac:dyDescent="0.15">
      <c r="W511" s="284"/>
      <c r="X511" s="284"/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</row>
    <row r="512" spans="23:38" customFormat="1" ht="13" x14ac:dyDescent="0.15">
      <c r="W512" s="284"/>
      <c r="X512" s="284"/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</row>
    <row r="513" spans="23:38" customFormat="1" ht="13" x14ac:dyDescent="0.15"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</row>
    <row r="514" spans="23:38" customFormat="1" ht="13" x14ac:dyDescent="0.15"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</row>
    <row r="515" spans="23:38" customFormat="1" ht="13" x14ac:dyDescent="0.15">
      <c r="W515" s="284"/>
      <c r="X515" s="284"/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</row>
    <row r="516" spans="23:38" customFormat="1" ht="13" x14ac:dyDescent="0.15">
      <c r="W516" s="284"/>
      <c r="X516" s="284"/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</row>
    <row r="517" spans="23:38" customFormat="1" ht="13" x14ac:dyDescent="0.15"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</row>
    <row r="518" spans="23:38" customFormat="1" ht="13" x14ac:dyDescent="0.15"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</row>
    <row r="519" spans="23:38" customFormat="1" ht="13" x14ac:dyDescent="0.15"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</row>
    <row r="520" spans="23:38" customFormat="1" ht="13" x14ac:dyDescent="0.15">
      <c r="W520" s="284"/>
      <c r="X520" s="284"/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</row>
    <row r="521" spans="23:38" customFormat="1" ht="13" x14ac:dyDescent="0.15"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</row>
    <row r="522" spans="23:38" customFormat="1" ht="13" x14ac:dyDescent="0.15"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</row>
    <row r="523" spans="23:38" customFormat="1" ht="13" x14ac:dyDescent="0.15">
      <c r="W523" s="284"/>
      <c r="X523" s="284"/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</row>
    <row r="524" spans="23:38" customFormat="1" ht="13" x14ac:dyDescent="0.15">
      <c r="W524" s="284"/>
      <c r="X524" s="284"/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</row>
    <row r="525" spans="23:38" customFormat="1" ht="13" x14ac:dyDescent="0.15"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</row>
    <row r="526" spans="23:38" customFormat="1" ht="13" x14ac:dyDescent="0.15"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</row>
    <row r="527" spans="23:38" customFormat="1" ht="13" x14ac:dyDescent="0.15">
      <c r="W527" s="284"/>
      <c r="X527" s="284"/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</row>
    <row r="528" spans="23:38" customFormat="1" ht="13" x14ac:dyDescent="0.15">
      <c r="W528" s="284"/>
      <c r="X528" s="284"/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</row>
    <row r="529" spans="23:38" customFormat="1" ht="13" x14ac:dyDescent="0.15"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</row>
    <row r="530" spans="23:38" customFormat="1" ht="13" x14ac:dyDescent="0.15"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</row>
    <row r="531" spans="23:38" customFormat="1" ht="13" x14ac:dyDescent="0.15">
      <c r="W531" s="284"/>
      <c r="X531" s="284"/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</row>
    <row r="532" spans="23:38" customFormat="1" ht="13" x14ac:dyDescent="0.15"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</row>
    <row r="533" spans="23:38" customFormat="1" ht="13" x14ac:dyDescent="0.15"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</row>
    <row r="534" spans="23:38" customFormat="1" ht="13" x14ac:dyDescent="0.15"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</row>
    <row r="535" spans="23:38" customFormat="1" ht="13" x14ac:dyDescent="0.15">
      <c r="W535" s="284"/>
      <c r="X535" s="284"/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</row>
    <row r="536" spans="23:38" customFormat="1" ht="13" x14ac:dyDescent="0.15">
      <c r="W536" s="284"/>
      <c r="X536" s="284"/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</row>
    <row r="537" spans="23:38" customFormat="1" ht="13" x14ac:dyDescent="0.15"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</row>
    <row r="538" spans="23:38" customFormat="1" ht="13" x14ac:dyDescent="0.15"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</row>
    <row r="539" spans="23:38" customFormat="1" ht="13" x14ac:dyDescent="0.15">
      <c r="W539" s="284"/>
      <c r="X539" s="284"/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</row>
    <row r="540" spans="23:38" customFormat="1" ht="13" x14ac:dyDescent="0.15">
      <c r="W540" s="284"/>
      <c r="X540" s="284"/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</row>
    <row r="541" spans="23:38" customFormat="1" ht="13" x14ac:dyDescent="0.15"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</row>
    <row r="542" spans="23:38" customFormat="1" ht="13" x14ac:dyDescent="0.15"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</row>
    <row r="543" spans="23:38" customFormat="1" ht="13" x14ac:dyDescent="0.15"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</row>
    <row r="544" spans="23:38" customFormat="1" ht="13" x14ac:dyDescent="0.15">
      <c r="W544" s="284"/>
      <c r="X544" s="284"/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</row>
    <row r="545" spans="23:38" customFormat="1" ht="13" x14ac:dyDescent="0.15"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</row>
    <row r="546" spans="23:38" customFormat="1" ht="13" x14ac:dyDescent="0.15"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</row>
    <row r="547" spans="23:38" customFormat="1" ht="13" x14ac:dyDescent="0.15">
      <c r="W547" s="284"/>
      <c r="X547" s="284"/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</row>
    <row r="548" spans="23:38" customFormat="1" ht="13" x14ac:dyDescent="0.15">
      <c r="W548" s="284"/>
      <c r="X548" s="284"/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</row>
    <row r="549" spans="23:38" customFormat="1" ht="13" x14ac:dyDescent="0.15"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</row>
    <row r="550" spans="23:38" customFormat="1" ht="13" x14ac:dyDescent="0.15"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</row>
    <row r="551" spans="23:38" customFormat="1" ht="13" x14ac:dyDescent="0.15">
      <c r="W551" s="284"/>
      <c r="X551" s="284"/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</row>
    <row r="552" spans="23:38" customFormat="1" ht="13" x14ac:dyDescent="0.15">
      <c r="W552" s="284"/>
      <c r="X552" s="284"/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</row>
    <row r="553" spans="23:38" customFormat="1" ht="13" x14ac:dyDescent="0.15"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</row>
    <row r="554" spans="23:38" customFormat="1" ht="13" x14ac:dyDescent="0.15"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</row>
    <row r="555" spans="23:38" customFormat="1" ht="13" x14ac:dyDescent="0.15">
      <c r="W555" s="284"/>
      <c r="X555" s="284"/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</row>
    <row r="556" spans="23:38" customFormat="1" ht="13" x14ac:dyDescent="0.15"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</row>
    <row r="557" spans="23:38" customFormat="1" ht="13" x14ac:dyDescent="0.15"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</row>
    <row r="558" spans="23:38" customFormat="1" ht="13" x14ac:dyDescent="0.15"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</row>
    <row r="559" spans="23:38" customFormat="1" ht="13" x14ac:dyDescent="0.15">
      <c r="W559" s="284"/>
      <c r="X559" s="284"/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</row>
    <row r="560" spans="23:38" customFormat="1" ht="13" x14ac:dyDescent="0.15">
      <c r="W560" s="284"/>
      <c r="X560" s="284"/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</row>
    <row r="561" spans="23:38" customFormat="1" ht="13" x14ac:dyDescent="0.15">
      <c r="W561" s="284"/>
      <c r="X561" s="284"/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</row>
    <row r="562" spans="23:38" customFormat="1" ht="13" x14ac:dyDescent="0.15">
      <c r="W562" s="284"/>
      <c r="X562" s="284"/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</row>
    <row r="563" spans="23:38" customFormat="1" ht="13" x14ac:dyDescent="0.15">
      <c r="W563" s="284"/>
      <c r="X563" s="284"/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</row>
    <row r="564" spans="23:38" customFormat="1" ht="13" x14ac:dyDescent="0.15">
      <c r="W564" s="284"/>
      <c r="X564" s="284"/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</row>
    <row r="565" spans="23:38" customFormat="1" ht="13" x14ac:dyDescent="0.15">
      <c r="W565" s="284"/>
      <c r="X565" s="284"/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</row>
    <row r="566" spans="23:38" customFormat="1" ht="13" x14ac:dyDescent="0.15">
      <c r="W566" s="284"/>
      <c r="X566" s="284"/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</row>
    <row r="567" spans="23:38" customFormat="1" ht="13" x14ac:dyDescent="0.15">
      <c r="W567" s="284"/>
      <c r="X567" s="284"/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</row>
    <row r="568" spans="23:38" customFormat="1" ht="13" x14ac:dyDescent="0.15">
      <c r="W568" s="284"/>
      <c r="X568" s="284"/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</row>
    <row r="569" spans="23:38" customFormat="1" ht="13" x14ac:dyDescent="0.15">
      <c r="W569" s="284"/>
      <c r="X569" s="284"/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</row>
    <row r="570" spans="23:38" customFormat="1" ht="13" x14ac:dyDescent="0.15">
      <c r="W570" s="284"/>
      <c r="X570" s="284"/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</row>
    <row r="571" spans="23:38" customFormat="1" ht="13" x14ac:dyDescent="0.15"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</row>
    <row r="572" spans="23:38" customFormat="1" ht="13" x14ac:dyDescent="0.15">
      <c r="W572" s="284"/>
      <c r="X572" s="284"/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</row>
    <row r="573" spans="23:38" customFormat="1" ht="13" x14ac:dyDescent="0.15">
      <c r="W573" s="284"/>
      <c r="X573" s="284"/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</row>
    <row r="574" spans="23:38" customFormat="1" ht="13" x14ac:dyDescent="0.15">
      <c r="W574" s="284"/>
      <c r="X574" s="284"/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</row>
    <row r="575" spans="23:38" customFormat="1" ht="13" x14ac:dyDescent="0.15"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</row>
    <row r="576" spans="23:38" customFormat="1" ht="13" x14ac:dyDescent="0.15"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</row>
    <row r="577" spans="23:38" customFormat="1" ht="13" x14ac:dyDescent="0.15"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</row>
    <row r="578" spans="23:38" customFormat="1" ht="13" x14ac:dyDescent="0.15">
      <c r="W578" s="284"/>
      <c r="X578" s="284"/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</row>
    <row r="579" spans="23:38" customFormat="1" ht="13" x14ac:dyDescent="0.15"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</row>
    <row r="580" spans="23:38" customFormat="1" ht="13" x14ac:dyDescent="0.15"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</row>
    <row r="581" spans="23:38" customFormat="1" ht="13" x14ac:dyDescent="0.15">
      <c r="W581" s="284"/>
      <c r="X581" s="284"/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</row>
    <row r="582" spans="23:38" customFormat="1" ht="13" x14ac:dyDescent="0.15">
      <c r="W582" s="284"/>
      <c r="X582" s="284"/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</row>
    <row r="583" spans="23:38" customFormat="1" ht="13" x14ac:dyDescent="0.15"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</row>
    <row r="584" spans="23:38" customFormat="1" ht="13" x14ac:dyDescent="0.15"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</row>
    <row r="585" spans="23:38" customFormat="1" ht="13" x14ac:dyDescent="0.15">
      <c r="W585" s="284"/>
      <c r="X585" s="284"/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</row>
    <row r="586" spans="23:38" customFormat="1" ht="13" x14ac:dyDescent="0.15">
      <c r="W586" s="284"/>
      <c r="X586" s="284"/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</row>
    <row r="587" spans="23:38" customFormat="1" ht="13" x14ac:dyDescent="0.15"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</row>
    <row r="588" spans="23:38" customFormat="1" ht="13" x14ac:dyDescent="0.15"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</row>
    <row r="589" spans="23:38" customFormat="1" ht="13" x14ac:dyDescent="0.15">
      <c r="W589" s="284"/>
      <c r="X589" s="284"/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</row>
    <row r="590" spans="23:38" customFormat="1" ht="13" x14ac:dyDescent="0.15">
      <c r="W590" s="284"/>
      <c r="X590" s="284"/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</row>
    <row r="591" spans="23:38" customFormat="1" ht="13" x14ac:dyDescent="0.15"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</row>
    <row r="592" spans="23:38" customFormat="1" ht="13" x14ac:dyDescent="0.15"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</row>
    <row r="593" spans="23:38" customFormat="1" ht="13" x14ac:dyDescent="0.15">
      <c r="W593" s="284"/>
      <c r="X593" s="284"/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</row>
    <row r="594" spans="23:38" customFormat="1" ht="13" x14ac:dyDescent="0.15">
      <c r="W594" s="284"/>
      <c r="X594" s="284"/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</row>
    <row r="595" spans="23:38" customFormat="1" ht="13" x14ac:dyDescent="0.15"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</row>
    <row r="596" spans="23:38" customFormat="1" ht="13" x14ac:dyDescent="0.15"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</row>
    <row r="597" spans="23:38" customFormat="1" ht="13" x14ac:dyDescent="0.15"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</row>
    <row r="598" spans="23:38" customFormat="1" ht="13" x14ac:dyDescent="0.15">
      <c r="W598" s="284"/>
      <c r="X598" s="284"/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</row>
    <row r="599" spans="23:38" customFormat="1" ht="13" x14ac:dyDescent="0.15"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</row>
    <row r="600" spans="23:38" customFormat="1" ht="13" x14ac:dyDescent="0.15"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</row>
    <row r="601" spans="23:38" customFormat="1" ht="13" x14ac:dyDescent="0.15">
      <c r="W601" s="284"/>
      <c r="X601" s="284"/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</row>
    <row r="602" spans="23:38" customFormat="1" ht="13" x14ac:dyDescent="0.15">
      <c r="W602" s="284"/>
      <c r="X602" s="284"/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</row>
    <row r="603" spans="23:38" customFormat="1" ht="13" x14ac:dyDescent="0.15"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</row>
    <row r="604" spans="23:38" customFormat="1" ht="13" x14ac:dyDescent="0.15"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</row>
    <row r="605" spans="23:38" customFormat="1" ht="13" x14ac:dyDescent="0.15"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</row>
    <row r="606" spans="23:38" customFormat="1" ht="13" x14ac:dyDescent="0.15">
      <c r="W606" s="284"/>
      <c r="X606" s="284"/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</row>
    <row r="607" spans="23:38" customFormat="1" ht="13" x14ac:dyDescent="0.15"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</row>
    <row r="608" spans="23:38" customFormat="1" ht="13" x14ac:dyDescent="0.15"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</row>
    <row r="609" spans="23:38" customFormat="1" ht="13" x14ac:dyDescent="0.15">
      <c r="W609" s="284"/>
      <c r="X609" s="284"/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</row>
    <row r="610" spans="23:38" customFormat="1" ht="13" x14ac:dyDescent="0.15"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</row>
    <row r="611" spans="23:38" customFormat="1" ht="13" x14ac:dyDescent="0.15"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</row>
    <row r="612" spans="23:38" customFormat="1" ht="13" x14ac:dyDescent="0.15"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</row>
    <row r="613" spans="23:38" customFormat="1" ht="13" x14ac:dyDescent="0.15">
      <c r="W613" s="284"/>
      <c r="X613" s="284"/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</row>
    <row r="614" spans="23:38" customFormat="1" ht="13" x14ac:dyDescent="0.15">
      <c r="W614" s="284"/>
      <c r="X614" s="284"/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</row>
    <row r="615" spans="23:38" customFormat="1" ht="13" x14ac:dyDescent="0.15"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</row>
    <row r="616" spans="23:38" customFormat="1" ht="13" x14ac:dyDescent="0.15"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</row>
    <row r="617" spans="23:38" customFormat="1" ht="13" x14ac:dyDescent="0.15">
      <c r="W617" s="284"/>
      <c r="X617" s="284"/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</row>
    <row r="618" spans="23:38" customFormat="1" ht="13" x14ac:dyDescent="0.15">
      <c r="W618" s="284"/>
      <c r="X618" s="284"/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</row>
    <row r="619" spans="23:38" customFormat="1" ht="13" x14ac:dyDescent="0.15"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</row>
    <row r="620" spans="23:38" customFormat="1" ht="13" x14ac:dyDescent="0.15"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</row>
    <row r="621" spans="23:38" customFormat="1" ht="13" x14ac:dyDescent="0.15">
      <c r="W621" s="284"/>
      <c r="X621" s="284"/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</row>
    <row r="622" spans="23:38" customFormat="1" ht="13" x14ac:dyDescent="0.15">
      <c r="W622" s="284"/>
      <c r="X622" s="284"/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</row>
    <row r="623" spans="23:38" customFormat="1" ht="13" x14ac:dyDescent="0.15"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</row>
    <row r="624" spans="23:38" customFormat="1" ht="13" x14ac:dyDescent="0.15"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</row>
    <row r="625" spans="23:38" customFormat="1" ht="13" x14ac:dyDescent="0.15">
      <c r="W625" s="284"/>
      <c r="X625" s="284"/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</row>
    <row r="626" spans="23:38" customFormat="1" ht="13" x14ac:dyDescent="0.15">
      <c r="W626" s="284"/>
      <c r="X626" s="284"/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</row>
    <row r="627" spans="23:38" customFormat="1" ht="13" x14ac:dyDescent="0.15"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</row>
    <row r="628" spans="23:38" customFormat="1" ht="13" x14ac:dyDescent="0.15"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</row>
    <row r="629" spans="23:38" customFormat="1" ht="13" x14ac:dyDescent="0.15"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</row>
    <row r="630" spans="23:38" customFormat="1" ht="13" x14ac:dyDescent="0.15">
      <c r="W630" s="284"/>
      <c r="X630" s="284"/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</row>
    <row r="631" spans="23:38" customFormat="1" ht="13" x14ac:dyDescent="0.15"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</row>
    <row r="632" spans="23:38" customFormat="1" ht="13" x14ac:dyDescent="0.15"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</row>
    <row r="633" spans="23:38" customFormat="1" ht="13" x14ac:dyDescent="0.15">
      <c r="W633" s="284"/>
      <c r="X633" s="284"/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</row>
    <row r="634" spans="23:38" customFormat="1" ht="13" x14ac:dyDescent="0.15">
      <c r="W634" s="284"/>
      <c r="X634" s="284"/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</row>
    <row r="635" spans="23:38" customFormat="1" ht="13" x14ac:dyDescent="0.15"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</row>
    <row r="636" spans="23:38" customFormat="1" ht="13" x14ac:dyDescent="0.15"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</row>
    <row r="637" spans="23:38" customFormat="1" ht="13" x14ac:dyDescent="0.15">
      <c r="W637" s="284"/>
      <c r="X637" s="284"/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</row>
    <row r="638" spans="23:38" customFormat="1" ht="13" x14ac:dyDescent="0.15">
      <c r="W638" s="284"/>
      <c r="X638" s="284"/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</row>
    <row r="639" spans="23:38" customFormat="1" ht="13" x14ac:dyDescent="0.15"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</row>
    <row r="640" spans="23:38" customFormat="1" ht="13" x14ac:dyDescent="0.15"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</row>
    <row r="641" spans="23:38" customFormat="1" ht="13" x14ac:dyDescent="0.15">
      <c r="W641" s="284"/>
      <c r="X641" s="284"/>
      <c r="Y641" s="284"/>
      <c r="Z641" s="284"/>
      <c r="AA641" s="284"/>
      <c r="AB641" s="284"/>
      <c r="AC641" s="284"/>
      <c r="AD641" s="284"/>
      <c r="AE641" s="284"/>
      <c r="AF641" s="284"/>
      <c r="AG641" s="284"/>
      <c r="AH641" s="284"/>
      <c r="AI641" s="284"/>
      <c r="AJ641" s="284"/>
      <c r="AK641" s="284"/>
      <c r="AL641" s="284"/>
    </row>
    <row r="642" spans="23:38" customFormat="1" ht="13" x14ac:dyDescent="0.15">
      <c r="W642" s="284"/>
      <c r="X642" s="284"/>
      <c r="Y642" s="284"/>
      <c r="Z642" s="284"/>
      <c r="AA642" s="284"/>
      <c r="AB642" s="284"/>
      <c r="AC642" s="284"/>
      <c r="AD642" s="284"/>
      <c r="AE642" s="284"/>
      <c r="AF642" s="284"/>
      <c r="AG642" s="284"/>
      <c r="AH642" s="284"/>
      <c r="AI642" s="284"/>
      <c r="AJ642" s="284"/>
      <c r="AK642" s="284"/>
      <c r="AL642" s="284"/>
    </row>
    <row r="643" spans="23:38" customFormat="1" ht="13" x14ac:dyDescent="0.15"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</row>
    <row r="644" spans="23:38" customFormat="1" ht="13" x14ac:dyDescent="0.15"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</row>
    <row r="645" spans="23:38" customFormat="1" ht="13" x14ac:dyDescent="0.15"/>
    <row r="646" spans="23:38" customFormat="1" ht="13" x14ac:dyDescent="0.15"/>
    <row r="647" spans="23:38" customFormat="1" ht="13" x14ac:dyDescent="0.15"/>
    <row r="648" spans="23:38" customFormat="1" ht="13" x14ac:dyDescent="0.15"/>
    <row r="649" spans="23:38" customFormat="1" ht="13" x14ac:dyDescent="0.15"/>
    <row r="650" spans="23:38" customFormat="1" ht="13" x14ac:dyDescent="0.15"/>
    <row r="651" spans="23:38" customFormat="1" ht="13" x14ac:dyDescent="0.15"/>
    <row r="652" spans="23:38" customFormat="1" ht="13" x14ac:dyDescent="0.15"/>
    <row r="653" spans="23:38" customFormat="1" ht="13" x14ac:dyDescent="0.15"/>
    <row r="654" spans="23:38" customFormat="1" ht="13" x14ac:dyDescent="0.15"/>
    <row r="655" spans="23:38" customFormat="1" ht="13" x14ac:dyDescent="0.15"/>
    <row r="656" spans="23:38" customFormat="1" ht="13" x14ac:dyDescent="0.15"/>
    <row r="657" customFormat="1" ht="13" x14ac:dyDescent="0.15"/>
    <row r="658" customFormat="1" ht="13" x14ac:dyDescent="0.15"/>
    <row r="659" customFormat="1" ht="13" x14ac:dyDescent="0.15"/>
    <row r="660" customFormat="1" ht="13" x14ac:dyDescent="0.15"/>
    <row r="661" customFormat="1" ht="13" x14ac:dyDescent="0.15"/>
    <row r="662" customFormat="1" ht="13" x14ac:dyDescent="0.15"/>
    <row r="663" customFormat="1" ht="13" x14ac:dyDescent="0.15"/>
    <row r="664" customFormat="1" ht="13" x14ac:dyDescent="0.15"/>
    <row r="665" customFormat="1" ht="13" x14ac:dyDescent="0.15"/>
    <row r="666" customFormat="1" ht="13" x14ac:dyDescent="0.15"/>
    <row r="667" customFormat="1" ht="13" x14ac:dyDescent="0.15"/>
    <row r="668" customFormat="1" ht="13" x14ac:dyDescent="0.15"/>
    <row r="669" customFormat="1" ht="13" x14ac:dyDescent="0.15"/>
    <row r="670" customFormat="1" ht="13" x14ac:dyDescent="0.15"/>
    <row r="671" customFormat="1" ht="13" x14ac:dyDescent="0.15"/>
    <row r="672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  <row r="2317" customFormat="1" ht="13" x14ac:dyDescent="0.15"/>
    <row r="2318" customFormat="1" ht="13" x14ac:dyDescent="0.15"/>
    <row r="2319" customFormat="1" ht="13" x14ac:dyDescent="0.15"/>
    <row r="2320" customFormat="1" ht="13" x14ac:dyDescent="0.15"/>
    <row r="2321" customFormat="1" ht="13" x14ac:dyDescent="0.15"/>
    <row r="2322" customFormat="1" ht="13" x14ac:dyDescent="0.15"/>
    <row r="2323" customFormat="1" ht="13" x14ac:dyDescent="0.15"/>
    <row r="2324" customFormat="1" ht="13" x14ac:dyDescent="0.15"/>
    <row r="2325" customFormat="1" ht="13" x14ac:dyDescent="0.15"/>
    <row r="2326" customFormat="1" ht="13" x14ac:dyDescent="0.15"/>
    <row r="2327" customFormat="1" ht="13" x14ac:dyDescent="0.15"/>
    <row r="2328" customFormat="1" ht="13" x14ac:dyDescent="0.15"/>
    <row r="2329" customFormat="1" ht="13" x14ac:dyDescent="0.15"/>
    <row r="2330" customFormat="1" ht="13" x14ac:dyDescent="0.15"/>
    <row r="2331" customFormat="1" ht="13" x14ac:dyDescent="0.15"/>
    <row r="2332" customFormat="1" ht="13" x14ac:dyDescent="0.15"/>
    <row r="2333" customFormat="1" ht="13" x14ac:dyDescent="0.15"/>
    <row r="2334" customFormat="1" ht="13" x14ac:dyDescent="0.15"/>
    <row r="2335" customFormat="1" ht="13" x14ac:dyDescent="0.15"/>
    <row r="2336" customFormat="1" ht="13" x14ac:dyDescent="0.15"/>
    <row r="2337" customFormat="1" ht="13" x14ac:dyDescent="0.15"/>
    <row r="2338" customFormat="1" ht="13" x14ac:dyDescent="0.15"/>
    <row r="2339" customFormat="1" ht="13" x14ac:dyDescent="0.15"/>
    <row r="2340" customFormat="1" ht="13" x14ac:dyDescent="0.15"/>
    <row r="2341" customFormat="1" ht="13" x14ac:dyDescent="0.15"/>
    <row r="2342" customFormat="1" ht="13" x14ac:dyDescent="0.15"/>
    <row r="2343" customFormat="1" ht="13" x14ac:dyDescent="0.15"/>
    <row r="2344" customFormat="1" ht="13" x14ac:dyDescent="0.15"/>
    <row r="2345" customFormat="1" ht="13" x14ac:dyDescent="0.15"/>
    <row r="2346" customFormat="1" ht="13" x14ac:dyDescent="0.15"/>
    <row r="2347" customFormat="1" ht="13" x14ac:dyDescent="0.15"/>
    <row r="2348" customFormat="1" ht="13" x14ac:dyDescent="0.15"/>
    <row r="2349" customFormat="1" ht="13" x14ac:dyDescent="0.15"/>
    <row r="2350" customFormat="1" ht="13" x14ac:dyDescent="0.15"/>
    <row r="2351" customFormat="1" ht="13" x14ac:dyDescent="0.15"/>
    <row r="2352" customFormat="1" ht="13" x14ac:dyDescent="0.15"/>
    <row r="2353" customFormat="1" ht="13" x14ac:dyDescent="0.15"/>
    <row r="2354" customFormat="1" ht="13" x14ac:dyDescent="0.15"/>
    <row r="2355" customFormat="1" ht="13" x14ac:dyDescent="0.15"/>
    <row r="2356" customFormat="1" ht="13" x14ac:dyDescent="0.15"/>
    <row r="2357" customFormat="1" ht="13" x14ac:dyDescent="0.15"/>
    <row r="2358" customFormat="1" ht="13" x14ac:dyDescent="0.15"/>
    <row r="2359" customFormat="1" ht="13" x14ac:dyDescent="0.15"/>
    <row r="2360" customFormat="1" ht="13" x14ac:dyDescent="0.15"/>
    <row r="2361" customFormat="1" ht="13" x14ac:dyDescent="0.15"/>
    <row r="2362" customFormat="1" ht="13" x14ac:dyDescent="0.15"/>
    <row r="2363" customFormat="1" ht="13" x14ac:dyDescent="0.15"/>
    <row r="2364" customFormat="1" ht="13" x14ac:dyDescent="0.15"/>
    <row r="2365" customFormat="1" ht="13" x14ac:dyDescent="0.15"/>
    <row r="2366" customFormat="1" ht="13" x14ac:dyDescent="0.15"/>
    <row r="2367" customFormat="1" ht="13" x14ac:dyDescent="0.15"/>
    <row r="2368" customFormat="1" ht="13" x14ac:dyDescent="0.15"/>
    <row r="2369" customFormat="1" ht="13" x14ac:dyDescent="0.15"/>
    <row r="2370" customFormat="1" ht="13" x14ac:dyDescent="0.15"/>
    <row r="2371" customFormat="1" ht="13" x14ac:dyDescent="0.15"/>
    <row r="2372" customFormat="1" ht="13" x14ac:dyDescent="0.15"/>
    <row r="2373" customFormat="1" ht="13" x14ac:dyDescent="0.15"/>
    <row r="2374" customFormat="1" ht="13" x14ac:dyDescent="0.15"/>
    <row r="2375" customFormat="1" ht="13" x14ac:dyDescent="0.15"/>
    <row r="2376" customFormat="1" ht="13" x14ac:dyDescent="0.15"/>
    <row r="2377" customFormat="1" ht="13" x14ac:dyDescent="0.15"/>
    <row r="2378" customFormat="1" ht="13" x14ac:dyDescent="0.15"/>
    <row r="2379" customFormat="1" ht="13" x14ac:dyDescent="0.15"/>
    <row r="2380" customFormat="1" ht="13" x14ac:dyDescent="0.15"/>
    <row r="2381" customFormat="1" ht="13" x14ac:dyDescent="0.15"/>
    <row r="2382" customFormat="1" ht="13" x14ac:dyDescent="0.15"/>
    <row r="2383" customFormat="1" ht="13" x14ac:dyDescent="0.15"/>
    <row r="2384" customFormat="1" ht="13" x14ac:dyDescent="0.15"/>
    <row r="2385" customFormat="1" ht="13" x14ac:dyDescent="0.15"/>
    <row r="2386" customFormat="1" ht="13" x14ac:dyDescent="0.15"/>
    <row r="2387" customFormat="1" ht="13" x14ac:dyDescent="0.15"/>
    <row r="2388" customFormat="1" ht="13" x14ac:dyDescent="0.15"/>
    <row r="2389" customFormat="1" ht="13" x14ac:dyDescent="0.15"/>
    <row r="2390" customFormat="1" ht="13" x14ac:dyDescent="0.15"/>
    <row r="2391" customFormat="1" ht="13" x14ac:dyDescent="0.15"/>
    <row r="2392" customFormat="1" ht="13" x14ac:dyDescent="0.15"/>
    <row r="2393" customFormat="1" ht="13" x14ac:dyDescent="0.15"/>
    <row r="2394" customFormat="1" ht="13" x14ac:dyDescent="0.15"/>
    <row r="2395" customFormat="1" ht="13" x14ac:dyDescent="0.15"/>
    <row r="2396" customFormat="1" ht="13" x14ac:dyDescent="0.15"/>
    <row r="2397" customFormat="1" ht="13" x14ac:dyDescent="0.15"/>
    <row r="2398" customFormat="1" ht="13" x14ac:dyDescent="0.15"/>
    <row r="2399" customFormat="1" ht="13" x14ac:dyDescent="0.15"/>
    <row r="2400" customFormat="1" ht="13" x14ac:dyDescent="0.15"/>
    <row r="2401" customFormat="1" ht="13" x14ac:dyDescent="0.15"/>
    <row r="2402" customFormat="1" ht="13" x14ac:dyDescent="0.15"/>
    <row r="2403" customFormat="1" ht="13" x14ac:dyDescent="0.15"/>
    <row r="2404" customFormat="1" ht="13" x14ac:dyDescent="0.15"/>
    <row r="2405" customFormat="1" ht="13" x14ac:dyDescent="0.15"/>
    <row r="2406" customFormat="1" ht="13" x14ac:dyDescent="0.15"/>
    <row r="2407" customFormat="1" ht="13" x14ac:dyDescent="0.15"/>
    <row r="2408" customFormat="1" ht="13" x14ac:dyDescent="0.15"/>
    <row r="2409" customFormat="1" ht="13" x14ac:dyDescent="0.15"/>
    <row r="2410" customFormat="1" ht="13" x14ac:dyDescent="0.15"/>
    <row r="2411" customFormat="1" ht="13" x14ac:dyDescent="0.15"/>
    <row r="2412" customFormat="1" ht="13" x14ac:dyDescent="0.15"/>
    <row r="2413" customFormat="1" ht="13" x14ac:dyDescent="0.15"/>
    <row r="2414" customFormat="1" ht="13" x14ac:dyDescent="0.15"/>
    <row r="2415" customFormat="1" ht="13" x14ac:dyDescent="0.15"/>
    <row r="2416" customFormat="1" ht="13" x14ac:dyDescent="0.15"/>
    <row r="2417" customFormat="1" ht="13" x14ac:dyDescent="0.15"/>
    <row r="2418" customFormat="1" ht="13" x14ac:dyDescent="0.15"/>
    <row r="2419" customFormat="1" ht="13" x14ac:dyDescent="0.15"/>
    <row r="2420" customFormat="1" ht="13" x14ac:dyDescent="0.15"/>
    <row r="2421" customFormat="1" ht="13" x14ac:dyDescent="0.15"/>
    <row r="2422" customFormat="1" ht="13" x14ac:dyDescent="0.15"/>
    <row r="2423" customFormat="1" ht="13" x14ac:dyDescent="0.15"/>
    <row r="2424" customFormat="1" ht="13" x14ac:dyDescent="0.15"/>
    <row r="2425" customFormat="1" ht="13" x14ac:dyDescent="0.15"/>
    <row r="2426" customFormat="1" ht="13" x14ac:dyDescent="0.15"/>
    <row r="2427" customFormat="1" ht="13" x14ac:dyDescent="0.15"/>
    <row r="2428" customFormat="1" ht="13" x14ac:dyDescent="0.15"/>
    <row r="2429" customFormat="1" ht="13" x14ac:dyDescent="0.15"/>
    <row r="2430" customFormat="1" ht="13" x14ac:dyDescent="0.15"/>
    <row r="2431" customFormat="1" ht="13" x14ac:dyDescent="0.15"/>
    <row r="2432" customFormat="1" ht="13" x14ac:dyDescent="0.15"/>
    <row r="2433" customFormat="1" ht="13" x14ac:dyDescent="0.15"/>
    <row r="2434" customFormat="1" ht="13" x14ac:dyDescent="0.15"/>
    <row r="2435" customFormat="1" ht="13" x14ac:dyDescent="0.15"/>
    <row r="2436" customFormat="1" ht="13" x14ac:dyDescent="0.15"/>
    <row r="2437" customFormat="1" ht="13" x14ac:dyDescent="0.15"/>
    <row r="2438" customFormat="1" ht="13" x14ac:dyDescent="0.15"/>
    <row r="2439" customFormat="1" ht="13" x14ac:dyDescent="0.15"/>
    <row r="2440" customFormat="1" ht="13" x14ac:dyDescent="0.15"/>
    <row r="2441" customFormat="1" ht="13" x14ac:dyDescent="0.15"/>
    <row r="2442" customFormat="1" ht="13" x14ac:dyDescent="0.15"/>
    <row r="2443" customFormat="1" ht="13" x14ac:dyDescent="0.15"/>
    <row r="2444" customFormat="1" ht="13" x14ac:dyDescent="0.15"/>
    <row r="2445" customFormat="1" ht="13" x14ac:dyDescent="0.15"/>
    <row r="2446" customFormat="1" ht="13" x14ac:dyDescent="0.15"/>
    <row r="2447" customFormat="1" ht="13" x14ac:dyDescent="0.15"/>
    <row r="2448" customFormat="1" ht="13" x14ac:dyDescent="0.15"/>
    <row r="2449" customFormat="1" ht="13" x14ac:dyDescent="0.15"/>
    <row r="2450" customFormat="1" ht="13" x14ac:dyDescent="0.15"/>
    <row r="2451" customFormat="1" ht="13" x14ac:dyDescent="0.15"/>
    <row r="2452" customFormat="1" ht="13" x14ac:dyDescent="0.15"/>
    <row r="2453" customFormat="1" ht="13" x14ac:dyDescent="0.15"/>
    <row r="2454" customFormat="1" ht="13" x14ac:dyDescent="0.15"/>
    <row r="2455" customFormat="1" ht="13" x14ac:dyDescent="0.15"/>
    <row r="2456" customFormat="1" ht="13" x14ac:dyDescent="0.15"/>
    <row r="2457" customFormat="1" ht="13" x14ac:dyDescent="0.15"/>
    <row r="2458" customFormat="1" ht="13" x14ac:dyDescent="0.15"/>
    <row r="2459" customFormat="1" ht="13" x14ac:dyDescent="0.15"/>
    <row r="2460" customFormat="1" ht="13" x14ac:dyDescent="0.15"/>
    <row r="2461" customFormat="1" ht="13" x14ac:dyDescent="0.15"/>
    <row r="2462" customFormat="1" ht="13" x14ac:dyDescent="0.15"/>
    <row r="2463" customFormat="1" ht="13" x14ac:dyDescent="0.15"/>
    <row r="2464" customFormat="1" ht="13" x14ac:dyDescent="0.15"/>
    <row r="2465" customFormat="1" ht="13" x14ac:dyDescent="0.15"/>
    <row r="2466" customFormat="1" ht="13" x14ac:dyDescent="0.15"/>
    <row r="2467" customFormat="1" ht="13" x14ac:dyDescent="0.15"/>
    <row r="2468" customFormat="1" ht="13" x14ac:dyDescent="0.15"/>
    <row r="2469" customFormat="1" ht="13" x14ac:dyDescent="0.15"/>
    <row r="2470" customFormat="1" ht="13" x14ac:dyDescent="0.15"/>
    <row r="2471" customFormat="1" ht="13" x14ac:dyDescent="0.15"/>
    <row r="2472" customFormat="1" ht="13" x14ac:dyDescent="0.15"/>
    <row r="2473" customFormat="1" ht="13" x14ac:dyDescent="0.15"/>
    <row r="2474" customFormat="1" ht="13" x14ac:dyDescent="0.15"/>
    <row r="2475" customFormat="1" ht="13" x14ac:dyDescent="0.15"/>
    <row r="2476" customFormat="1" ht="13" x14ac:dyDescent="0.15"/>
    <row r="2477" customFormat="1" ht="13" x14ac:dyDescent="0.15"/>
    <row r="2478" customFormat="1" ht="13" x14ac:dyDescent="0.15"/>
    <row r="2479" customFormat="1" ht="13" x14ac:dyDescent="0.15"/>
    <row r="2480" customFormat="1" ht="13" x14ac:dyDescent="0.15"/>
    <row r="2481" customFormat="1" ht="13" x14ac:dyDescent="0.15"/>
    <row r="2482" customFormat="1" ht="13" x14ac:dyDescent="0.15"/>
    <row r="2483" customFormat="1" ht="13" x14ac:dyDescent="0.15"/>
    <row r="2484" customFormat="1" ht="13" x14ac:dyDescent="0.15"/>
    <row r="2485" customFormat="1" ht="13" x14ac:dyDescent="0.15"/>
    <row r="2486" customFormat="1" ht="13" x14ac:dyDescent="0.15"/>
    <row r="2487" customFormat="1" ht="13" x14ac:dyDescent="0.15"/>
    <row r="2488" customFormat="1" ht="13" x14ac:dyDescent="0.15"/>
    <row r="2489" customFormat="1" ht="13" x14ac:dyDescent="0.15"/>
    <row r="2490" customFormat="1" ht="13" x14ac:dyDescent="0.15"/>
    <row r="2491" customFormat="1" ht="13" x14ac:dyDescent="0.15"/>
    <row r="2492" customFormat="1" ht="13" x14ac:dyDescent="0.15"/>
    <row r="2493" customFormat="1" ht="13" x14ac:dyDescent="0.15"/>
    <row r="2494" customFormat="1" ht="13" x14ac:dyDescent="0.15"/>
    <row r="2495" customFormat="1" ht="13" x14ac:dyDescent="0.15"/>
    <row r="2496" customFormat="1" ht="13" x14ac:dyDescent="0.15"/>
    <row r="2497" customFormat="1" ht="13" x14ac:dyDescent="0.15"/>
    <row r="2498" customFormat="1" ht="13" x14ac:dyDescent="0.15"/>
    <row r="2499" customFormat="1" ht="13" x14ac:dyDescent="0.15"/>
    <row r="2500" customFormat="1" ht="13" x14ac:dyDescent="0.15"/>
    <row r="2501" customFormat="1" ht="13" x14ac:dyDescent="0.15"/>
    <row r="2502" customFormat="1" ht="13" x14ac:dyDescent="0.15"/>
    <row r="2503" customFormat="1" ht="13" x14ac:dyDescent="0.15"/>
    <row r="2504" customFormat="1" ht="13" x14ac:dyDescent="0.15"/>
    <row r="2505" customFormat="1" ht="13" x14ac:dyDescent="0.15"/>
    <row r="2506" customFormat="1" ht="13" x14ac:dyDescent="0.15"/>
    <row r="2507" customFormat="1" ht="13" x14ac:dyDescent="0.15"/>
    <row r="2508" customFormat="1" ht="13" x14ac:dyDescent="0.15"/>
    <row r="2509" customFormat="1" ht="13" x14ac:dyDescent="0.15"/>
    <row r="2510" customFormat="1" ht="13" x14ac:dyDescent="0.15"/>
    <row r="2511" customFormat="1" ht="13" x14ac:dyDescent="0.15"/>
    <row r="2512" customFormat="1" ht="13" x14ac:dyDescent="0.15"/>
    <row r="2513" customFormat="1" ht="13" x14ac:dyDescent="0.15"/>
    <row r="2514" customFormat="1" ht="13" x14ac:dyDescent="0.15"/>
    <row r="2515" customFormat="1" ht="13" x14ac:dyDescent="0.15"/>
    <row r="2516" customFormat="1" ht="13" x14ac:dyDescent="0.15"/>
    <row r="2517" customFormat="1" ht="13" x14ac:dyDescent="0.15"/>
    <row r="2518" customFormat="1" ht="13" x14ac:dyDescent="0.15"/>
    <row r="2519" customFormat="1" ht="13" x14ac:dyDescent="0.15"/>
    <row r="2520" customFormat="1" ht="13" x14ac:dyDescent="0.15"/>
    <row r="2521" customFormat="1" ht="13" x14ac:dyDescent="0.15"/>
    <row r="2522" customFormat="1" ht="13" x14ac:dyDescent="0.15"/>
    <row r="2523" customFormat="1" ht="13" x14ac:dyDescent="0.15"/>
    <row r="2524" customFormat="1" ht="13" x14ac:dyDescent="0.15"/>
    <row r="2525" customFormat="1" ht="13" x14ac:dyDescent="0.15"/>
    <row r="2526" customFormat="1" ht="13" x14ac:dyDescent="0.15"/>
    <row r="2527" customFormat="1" ht="13" x14ac:dyDescent="0.15"/>
    <row r="2528" customFormat="1" ht="13" x14ac:dyDescent="0.15"/>
    <row r="2529" customFormat="1" ht="13" x14ac:dyDescent="0.15"/>
    <row r="2530" customFormat="1" ht="13" x14ac:dyDescent="0.15"/>
    <row r="2531" customFormat="1" ht="13" x14ac:dyDescent="0.15"/>
    <row r="2532" customFormat="1" ht="13" x14ac:dyDescent="0.15"/>
    <row r="2533" customFormat="1" ht="13" x14ac:dyDescent="0.15"/>
    <row r="2534" customFormat="1" ht="13" x14ac:dyDescent="0.15"/>
    <row r="2535" customFormat="1" ht="13" x14ac:dyDescent="0.15"/>
    <row r="2536" customFormat="1" ht="13" x14ac:dyDescent="0.15"/>
    <row r="2537" customFormat="1" ht="13" x14ac:dyDescent="0.15"/>
    <row r="2538" customFormat="1" ht="13" x14ac:dyDescent="0.15"/>
    <row r="2539" customFormat="1" ht="13" x14ac:dyDescent="0.15"/>
    <row r="2540" customFormat="1" ht="13" x14ac:dyDescent="0.15"/>
    <row r="2541" customFormat="1" ht="13" x14ac:dyDescent="0.15"/>
    <row r="2542" customFormat="1" ht="13" x14ac:dyDescent="0.15"/>
    <row r="2543" customFormat="1" ht="13" x14ac:dyDescent="0.15"/>
    <row r="2544" customFormat="1" ht="13" x14ac:dyDescent="0.15"/>
    <row r="2545" customFormat="1" ht="13" x14ac:dyDescent="0.15"/>
    <row r="2546" customFormat="1" ht="13" x14ac:dyDescent="0.15"/>
    <row r="2547" customFormat="1" ht="13" x14ac:dyDescent="0.15"/>
    <row r="2548" customFormat="1" ht="13" x14ac:dyDescent="0.15"/>
    <row r="2549" customFormat="1" ht="13" x14ac:dyDescent="0.15"/>
    <row r="2550" customFormat="1" ht="13" x14ac:dyDescent="0.15"/>
    <row r="2551" customFormat="1" ht="13" x14ac:dyDescent="0.15"/>
    <row r="2552" customFormat="1" ht="13" x14ac:dyDescent="0.15"/>
    <row r="2553" customFormat="1" ht="13" x14ac:dyDescent="0.15"/>
    <row r="2554" customFormat="1" ht="13" x14ac:dyDescent="0.15"/>
    <row r="2555" customFormat="1" ht="13" x14ac:dyDescent="0.15"/>
    <row r="2556" customFormat="1" ht="13" x14ac:dyDescent="0.15"/>
    <row r="2557" customFormat="1" ht="13" x14ac:dyDescent="0.15"/>
    <row r="2558" customFormat="1" ht="13" x14ac:dyDescent="0.15"/>
    <row r="2559" customFormat="1" ht="13" x14ac:dyDescent="0.15"/>
    <row r="2560" customFormat="1" ht="13" x14ac:dyDescent="0.15"/>
    <row r="2561" customFormat="1" ht="13" x14ac:dyDescent="0.15"/>
    <row r="2562" customFormat="1" ht="13" x14ac:dyDescent="0.15"/>
    <row r="2563" customFormat="1" ht="13" x14ac:dyDescent="0.15"/>
    <row r="2564" customFormat="1" ht="13" x14ac:dyDescent="0.15"/>
    <row r="2565" customFormat="1" ht="13" x14ac:dyDescent="0.15"/>
    <row r="2566" customFormat="1" ht="13" x14ac:dyDescent="0.15"/>
    <row r="2567" customFormat="1" ht="13" x14ac:dyDescent="0.15"/>
    <row r="2568" customFormat="1" ht="13" x14ac:dyDescent="0.15"/>
    <row r="2569" customFormat="1" ht="13" x14ac:dyDescent="0.15"/>
    <row r="2570" customFormat="1" ht="13" x14ac:dyDescent="0.15"/>
    <row r="2571" customFormat="1" ht="13" x14ac:dyDescent="0.15"/>
    <row r="2572" customFormat="1" ht="13" x14ac:dyDescent="0.15"/>
    <row r="2573" customFormat="1" ht="13" x14ac:dyDescent="0.15"/>
    <row r="2574" customFormat="1" ht="13" x14ac:dyDescent="0.15"/>
    <row r="2575" customFormat="1" ht="13" x14ac:dyDescent="0.15"/>
    <row r="2576" customFormat="1" ht="13" x14ac:dyDescent="0.15"/>
    <row r="2577" customFormat="1" ht="13" x14ac:dyDescent="0.15"/>
    <row r="2578" customFormat="1" ht="13" x14ac:dyDescent="0.15"/>
    <row r="2579" customFormat="1" ht="13" x14ac:dyDescent="0.15"/>
    <row r="2580" customFormat="1" ht="13" x14ac:dyDescent="0.15"/>
    <row r="2581" customFormat="1" ht="13" x14ac:dyDescent="0.15"/>
    <row r="2582" customFormat="1" ht="13" x14ac:dyDescent="0.15"/>
    <row r="2583" customFormat="1" ht="13" x14ac:dyDescent="0.15"/>
    <row r="2584" customFormat="1" ht="13" x14ac:dyDescent="0.15"/>
    <row r="2585" customFormat="1" ht="13" x14ac:dyDescent="0.15"/>
    <row r="2586" customFormat="1" ht="13" x14ac:dyDescent="0.15"/>
    <row r="2587" customFormat="1" ht="13" x14ac:dyDescent="0.15"/>
    <row r="2588" customFormat="1" ht="13" x14ac:dyDescent="0.15"/>
    <row r="2589" customFormat="1" ht="13" x14ac:dyDescent="0.15"/>
    <row r="2590" customFormat="1" ht="13" x14ac:dyDescent="0.15"/>
    <row r="2591" customFormat="1" ht="13" x14ac:dyDescent="0.15"/>
    <row r="2592" customFormat="1" ht="13" x14ac:dyDescent="0.15"/>
    <row r="2593" customFormat="1" ht="13" x14ac:dyDescent="0.15"/>
    <row r="2594" customFormat="1" ht="13" x14ac:dyDescent="0.15"/>
    <row r="2595" customFormat="1" ht="13" x14ac:dyDescent="0.15"/>
    <row r="2596" customFormat="1" ht="13" x14ac:dyDescent="0.15"/>
    <row r="2597" customFormat="1" ht="13" x14ac:dyDescent="0.15"/>
    <row r="2598" customFormat="1" ht="13" x14ac:dyDescent="0.15"/>
    <row r="2599" customFormat="1" ht="13" x14ac:dyDescent="0.15"/>
    <row r="2600" customFormat="1" ht="13" x14ac:dyDescent="0.15"/>
    <row r="2601" customFormat="1" ht="13" x14ac:dyDescent="0.15"/>
    <row r="2602" customFormat="1" ht="13" x14ac:dyDescent="0.15"/>
    <row r="2603" customFormat="1" ht="13" x14ac:dyDescent="0.15"/>
    <row r="2604" customFormat="1" ht="13" x14ac:dyDescent="0.15"/>
    <row r="2605" customFormat="1" ht="13" x14ac:dyDescent="0.15"/>
    <row r="2606" customFormat="1" ht="13" x14ac:dyDescent="0.15"/>
    <row r="2607" customFormat="1" ht="13" x14ac:dyDescent="0.15"/>
    <row r="2608" customFormat="1" ht="13" x14ac:dyDescent="0.15"/>
    <row r="2609" customFormat="1" ht="13" x14ac:dyDescent="0.15"/>
    <row r="2610" customFormat="1" ht="13" x14ac:dyDescent="0.15"/>
    <row r="2611" customFormat="1" ht="13" x14ac:dyDescent="0.15"/>
    <row r="2612" customFormat="1" ht="13" x14ac:dyDescent="0.15"/>
    <row r="2613" customFormat="1" ht="13" x14ac:dyDescent="0.15"/>
    <row r="2614" customFormat="1" ht="13" x14ac:dyDescent="0.15"/>
    <row r="2615" customFormat="1" ht="13" x14ac:dyDescent="0.15"/>
    <row r="2616" customFormat="1" ht="13" x14ac:dyDescent="0.15"/>
    <row r="2617" customFormat="1" ht="13" x14ac:dyDescent="0.15"/>
    <row r="2618" customFormat="1" ht="13" x14ac:dyDescent="0.15"/>
    <row r="2619" customFormat="1" ht="13" x14ac:dyDescent="0.15"/>
    <row r="2620" customFormat="1" ht="13" x14ac:dyDescent="0.15"/>
    <row r="2621" customFormat="1" ht="13" x14ac:dyDescent="0.15"/>
    <row r="2622" customFormat="1" ht="13" x14ac:dyDescent="0.15"/>
    <row r="2623" customFormat="1" ht="13" x14ac:dyDescent="0.15"/>
    <row r="2624" customFormat="1" ht="13" x14ac:dyDescent="0.15"/>
    <row r="2625" customFormat="1" ht="13" x14ac:dyDescent="0.15"/>
    <row r="2626" customFormat="1" ht="13" x14ac:dyDescent="0.15"/>
    <row r="2627" customFormat="1" ht="13" x14ac:dyDescent="0.15"/>
    <row r="2628" customFormat="1" ht="13" x14ac:dyDescent="0.15"/>
    <row r="2629" customFormat="1" ht="13" x14ac:dyDescent="0.15"/>
    <row r="2630" customFormat="1" ht="13" x14ac:dyDescent="0.15"/>
    <row r="2631" customFormat="1" ht="13" x14ac:dyDescent="0.15"/>
    <row r="2632" customFormat="1" ht="13" x14ac:dyDescent="0.15"/>
    <row r="2633" customFormat="1" ht="13" x14ac:dyDescent="0.15"/>
    <row r="2634" customFormat="1" ht="13" x14ac:dyDescent="0.15"/>
    <row r="2635" customFormat="1" ht="13" x14ac:dyDescent="0.15"/>
    <row r="2636" customFormat="1" ht="13" x14ac:dyDescent="0.15"/>
    <row r="2637" customFormat="1" ht="13" x14ac:dyDescent="0.15"/>
    <row r="2638" customFormat="1" ht="13" x14ac:dyDescent="0.15"/>
    <row r="2639" customFormat="1" ht="13" x14ac:dyDescent="0.15"/>
    <row r="2640" customFormat="1" ht="13" x14ac:dyDescent="0.15"/>
    <row r="2641" customFormat="1" ht="13" x14ac:dyDescent="0.15"/>
    <row r="2642" customFormat="1" ht="13" x14ac:dyDescent="0.15"/>
    <row r="2643" customFormat="1" ht="13" x14ac:dyDescent="0.15"/>
    <row r="2644" customFormat="1" ht="13" x14ac:dyDescent="0.15"/>
    <row r="2645" customFormat="1" ht="13" x14ac:dyDescent="0.15"/>
    <row r="2646" customFormat="1" ht="13" x14ac:dyDescent="0.15"/>
    <row r="2647" customFormat="1" ht="13" x14ac:dyDescent="0.15"/>
    <row r="2648" customFormat="1" ht="13" x14ac:dyDescent="0.15"/>
    <row r="2649" customFormat="1" ht="13" x14ac:dyDescent="0.15"/>
    <row r="2650" customFormat="1" ht="13" x14ac:dyDescent="0.15"/>
    <row r="2651" customFormat="1" ht="13" x14ac:dyDescent="0.15"/>
    <row r="2652" customFormat="1" ht="13" x14ac:dyDescent="0.15"/>
    <row r="2653" customFormat="1" ht="13" x14ac:dyDescent="0.15"/>
    <row r="2654" customFormat="1" ht="13" x14ac:dyDescent="0.15"/>
    <row r="2655" customFormat="1" ht="13" x14ac:dyDescent="0.15"/>
    <row r="2656" customFormat="1" ht="13" x14ac:dyDescent="0.15"/>
    <row r="2657" customFormat="1" ht="13" x14ac:dyDescent="0.15"/>
    <row r="2658" customFormat="1" ht="13" x14ac:dyDescent="0.15"/>
    <row r="2659" customFormat="1" ht="13" x14ac:dyDescent="0.15"/>
    <row r="2660" customFormat="1" ht="13" x14ac:dyDescent="0.15"/>
    <row r="2661" customFormat="1" ht="13" x14ac:dyDescent="0.15"/>
    <row r="2662" customFormat="1" ht="13" x14ac:dyDescent="0.15"/>
    <row r="2663" customFormat="1" ht="13" x14ac:dyDescent="0.15"/>
    <row r="2664" customFormat="1" ht="13" x14ac:dyDescent="0.15"/>
    <row r="2665" customFormat="1" ht="13" x14ac:dyDescent="0.15"/>
    <row r="2666" customFormat="1" ht="13" x14ac:dyDescent="0.15"/>
    <row r="2667" customFormat="1" ht="13" x14ac:dyDescent="0.15"/>
    <row r="2668" customFormat="1" ht="13" x14ac:dyDescent="0.15"/>
    <row r="2669" customFormat="1" ht="13" x14ac:dyDescent="0.15"/>
    <row r="2670" customFormat="1" ht="13" x14ac:dyDescent="0.15"/>
    <row r="2671" customFormat="1" ht="13" x14ac:dyDescent="0.15"/>
    <row r="2672" customFormat="1" ht="13" x14ac:dyDescent="0.15"/>
    <row r="2673" customFormat="1" ht="13" x14ac:dyDescent="0.15"/>
    <row r="2674" customFormat="1" ht="13" x14ac:dyDescent="0.15"/>
    <row r="2675" customFormat="1" ht="13" x14ac:dyDescent="0.15"/>
    <row r="2676" customFormat="1" ht="13" x14ac:dyDescent="0.15"/>
    <row r="2677" customFormat="1" ht="13" x14ac:dyDescent="0.15"/>
    <row r="2678" customFormat="1" ht="13" x14ac:dyDescent="0.15"/>
    <row r="2679" customFormat="1" ht="13" x14ac:dyDescent="0.15"/>
    <row r="2680" customFormat="1" ht="13" x14ac:dyDescent="0.15"/>
    <row r="2681" customFormat="1" ht="13" x14ac:dyDescent="0.15"/>
    <row r="2682" customFormat="1" ht="13" x14ac:dyDescent="0.15"/>
    <row r="2683" customFormat="1" ht="13" x14ac:dyDescent="0.15"/>
    <row r="2684" customFormat="1" ht="13" x14ac:dyDescent="0.15"/>
    <row r="2685" customFormat="1" ht="13" x14ac:dyDescent="0.15"/>
    <row r="2686" customFormat="1" ht="13" x14ac:dyDescent="0.15"/>
    <row r="2687" customFormat="1" ht="13" x14ac:dyDescent="0.15"/>
    <row r="2688" customFormat="1" ht="13" x14ac:dyDescent="0.15"/>
    <row r="2689" customFormat="1" ht="13" x14ac:dyDescent="0.15"/>
    <row r="2690" customFormat="1" ht="13" x14ac:dyDescent="0.15"/>
    <row r="2691" customFormat="1" ht="13" x14ac:dyDescent="0.15"/>
    <row r="2692" customFormat="1" ht="13" x14ac:dyDescent="0.15"/>
    <row r="2693" customFormat="1" ht="13" x14ac:dyDescent="0.15"/>
    <row r="2694" customFormat="1" ht="13" x14ac:dyDescent="0.15"/>
    <row r="2695" customFormat="1" ht="13" x14ac:dyDescent="0.15"/>
    <row r="2696" customFormat="1" ht="13" x14ac:dyDescent="0.15"/>
    <row r="2697" customFormat="1" ht="13" x14ac:dyDescent="0.15"/>
    <row r="2698" customFormat="1" ht="13" x14ac:dyDescent="0.15"/>
    <row r="2699" customFormat="1" ht="13" x14ac:dyDescent="0.15"/>
    <row r="2700" customFormat="1" ht="13" x14ac:dyDescent="0.15"/>
    <row r="2701" customFormat="1" ht="13" x14ac:dyDescent="0.15"/>
    <row r="2702" customFormat="1" ht="13" x14ac:dyDescent="0.15"/>
    <row r="2703" customFormat="1" ht="13" x14ac:dyDescent="0.15"/>
    <row r="2704" customFormat="1" ht="13" x14ac:dyDescent="0.15"/>
    <row r="2705" customFormat="1" ht="13" x14ac:dyDescent="0.15"/>
    <row r="2706" customFormat="1" ht="13" x14ac:dyDescent="0.15"/>
    <row r="2707" customFormat="1" ht="13" x14ac:dyDescent="0.15"/>
    <row r="2708" customFormat="1" ht="13" x14ac:dyDescent="0.15"/>
    <row r="2709" customFormat="1" ht="13" x14ac:dyDescent="0.15"/>
    <row r="2710" customFormat="1" ht="13" x14ac:dyDescent="0.15"/>
    <row r="2711" customFormat="1" ht="13" x14ac:dyDescent="0.15"/>
    <row r="2712" customFormat="1" ht="13" x14ac:dyDescent="0.15"/>
    <row r="2713" customFormat="1" ht="13" x14ac:dyDescent="0.15"/>
    <row r="2714" customFormat="1" ht="13" x14ac:dyDescent="0.15"/>
    <row r="2715" customFormat="1" ht="13" x14ac:dyDescent="0.15"/>
    <row r="2716" customFormat="1" ht="13" x14ac:dyDescent="0.15"/>
    <row r="2717" customFormat="1" ht="13" x14ac:dyDescent="0.15"/>
    <row r="2718" customFormat="1" ht="13" x14ac:dyDescent="0.15"/>
    <row r="2719" customFormat="1" ht="13" x14ac:dyDescent="0.15"/>
    <row r="2720" customFormat="1" ht="13" x14ac:dyDescent="0.15"/>
    <row r="2721" customFormat="1" ht="13" x14ac:dyDescent="0.15"/>
    <row r="2722" customFormat="1" ht="13" x14ac:dyDescent="0.15"/>
    <row r="2723" customFormat="1" ht="13" x14ac:dyDescent="0.15"/>
    <row r="2724" customFormat="1" ht="13" x14ac:dyDescent="0.15"/>
    <row r="2725" customFormat="1" ht="13" x14ac:dyDescent="0.15"/>
    <row r="2726" customFormat="1" ht="13" x14ac:dyDescent="0.15"/>
    <row r="2727" customFormat="1" ht="13" x14ac:dyDescent="0.15"/>
    <row r="2728" customFormat="1" ht="13" x14ac:dyDescent="0.15"/>
    <row r="2729" customFormat="1" ht="13" x14ac:dyDescent="0.15"/>
    <row r="2730" customFormat="1" ht="13" x14ac:dyDescent="0.15"/>
    <row r="2731" customFormat="1" ht="13" x14ac:dyDescent="0.15"/>
    <row r="2732" customFormat="1" ht="13" x14ac:dyDescent="0.15"/>
    <row r="2733" customFormat="1" ht="13" x14ac:dyDescent="0.15"/>
    <row r="2734" customFormat="1" ht="13" x14ac:dyDescent="0.15"/>
    <row r="2735" customFormat="1" ht="13" x14ac:dyDescent="0.15"/>
    <row r="2736" customFormat="1" ht="13" x14ac:dyDescent="0.15"/>
    <row r="2737" customFormat="1" ht="13" x14ac:dyDescent="0.15"/>
    <row r="2738" customFormat="1" ht="13" x14ac:dyDescent="0.15"/>
    <row r="2739" customFormat="1" ht="13" x14ac:dyDescent="0.15"/>
    <row r="2740" customFormat="1" ht="13" x14ac:dyDescent="0.15"/>
    <row r="2741" customFormat="1" ht="13" x14ac:dyDescent="0.15"/>
    <row r="2742" customFormat="1" ht="13" x14ac:dyDescent="0.15"/>
    <row r="2743" customFormat="1" ht="13" x14ac:dyDescent="0.15"/>
    <row r="2744" customFormat="1" ht="13" x14ac:dyDescent="0.15"/>
    <row r="2745" customFormat="1" ht="13" x14ac:dyDescent="0.15"/>
    <row r="2746" customFormat="1" ht="13" x14ac:dyDescent="0.15"/>
    <row r="2747" customFormat="1" ht="13" x14ac:dyDescent="0.15"/>
    <row r="2748" customFormat="1" ht="13" x14ac:dyDescent="0.15"/>
    <row r="2749" customFormat="1" ht="13" x14ac:dyDescent="0.15"/>
    <row r="2750" customFormat="1" ht="13" x14ac:dyDescent="0.15"/>
    <row r="2751" customFormat="1" ht="13" x14ac:dyDescent="0.15"/>
    <row r="2752" customFormat="1" ht="13" x14ac:dyDescent="0.15"/>
    <row r="2753" customFormat="1" ht="13" x14ac:dyDescent="0.15"/>
    <row r="2754" customFormat="1" ht="13" x14ac:dyDescent="0.15"/>
    <row r="2755" customFormat="1" ht="13" x14ac:dyDescent="0.15"/>
    <row r="2756" customFormat="1" ht="13" x14ac:dyDescent="0.15"/>
    <row r="2757" customFormat="1" ht="13" x14ac:dyDescent="0.15"/>
    <row r="2758" customFormat="1" ht="13" x14ac:dyDescent="0.15"/>
    <row r="2759" customFormat="1" ht="13" x14ac:dyDescent="0.15"/>
    <row r="2760" customFormat="1" ht="13" x14ac:dyDescent="0.15"/>
    <row r="2761" customFormat="1" ht="13" x14ac:dyDescent="0.15"/>
    <row r="2762" customFormat="1" ht="13" x14ac:dyDescent="0.15"/>
    <row r="2763" customFormat="1" ht="13" x14ac:dyDescent="0.15"/>
    <row r="2764" customFormat="1" ht="13" x14ac:dyDescent="0.15"/>
    <row r="2765" customFormat="1" ht="13" x14ac:dyDescent="0.15"/>
    <row r="2766" customFormat="1" ht="13" x14ac:dyDescent="0.15"/>
    <row r="2767" customFormat="1" ht="13" x14ac:dyDescent="0.15"/>
    <row r="2768" customFormat="1" ht="13" x14ac:dyDescent="0.15"/>
    <row r="2769" customFormat="1" ht="13" x14ac:dyDescent="0.15"/>
    <row r="2770" customFormat="1" ht="13" x14ac:dyDescent="0.15"/>
    <row r="2771" customFormat="1" ht="13" x14ac:dyDescent="0.15"/>
    <row r="2772" customFormat="1" ht="13" x14ac:dyDescent="0.15"/>
    <row r="2773" customFormat="1" ht="13" x14ac:dyDescent="0.15"/>
    <row r="2774" customFormat="1" ht="13" x14ac:dyDescent="0.15"/>
    <row r="2775" customFormat="1" ht="13" x14ac:dyDescent="0.15"/>
    <row r="2776" customFormat="1" ht="13" x14ac:dyDescent="0.15"/>
    <row r="2777" customFormat="1" ht="13" x14ac:dyDescent="0.15"/>
    <row r="2778" customFormat="1" ht="13" x14ac:dyDescent="0.15"/>
    <row r="2779" customFormat="1" ht="13" x14ac:dyDescent="0.15"/>
    <row r="2780" customFormat="1" ht="13" x14ac:dyDescent="0.15"/>
    <row r="2781" customFormat="1" ht="13" x14ac:dyDescent="0.15"/>
    <row r="2782" customFormat="1" ht="13" x14ac:dyDescent="0.15"/>
    <row r="2783" customFormat="1" ht="13" x14ac:dyDescent="0.15"/>
    <row r="2784" customFormat="1" ht="13" x14ac:dyDescent="0.15"/>
    <row r="2785" customFormat="1" ht="13" x14ac:dyDescent="0.15"/>
    <row r="2786" customFormat="1" ht="13" x14ac:dyDescent="0.15"/>
    <row r="2787" customFormat="1" ht="13" x14ac:dyDescent="0.15"/>
    <row r="2788" customFormat="1" ht="13" x14ac:dyDescent="0.15"/>
    <row r="2789" customFormat="1" ht="13" x14ac:dyDescent="0.15"/>
    <row r="2790" customFormat="1" ht="13" x14ac:dyDescent="0.15"/>
    <row r="2791" customFormat="1" ht="13" x14ac:dyDescent="0.15"/>
    <row r="2792" customFormat="1" ht="13" x14ac:dyDescent="0.15"/>
    <row r="2793" customFormat="1" ht="13" x14ac:dyDescent="0.15"/>
    <row r="2794" customFormat="1" ht="13" x14ac:dyDescent="0.15"/>
    <row r="2795" customFormat="1" ht="13" x14ac:dyDescent="0.15"/>
    <row r="2796" customFormat="1" ht="13" x14ac:dyDescent="0.15"/>
    <row r="2797" customFormat="1" ht="13" x14ac:dyDescent="0.15"/>
    <row r="2798" customFormat="1" ht="13" x14ac:dyDescent="0.15"/>
    <row r="2799" customFormat="1" ht="13" x14ac:dyDescent="0.15"/>
    <row r="2800" customFormat="1" ht="13" x14ac:dyDescent="0.15"/>
    <row r="2801" customFormat="1" ht="13" x14ac:dyDescent="0.15"/>
    <row r="2802" customFormat="1" ht="13" x14ac:dyDescent="0.15"/>
    <row r="2803" customFormat="1" ht="13" x14ac:dyDescent="0.15"/>
    <row r="2804" customFormat="1" ht="13" x14ac:dyDescent="0.15"/>
    <row r="2805" customFormat="1" ht="13" x14ac:dyDescent="0.15"/>
    <row r="2806" customFormat="1" ht="13" x14ac:dyDescent="0.15"/>
    <row r="2807" customFormat="1" ht="13" x14ac:dyDescent="0.15"/>
    <row r="2808" customFormat="1" ht="13" x14ac:dyDescent="0.15"/>
    <row r="2809" customFormat="1" ht="13" x14ac:dyDescent="0.15"/>
    <row r="2810" customFormat="1" ht="13" x14ac:dyDescent="0.15"/>
    <row r="2811" customFormat="1" ht="13" x14ac:dyDescent="0.15"/>
    <row r="2812" customFormat="1" ht="13" x14ac:dyDescent="0.15"/>
    <row r="2813" customFormat="1" ht="13" x14ac:dyDescent="0.15"/>
    <row r="2814" customFormat="1" ht="13" x14ac:dyDescent="0.15"/>
    <row r="2815" customFormat="1" ht="13" x14ac:dyDescent="0.15"/>
    <row r="2816" customFormat="1" ht="13" x14ac:dyDescent="0.15"/>
    <row r="2817" customFormat="1" ht="13" x14ac:dyDescent="0.15"/>
    <row r="2818" customFormat="1" ht="13" x14ac:dyDescent="0.15"/>
    <row r="2819" customFormat="1" ht="13" x14ac:dyDescent="0.15"/>
    <row r="2820" customFormat="1" ht="13" x14ac:dyDescent="0.15"/>
    <row r="2821" customFormat="1" ht="13" x14ac:dyDescent="0.15"/>
    <row r="2822" customFormat="1" ht="13" x14ac:dyDescent="0.15"/>
    <row r="2823" customFormat="1" ht="13" x14ac:dyDescent="0.15"/>
    <row r="2824" customFormat="1" ht="13" x14ac:dyDescent="0.15"/>
    <row r="2825" customFormat="1" ht="13" x14ac:dyDescent="0.15"/>
    <row r="2826" customFormat="1" ht="13" x14ac:dyDescent="0.15"/>
    <row r="2827" customFormat="1" ht="13" x14ac:dyDescent="0.15"/>
    <row r="2828" customFormat="1" ht="13" x14ac:dyDescent="0.15"/>
    <row r="2829" customFormat="1" ht="13" x14ac:dyDescent="0.15"/>
    <row r="2830" customFormat="1" ht="13" x14ac:dyDescent="0.15"/>
    <row r="2831" customFormat="1" ht="13" x14ac:dyDescent="0.15"/>
    <row r="2832" customFormat="1" ht="13" x14ac:dyDescent="0.15"/>
    <row r="2833" customFormat="1" ht="13" x14ac:dyDescent="0.15"/>
    <row r="2834" customFormat="1" ht="13" x14ac:dyDescent="0.15"/>
    <row r="2835" customFormat="1" ht="13" x14ac:dyDescent="0.15"/>
    <row r="2836" customFormat="1" ht="13" x14ac:dyDescent="0.15"/>
    <row r="2837" customFormat="1" ht="13" x14ac:dyDescent="0.15"/>
    <row r="2838" customFormat="1" ht="13" x14ac:dyDescent="0.15"/>
    <row r="2839" customFormat="1" ht="13" x14ac:dyDescent="0.15"/>
    <row r="2840" customFormat="1" ht="13" x14ac:dyDescent="0.15"/>
    <row r="2841" customFormat="1" ht="13" x14ac:dyDescent="0.15"/>
    <row r="2842" customFormat="1" ht="13" x14ac:dyDescent="0.15"/>
    <row r="2843" customFormat="1" ht="13" x14ac:dyDescent="0.15"/>
    <row r="2844" customFormat="1" ht="13" x14ac:dyDescent="0.15"/>
    <row r="2845" customFormat="1" ht="13" x14ac:dyDescent="0.15"/>
    <row r="2846" customFormat="1" ht="13" x14ac:dyDescent="0.15"/>
    <row r="2847" customFormat="1" ht="13" x14ac:dyDescent="0.15"/>
    <row r="2848" customFormat="1" ht="13" x14ac:dyDescent="0.15"/>
    <row r="2849" customFormat="1" ht="13" x14ac:dyDescent="0.15"/>
    <row r="2850" customFormat="1" ht="13" x14ac:dyDescent="0.15"/>
    <row r="2851" customFormat="1" ht="13" x14ac:dyDescent="0.15"/>
    <row r="2852" customFormat="1" ht="13" x14ac:dyDescent="0.15"/>
    <row r="2853" customFormat="1" ht="13" x14ac:dyDescent="0.15"/>
    <row r="2854" customFormat="1" ht="13" x14ac:dyDescent="0.15"/>
    <row r="2855" customFormat="1" ht="13" x14ac:dyDescent="0.15"/>
    <row r="2856" customFormat="1" ht="13" x14ac:dyDescent="0.15"/>
    <row r="2857" customFormat="1" ht="13" x14ac:dyDescent="0.15"/>
    <row r="2858" customFormat="1" ht="13" x14ac:dyDescent="0.15"/>
    <row r="2859" customFormat="1" ht="13" x14ac:dyDescent="0.15"/>
    <row r="2860" customFormat="1" ht="13" x14ac:dyDescent="0.15"/>
    <row r="2861" customFormat="1" ht="13" x14ac:dyDescent="0.15"/>
    <row r="2862" customFormat="1" ht="13" x14ac:dyDescent="0.15"/>
    <row r="2863" customFormat="1" ht="13" x14ac:dyDescent="0.15"/>
    <row r="2864" customFormat="1" ht="13" x14ac:dyDescent="0.15"/>
    <row r="2865" customFormat="1" ht="13" x14ac:dyDescent="0.15"/>
    <row r="2866" customFormat="1" ht="13" x14ac:dyDescent="0.15"/>
    <row r="2867" customFormat="1" ht="13" x14ac:dyDescent="0.15"/>
    <row r="2868" customFormat="1" ht="13" x14ac:dyDescent="0.15"/>
    <row r="2869" customFormat="1" ht="13" x14ac:dyDescent="0.15"/>
    <row r="2870" customFormat="1" ht="13" x14ac:dyDescent="0.15"/>
    <row r="2871" customFormat="1" ht="13" x14ac:dyDescent="0.15"/>
    <row r="2872" customFormat="1" ht="13" x14ac:dyDescent="0.15"/>
    <row r="2873" customFormat="1" ht="13" x14ac:dyDescent="0.15"/>
    <row r="2874" customFormat="1" ht="13" x14ac:dyDescent="0.15"/>
    <row r="2875" customFormat="1" ht="13" x14ac:dyDescent="0.15"/>
    <row r="2876" customFormat="1" ht="13" x14ac:dyDescent="0.15"/>
    <row r="2877" customFormat="1" ht="13" x14ac:dyDescent="0.15"/>
    <row r="2878" customFormat="1" ht="13" x14ac:dyDescent="0.15"/>
    <row r="2879" customFormat="1" ht="13" x14ac:dyDescent="0.15"/>
    <row r="2880" customFormat="1" ht="13" x14ac:dyDescent="0.15"/>
    <row r="2881" customFormat="1" ht="13" x14ac:dyDescent="0.15"/>
    <row r="2882" customFormat="1" ht="13" x14ac:dyDescent="0.15"/>
    <row r="2883" customFormat="1" ht="13" x14ac:dyDescent="0.15"/>
    <row r="2884" customFormat="1" ht="13" x14ac:dyDescent="0.15"/>
    <row r="2885" customFormat="1" ht="13" x14ac:dyDescent="0.15"/>
    <row r="2886" customFormat="1" ht="13" x14ac:dyDescent="0.15"/>
    <row r="2887" customFormat="1" ht="13" x14ac:dyDescent="0.15"/>
    <row r="2888" customFormat="1" ht="13" x14ac:dyDescent="0.15"/>
    <row r="2889" customFormat="1" ht="13" x14ac:dyDescent="0.15"/>
    <row r="2890" customFormat="1" ht="13" x14ac:dyDescent="0.15"/>
    <row r="2891" customFormat="1" ht="13" x14ac:dyDescent="0.15"/>
    <row r="2892" customFormat="1" ht="13" x14ac:dyDescent="0.15"/>
    <row r="2893" customFormat="1" ht="13" x14ac:dyDescent="0.15"/>
    <row r="2894" customFormat="1" ht="13" x14ac:dyDescent="0.15"/>
    <row r="2895" customFormat="1" ht="13" x14ac:dyDescent="0.15"/>
    <row r="2896" customFormat="1" ht="13" x14ac:dyDescent="0.15"/>
    <row r="2897" customFormat="1" ht="13" x14ac:dyDescent="0.15"/>
    <row r="2898" customFormat="1" ht="13" x14ac:dyDescent="0.15"/>
    <row r="2899" customFormat="1" ht="13" x14ac:dyDescent="0.15"/>
    <row r="2900" customFormat="1" ht="13" x14ac:dyDescent="0.15"/>
    <row r="2901" customFormat="1" ht="13" x14ac:dyDescent="0.15"/>
    <row r="2902" customFormat="1" ht="13" x14ac:dyDescent="0.15"/>
    <row r="2903" customFormat="1" ht="13" x14ac:dyDescent="0.15"/>
    <row r="2904" customFormat="1" ht="13" x14ac:dyDescent="0.15"/>
    <row r="2905" customFormat="1" ht="13" x14ac:dyDescent="0.15"/>
    <row r="2906" customFormat="1" ht="13" x14ac:dyDescent="0.15"/>
    <row r="2907" customFormat="1" ht="13" x14ac:dyDescent="0.15"/>
    <row r="2908" customFormat="1" ht="13" x14ac:dyDescent="0.15"/>
    <row r="2909" customFormat="1" ht="13" x14ac:dyDescent="0.15"/>
    <row r="2910" customFormat="1" ht="13" x14ac:dyDescent="0.15"/>
    <row r="2911" customFormat="1" ht="13" x14ac:dyDescent="0.15"/>
    <row r="2912" customFormat="1" ht="13" x14ac:dyDescent="0.15"/>
    <row r="2913" customFormat="1" ht="13" x14ac:dyDescent="0.15"/>
    <row r="2914" customFormat="1" ht="13" x14ac:dyDescent="0.15"/>
    <row r="2915" customFormat="1" ht="13" x14ac:dyDescent="0.15"/>
    <row r="2916" customFormat="1" ht="13" x14ac:dyDescent="0.15"/>
    <row r="2917" customFormat="1" ht="13" x14ac:dyDescent="0.15"/>
    <row r="2918" customFormat="1" ht="13" x14ac:dyDescent="0.15"/>
    <row r="2919" customFormat="1" ht="13" x14ac:dyDescent="0.15"/>
    <row r="2920" customFormat="1" ht="13" x14ac:dyDescent="0.15"/>
    <row r="2921" customFormat="1" ht="13" x14ac:dyDescent="0.15"/>
    <row r="2922" customFormat="1" ht="13" x14ac:dyDescent="0.15"/>
    <row r="2923" customFormat="1" ht="13" x14ac:dyDescent="0.15"/>
    <row r="2924" customFormat="1" ht="13" x14ac:dyDescent="0.15"/>
    <row r="2925" customFormat="1" ht="13" x14ac:dyDescent="0.15"/>
    <row r="2926" customFormat="1" ht="13" x14ac:dyDescent="0.15"/>
    <row r="2927" customFormat="1" ht="13" x14ac:dyDescent="0.15"/>
    <row r="2928" customFormat="1" ht="13" x14ac:dyDescent="0.15"/>
    <row r="2929" customFormat="1" ht="13" x14ac:dyDescent="0.15"/>
    <row r="2930" customFormat="1" ht="13" x14ac:dyDescent="0.15"/>
    <row r="2931" customFormat="1" ht="13" x14ac:dyDescent="0.15"/>
    <row r="2932" customFormat="1" ht="13" x14ac:dyDescent="0.15"/>
    <row r="2933" customFormat="1" ht="13" x14ac:dyDescent="0.15"/>
    <row r="2934" customFormat="1" ht="13" x14ac:dyDescent="0.15"/>
    <row r="2935" customFormat="1" ht="13" x14ac:dyDescent="0.15"/>
    <row r="2936" customFormat="1" ht="13" x14ac:dyDescent="0.15"/>
    <row r="2937" customFormat="1" ht="13" x14ac:dyDescent="0.15"/>
    <row r="2938" customFormat="1" ht="13" x14ac:dyDescent="0.15"/>
    <row r="2939" customFormat="1" ht="13" x14ac:dyDescent="0.15"/>
    <row r="2940" customFormat="1" ht="13" x14ac:dyDescent="0.15"/>
    <row r="2941" customFormat="1" ht="13" x14ac:dyDescent="0.15"/>
    <row r="2942" customFormat="1" ht="13" x14ac:dyDescent="0.15"/>
    <row r="2943" customFormat="1" ht="13" x14ac:dyDescent="0.15"/>
    <row r="2944" customFormat="1" ht="13" x14ac:dyDescent="0.15"/>
    <row r="2945" customFormat="1" ht="13" x14ac:dyDescent="0.15"/>
    <row r="2946" customFormat="1" ht="13" x14ac:dyDescent="0.15"/>
    <row r="2947" customFormat="1" ht="13" x14ac:dyDescent="0.15"/>
    <row r="2948" customFormat="1" ht="13" x14ac:dyDescent="0.15"/>
    <row r="2949" customFormat="1" ht="13" x14ac:dyDescent="0.15"/>
    <row r="2950" customFormat="1" ht="13" x14ac:dyDescent="0.15"/>
    <row r="2951" customFormat="1" ht="13" x14ac:dyDescent="0.15"/>
    <row r="2952" customFormat="1" ht="13" x14ac:dyDescent="0.15"/>
    <row r="2953" customFormat="1" ht="13" x14ac:dyDescent="0.15"/>
    <row r="2954" customFormat="1" ht="13" x14ac:dyDescent="0.15"/>
    <row r="2955" customFormat="1" ht="13" x14ac:dyDescent="0.15"/>
    <row r="2956" customFormat="1" ht="13" x14ac:dyDescent="0.15"/>
    <row r="2957" customFormat="1" ht="13" x14ac:dyDescent="0.15"/>
    <row r="2958" customFormat="1" ht="13" x14ac:dyDescent="0.15"/>
    <row r="2959" customFormat="1" ht="13" x14ac:dyDescent="0.15"/>
    <row r="2960" customFormat="1" ht="13" x14ac:dyDescent="0.15"/>
    <row r="2961" customFormat="1" ht="13" x14ac:dyDescent="0.15"/>
    <row r="2962" customFormat="1" ht="13" x14ac:dyDescent="0.15"/>
    <row r="2963" customFormat="1" ht="13" x14ac:dyDescent="0.15"/>
    <row r="2964" customFormat="1" ht="13" x14ac:dyDescent="0.15"/>
    <row r="2965" customFormat="1" ht="13" x14ac:dyDescent="0.15"/>
    <row r="2966" customFormat="1" ht="13" x14ac:dyDescent="0.15"/>
    <row r="2967" customFormat="1" ht="13" x14ac:dyDescent="0.15"/>
    <row r="2968" customFormat="1" ht="13" x14ac:dyDescent="0.15"/>
    <row r="2969" customFormat="1" ht="13" x14ac:dyDescent="0.15"/>
    <row r="2970" customFormat="1" ht="13" x14ac:dyDescent="0.15"/>
    <row r="2971" customFormat="1" ht="13" x14ac:dyDescent="0.15"/>
    <row r="2972" customFormat="1" ht="13" x14ac:dyDescent="0.15"/>
    <row r="2973" customFormat="1" ht="13" x14ac:dyDescent="0.15"/>
    <row r="2974" customFormat="1" ht="13" x14ac:dyDescent="0.15"/>
    <row r="2975" customFormat="1" ht="13" x14ac:dyDescent="0.15"/>
    <row r="2976" customFormat="1" ht="13" x14ac:dyDescent="0.15"/>
    <row r="2977" customFormat="1" ht="13" x14ac:dyDescent="0.15"/>
    <row r="2978" customFormat="1" ht="13" x14ac:dyDescent="0.15"/>
    <row r="2979" customFormat="1" ht="13" x14ac:dyDescent="0.15"/>
    <row r="2980" customFormat="1" ht="13" x14ac:dyDescent="0.15"/>
    <row r="2981" customFormat="1" ht="13" x14ac:dyDescent="0.15"/>
    <row r="2982" customFormat="1" ht="13" x14ac:dyDescent="0.15"/>
    <row r="2983" customFormat="1" ht="13" x14ac:dyDescent="0.15"/>
    <row r="2984" customFormat="1" ht="13" x14ac:dyDescent="0.15"/>
    <row r="2985" customFormat="1" ht="13" x14ac:dyDescent="0.15"/>
    <row r="2986" customFormat="1" ht="13" x14ac:dyDescent="0.15"/>
    <row r="2987" customFormat="1" ht="13" x14ac:dyDescent="0.15"/>
    <row r="2988" customFormat="1" ht="13" x14ac:dyDescent="0.15"/>
    <row r="2989" customFormat="1" ht="13" x14ac:dyDescent="0.15"/>
    <row r="2990" customFormat="1" ht="13" x14ac:dyDescent="0.15"/>
    <row r="2991" customFormat="1" ht="13" x14ac:dyDescent="0.15"/>
    <row r="2992" customFormat="1" ht="13" x14ac:dyDescent="0.15"/>
    <row r="2993" customFormat="1" ht="13" x14ac:dyDescent="0.15"/>
    <row r="2994" customFormat="1" ht="13" x14ac:dyDescent="0.15"/>
    <row r="2995" customFormat="1" ht="13" x14ac:dyDescent="0.15"/>
    <row r="2996" customFormat="1" ht="13" x14ac:dyDescent="0.15"/>
    <row r="2997" customFormat="1" ht="13" x14ac:dyDescent="0.15"/>
    <row r="2998" customFormat="1" ht="13" x14ac:dyDescent="0.15"/>
    <row r="2999" customFormat="1" ht="13" x14ac:dyDescent="0.15"/>
    <row r="3000" customFormat="1" ht="13" x14ac:dyDescent="0.15"/>
    <row r="3001" customFormat="1" ht="13" x14ac:dyDescent="0.15"/>
    <row r="3002" customFormat="1" ht="13" x14ac:dyDescent="0.15"/>
    <row r="3003" customFormat="1" ht="13" x14ac:dyDescent="0.15"/>
    <row r="3004" customFormat="1" ht="13" x14ac:dyDescent="0.15"/>
    <row r="3005" customFormat="1" ht="13" x14ac:dyDescent="0.15"/>
    <row r="3006" customFormat="1" ht="13" x14ac:dyDescent="0.15"/>
    <row r="3007" customFormat="1" ht="13" x14ac:dyDescent="0.15"/>
    <row r="3008" customFormat="1" ht="13" x14ac:dyDescent="0.15"/>
    <row r="3009" customFormat="1" ht="13" x14ac:dyDescent="0.15"/>
    <row r="3010" customFormat="1" ht="13" x14ac:dyDescent="0.15"/>
    <row r="3011" customFormat="1" ht="13" x14ac:dyDescent="0.15"/>
    <row r="3012" customFormat="1" ht="13" x14ac:dyDescent="0.15"/>
    <row r="3013" customFormat="1" ht="13" x14ac:dyDescent="0.15"/>
    <row r="3014" customFormat="1" ht="13" x14ac:dyDescent="0.15"/>
    <row r="3015" customFormat="1" ht="13" x14ac:dyDescent="0.15"/>
    <row r="3016" customFormat="1" ht="13" x14ac:dyDescent="0.15"/>
    <row r="3017" customFormat="1" ht="13" x14ac:dyDescent="0.15"/>
    <row r="3018" customFormat="1" ht="13" x14ac:dyDescent="0.15"/>
    <row r="3019" customFormat="1" ht="13" x14ac:dyDescent="0.15"/>
    <row r="3020" customFormat="1" ht="13" x14ac:dyDescent="0.15"/>
    <row r="3021" customFormat="1" ht="13" x14ac:dyDescent="0.15"/>
    <row r="3022" customFormat="1" ht="13" x14ac:dyDescent="0.15"/>
    <row r="3023" customFormat="1" ht="13" x14ac:dyDescent="0.15"/>
    <row r="3024" customFormat="1" ht="13" x14ac:dyDescent="0.15"/>
    <row r="3025" customFormat="1" ht="13" x14ac:dyDescent="0.15"/>
    <row r="3026" customFormat="1" ht="13" x14ac:dyDescent="0.15"/>
    <row r="3027" customFormat="1" ht="13" x14ac:dyDescent="0.15"/>
    <row r="3028" customFormat="1" ht="13" x14ac:dyDescent="0.15"/>
    <row r="3029" customFormat="1" ht="13" x14ac:dyDescent="0.15"/>
    <row r="3030" customFormat="1" ht="13" x14ac:dyDescent="0.15"/>
    <row r="3031" customFormat="1" ht="13" x14ac:dyDescent="0.15"/>
    <row r="3032" customFormat="1" ht="13" x14ac:dyDescent="0.15"/>
    <row r="3033" customFormat="1" ht="13" x14ac:dyDescent="0.15"/>
    <row r="3034" customFormat="1" ht="13" x14ac:dyDescent="0.15"/>
    <row r="3035" customFormat="1" ht="13" x14ac:dyDescent="0.15"/>
    <row r="3036" customFormat="1" ht="13" x14ac:dyDescent="0.15"/>
    <row r="3037" customFormat="1" ht="13" x14ac:dyDescent="0.15"/>
    <row r="3038" customFormat="1" ht="13" x14ac:dyDescent="0.15"/>
    <row r="3039" customFormat="1" ht="13" x14ac:dyDescent="0.15"/>
    <row r="3040" customFormat="1" ht="13" x14ac:dyDescent="0.15"/>
    <row r="3041" customFormat="1" ht="13" x14ac:dyDescent="0.15"/>
    <row r="3042" customFormat="1" ht="13" x14ac:dyDescent="0.15"/>
    <row r="3043" customFormat="1" ht="13" x14ac:dyDescent="0.15"/>
    <row r="3044" customFormat="1" ht="13" x14ac:dyDescent="0.15"/>
    <row r="3045" customFormat="1" ht="13" x14ac:dyDescent="0.15"/>
    <row r="3046" customFormat="1" ht="13" x14ac:dyDescent="0.15"/>
    <row r="3047" customFormat="1" ht="13" x14ac:dyDescent="0.15"/>
    <row r="3048" customFormat="1" ht="13" x14ac:dyDescent="0.15"/>
    <row r="3049" customFormat="1" ht="13" x14ac:dyDescent="0.15"/>
    <row r="3050" customFormat="1" ht="13" x14ac:dyDescent="0.15"/>
    <row r="3051" customFormat="1" ht="13" x14ac:dyDescent="0.15"/>
    <row r="3052" customFormat="1" ht="13" x14ac:dyDescent="0.15"/>
    <row r="3053" customFormat="1" ht="13" x14ac:dyDescent="0.15"/>
    <row r="3054" customFormat="1" ht="13" x14ac:dyDescent="0.15"/>
    <row r="3055" customFormat="1" ht="13" x14ac:dyDescent="0.15"/>
    <row r="3056" customFormat="1" ht="13" x14ac:dyDescent="0.15"/>
    <row r="3057" customFormat="1" ht="13" x14ac:dyDescent="0.15"/>
    <row r="3058" customFormat="1" ht="13" x14ac:dyDescent="0.15"/>
    <row r="3059" customFormat="1" ht="13" x14ac:dyDescent="0.15"/>
    <row r="3060" customFormat="1" ht="13" x14ac:dyDescent="0.15"/>
    <row r="3061" customFormat="1" ht="13" x14ac:dyDescent="0.15"/>
    <row r="3062" customFormat="1" ht="13" x14ac:dyDescent="0.15"/>
    <row r="3063" customFormat="1" ht="13" x14ac:dyDescent="0.15"/>
    <row r="3064" customFormat="1" ht="13" x14ac:dyDescent="0.15"/>
    <row r="3065" customFormat="1" ht="13" x14ac:dyDescent="0.15"/>
    <row r="3066" customFormat="1" ht="13" x14ac:dyDescent="0.15"/>
    <row r="3067" customFormat="1" ht="13" x14ac:dyDescent="0.15"/>
    <row r="3068" customFormat="1" ht="13" x14ac:dyDescent="0.15"/>
    <row r="3069" customFormat="1" ht="13" x14ac:dyDescent="0.15"/>
    <row r="3070" customFormat="1" ht="13" x14ac:dyDescent="0.15"/>
    <row r="3071" customFormat="1" ht="13" x14ac:dyDescent="0.15"/>
    <row r="3072" customFormat="1" ht="13" x14ac:dyDescent="0.15"/>
    <row r="3073" customFormat="1" ht="13" x14ac:dyDescent="0.15"/>
    <row r="3074" customFormat="1" ht="13" x14ac:dyDescent="0.15"/>
    <row r="3075" customFormat="1" ht="13" x14ac:dyDescent="0.15"/>
    <row r="3076" customFormat="1" ht="13" x14ac:dyDescent="0.15"/>
    <row r="3077" customFormat="1" ht="13" x14ac:dyDescent="0.15"/>
    <row r="3078" customFormat="1" ht="13" x14ac:dyDescent="0.15"/>
    <row r="3079" customFormat="1" ht="13" x14ac:dyDescent="0.15"/>
    <row r="3080" customFormat="1" ht="13" x14ac:dyDescent="0.15"/>
    <row r="3081" customFormat="1" ht="13" x14ac:dyDescent="0.15"/>
    <row r="3082" customFormat="1" ht="13" x14ac:dyDescent="0.15"/>
    <row r="3083" customFormat="1" ht="13" x14ac:dyDescent="0.15"/>
    <row r="3084" customFormat="1" ht="13" x14ac:dyDescent="0.15"/>
    <row r="3085" customFormat="1" ht="13" x14ac:dyDescent="0.15"/>
    <row r="3086" customFormat="1" ht="13" x14ac:dyDescent="0.15"/>
    <row r="3087" customFormat="1" ht="13" x14ac:dyDescent="0.15"/>
    <row r="3088" customFormat="1" ht="13" x14ac:dyDescent="0.15"/>
    <row r="3089" customFormat="1" ht="13" x14ac:dyDescent="0.15"/>
    <row r="3090" customFormat="1" ht="13" x14ac:dyDescent="0.15"/>
    <row r="3091" customFormat="1" ht="13" x14ac:dyDescent="0.15"/>
    <row r="3092" customFormat="1" ht="13" x14ac:dyDescent="0.15"/>
    <row r="3093" customFormat="1" ht="13" x14ac:dyDescent="0.15"/>
    <row r="3094" customFormat="1" ht="13" x14ac:dyDescent="0.15"/>
    <row r="3095" customFormat="1" ht="13" x14ac:dyDescent="0.15"/>
    <row r="3096" customFormat="1" ht="13" x14ac:dyDescent="0.15"/>
    <row r="3097" customFormat="1" ht="13" x14ac:dyDescent="0.15"/>
    <row r="3098" customFormat="1" ht="13" x14ac:dyDescent="0.15"/>
    <row r="3099" customFormat="1" ht="13" x14ac:dyDescent="0.15"/>
    <row r="3100" customFormat="1" ht="13" x14ac:dyDescent="0.15"/>
    <row r="3101" customFormat="1" ht="13" x14ac:dyDescent="0.15"/>
    <row r="3102" customFormat="1" ht="13" x14ac:dyDescent="0.15"/>
    <row r="3103" customFormat="1" ht="13" x14ac:dyDescent="0.15"/>
    <row r="3104" customFormat="1" ht="13" x14ac:dyDescent="0.15"/>
    <row r="3105" customFormat="1" ht="13" x14ac:dyDescent="0.15"/>
    <row r="3106" customFormat="1" ht="13" x14ac:dyDescent="0.15"/>
    <row r="3107" customFormat="1" ht="13" x14ac:dyDescent="0.15"/>
    <row r="3108" customFormat="1" ht="13" x14ac:dyDescent="0.15"/>
    <row r="3109" customFormat="1" ht="13" x14ac:dyDescent="0.15"/>
    <row r="3110" customFormat="1" ht="13" x14ac:dyDescent="0.15"/>
    <row r="3111" customFormat="1" ht="13" x14ac:dyDescent="0.15"/>
    <row r="3112" customFormat="1" ht="13" x14ac:dyDescent="0.15"/>
    <row r="3113" customFormat="1" ht="13" x14ac:dyDescent="0.15"/>
    <row r="3114" customFormat="1" ht="13" x14ac:dyDescent="0.15"/>
    <row r="3115" customFormat="1" ht="13" x14ac:dyDescent="0.15"/>
    <row r="3116" customFormat="1" ht="13" x14ac:dyDescent="0.15"/>
    <row r="3117" customFormat="1" ht="13" x14ac:dyDescent="0.15"/>
    <row r="3118" customFormat="1" ht="13" x14ac:dyDescent="0.15"/>
    <row r="3119" customFormat="1" ht="13" x14ac:dyDescent="0.15"/>
    <row r="3120" customFormat="1" ht="13" x14ac:dyDescent="0.15"/>
    <row r="3121" customFormat="1" ht="13" x14ac:dyDescent="0.15"/>
    <row r="3122" customFormat="1" ht="13" x14ac:dyDescent="0.15"/>
    <row r="3123" customFormat="1" ht="13" x14ac:dyDescent="0.15"/>
    <row r="3124" customFormat="1" ht="13" x14ac:dyDescent="0.15"/>
    <row r="3125" customFormat="1" ht="13" x14ac:dyDescent="0.15"/>
    <row r="3126" customFormat="1" ht="13" x14ac:dyDescent="0.15"/>
    <row r="3127" customFormat="1" ht="13" x14ac:dyDescent="0.15"/>
    <row r="3128" customFormat="1" ht="13" x14ac:dyDescent="0.15"/>
    <row r="3129" customFormat="1" ht="13" x14ac:dyDescent="0.15"/>
    <row r="3130" customFormat="1" ht="13" x14ac:dyDescent="0.15"/>
    <row r="3131" customFormat="1" ht="13" x14ac:dyDescent="0.15"/>
    <row r="3132" customFormat="1" ht="13" x14ac:dyDescent="0.15"/>
    <row r="3133" customFormat="1" ht="13" x14ac:dyDescent="0.15"/>
    <row r="3134" customFormat="1" ht="13" x14ac:dyDescent="0.15"/>
    <row r="3135" customFormat="1" ht="13" x14ac:dyDescent="0.15"/>
    <row r="3136" customFormat="1" ht="13" x14ac:dyDescent="0.15"/>
    <row r="3137" customFormat="1" ht="13" x14ac:dyDescent="0.15"/>
    <row r="3138" customFormat="1" ht="13" x14ac:dyDescent="0.15"/>
    <row r="3139" customFormat="1" ht="13" x14ac:dyDescent="0.15"/>
    <row r="3140" customFormat="1" ht="13" x14ac:dyDescent="0.15"/>
    <row r="3141" customFormat="1" ht="13" x14ac:dyDescent="0.15"/>
    <row r="3142" customFormat="1" ht="13" x14ac:dyDescent="0.15"/>
    <row r="3143" customFormat="1" ht="13" x14ac:dyDescent="0.15"/>
    <row r="3144" customFormat="1" ht="13" x14ac:dyDescent="0.15"/>
    <row r="3145" customFormat="1" ht="13" x14ac:dyDescent="0.15"/>
    <row r="3146" customFormat="1" ht="13" x14ac:dyDescent="0.15"/>
    <row r="3147" customFormat="1" ht="13" x14ac:dyDescent="0.15"/>
    <row r="3148" customFormat="1" ht="13" x14ac:dyDescent="0.15"/>
    <row r="3149" customFormat="1" ht="13" x14ac:dyDescent="0.15"/>
    <row r="3150" customFormat="1" ht="13" x14ac:dyDescent="0.15"/>
    <row r="3151" customFormat="1" ht="13" x14ac:dyDescent="0.15"/>
    <row r="3152" customFormat="1" ht="13" x14ac:dyDescent="0.15"/>
    <row r="3153" customFormat="1" ht="13" x14ac:dyDescent="0.15"/>
    <row r="3154" customFormat="1" ht="13" x14ac:dyDescent="0.15"/>
    <row r="3155" customFormat="1" ht="13" x14ac:dyDescent="0.15"/>
    <row r="3156" customFormat="1" ht="13" x14ac:dyDescent="0.15"/>
    <row r="3157" customFormat="1" ht="13" x14ac:dyDescent="0.15"/>
    <row r="3158" customFormat="1" ht="13" x14ac:dyDescent="0.15"/>
    <row r="3159" customFormat="1" ht="13" x14ac:dyDescent="0.15"/>
    <row r="3160" customFormat="1" ht="13" x14ac:dyDescent="0.15"/>
    <row r="3161" customFormat="1" ht="13" x14ac:dyDescent="0.15"/>
    <row r="3162" customFormat="1" ht="13" x14ac:dyDescent="0.15"/>
    <row r="3163" customFormat="1" ht="13" x14ac:dyDescent="0.15"/>
    <row r="3164" customFormat="1" ht="13" x14ac:dyDescent="0.15"/>
    <row r="3165" customFormat="1" ht="13" x14ac:dyDescent="0.15"/>
    <row r="3166" customFormat="1" ht="13" x14ac:dyDescent="0.15"/>
    <row r="3167" customFormat="1" ht="13" x14ac:dyDescent="0.15"/>
    <row r="3168" customFormat="1" ht="13" x14ac:dyDescent="0.15"/>
    <row r="3169" customFormat="1" ht="13" x14ac:dyDescent="0.15"/>
    <row r="3170" customFormat="1" ht="13" x14ac:dyDescent="0.15"/>
    <row r="3171" customFormat="1" ht="13" x14ac:dyDescent="0.15"/>
    <row r="3172" customFormat="1" ht="13" x14ac:dyDescent="0.15"/>
    <row r="3173" customFormat="1" ht="13" x14ac:dyDescent="0.15"/>
    <row r="3174" customFormat="1" ht="13" x14ac:dyDescent="0.15"/>
    <row r="3175" customFormat="1" ht="13" x14ac:dyDescent="0.15"/>
    <row r="3176" customFormat="1" ht="13" x14ac:dyDescent="0.15"/>
    <row r="3177" customFormat="1" ht="13" x14ac:dyDescent="0.15"/>
    <row r="3178" customFormat="1" ht="13" x14ac:dyDescent="0.15"/>
    <row r="3179" customFormat="1" ht="13" x14ac:dyDescent="0.15"/>
    <row r="3180" customFormat="1" ht="13" x14ac:dyDescent="0.15"/>
    <row r="3181" customFormat="1" ht="13" x14ac:dyDescent="0.15"/>
    <row r="3182" customFormat="1" ht="13" x14ac:dyDescent="0.15"/>
    <row r="3183" customFormat="1" ht="13" x14ac:dyDescent="0.15"/>
    <row r="3184" customFormat="1" ht="13" x14ac:dyDescent="0.15"/>
    <row r="3185" customFormat="1" ht="13" x14ac:dyDescent="0.15"/>
    <row r="3186" customFormat="1" ht="13" x14ac:dyDescent="0.15"/>
    <row r="3187" customFormat="1" ht="13" x14ac:dyDescent="0.15"/>
    <row r="3188" customFormat="1" ht="13" x14ac:dyDescent="0.15"/>
    <row r="3189" customFormat="1" ht="13" x14ac:dyDescent="0.15"/>
    <row r="3190" customFormat="1" ht="13" x14ac:dyDescent="0.15"/>
    <row r="3191" customFormat="1" ht="13" x14ac:dyDescent="0.15"/>
    <row r="3192" customFormat="1" ht="13" x14ac:dyDescent="0.15"/>
    <row r="3193" customFormat="1" ht="13" x14ac:dyDescent="0.15"/>
    <row r="3194" customFormat="1" ht="13" x14ac:dyDescent="0.15"/>
    <row r="3195" customFormat="1" ht="13" x14ac:dyDescent="0.15"/>
    <row r="3196" customFormat="1" ht="13" x14ac:dyDescent="0.15"/>
    <row r="3197" customFormat="1" ht="13" x14ac:dyDescent="0.15"/>
    <row r="3198" customFormat="1" ht="13" x14ac:dyDescent="0.15"/>
    <row r="3199" customFormat="1" ht="13" x14ac:dyDescent="0.15"/>
    <row r="3200" customFormat="1" ht="13" x14ac:dyDescent="0.15"/>
    <row r="3201" customFormat="1" ht="13" x14ac:dyDescent="0.15"/>
    <row r="3202" customFormat="1" ht="13" x14ac:dyDescent="0.15"/>
    <row r="3203" customFormat="1" ht="13" x14ac:dyDescent="0.15"/>
    <row r="3204" customFormat="1" ht="13" x14ac:dyDescent="0.15"/>
    <row r="3205" customFormat="1" ht="13" x14ac:dyDescent="0.15"/>
    <row r="3206" customFormat="1" ht="13" x14ac:dyDescent="0.15"/>
    <row r="3207" customFormat="1" ht="13" x14ac:dyDescent="0.15"/>
    <row r="3208" customFormat="1" ht="13" x14ac:dyDescent="0.15"/>
    <row r="3209" customFormat="1" ht="13" x14ac:dyDescent="0.15"/>
    <row r="3210" customFormat="1" ht="13" x14ac:dyDescent="0.15"/>
    <row r="3211" customFormat="1" ht="13" x14ac:dyDescent="0.15"/>
    <row r="3212" customFormat="1" ht="13" x14ac:dyDescent="0.15"/>
    <row r="3213" customFormat="1" ht="13" x14ac:dyDescent="0.15"/>
    <row r="3214" customFormat="1" ht="13" x14ac:dyDescent="0.15"/>
    <row r="3215" customFormat="1" ht="13" x14ac:dyDescent="0.15"/>
    <row r="3216" customFormat="1" ht="13" x14ac:dyDescent="0.15"/>
    <row r="3217" customFormat="1" ht="13" x14ac:dyDescent="0.15"/>
    <row r="3218" customFormat="1" ht="13" x14ac:dyDescent="0.15"/>
    <row r="3219" customFormat="1" ht="13" x14ac:dyDescent="0.15"/>
    <row r="3220" customFormat="1" ht="13" x14ac:dyDescent="0.15"/>
    <row r="3221" customFormat="1" ht="13" x14ac:dyDescent="0.15"/>
    <row r="3222" customFormat="1" ht="13" x14ac:dyDescent="0.15"/>
    <row r="3223" customFormat="1" ht="13" x14ac:dyDescent="0.15"/>
    <row r="3224" customFormat="1" ht="13" x14ac:dyDescent="0.15"/>
    <row r="3225" customFormat="1" ht="13" x14ac:dyDescent="0.15"/>
    <row r="3226" customFormat="1" ht="13" x14ac:dyDescent="0.15"/>
    <row r="3227" customFormat="1" ht="13" x14ac:dyDescent="0.15"/>
    <row r="3228" customFormat="1" ht="13" x14ac:dyDescent="0.15"/>
    <row r="3229" customFormat="1" ht="13" x14ac:dyDescent="0.15"/>
    <row r="3230" customFormat="1" ht="13" x14ac:dyDescent="0.15"/>
    <row r="3231" customFormat="1" ht="13" x14ac:dyDescent="0.15"/>
    <row r="3232" customFormat="1" ht="13" x14ac:dyDescent="0.15"/>
    <row r="3233" customFormat="1" ht="13" x14ac:dyDescent="0.15"/>
    <row r="3234" customFormat="1" ht="13" x14ac:dyDescent="0.15"/>
    <row r="3235" customFormat="1" ht="13" x14ac:dyDescent="0.15"/>
    <row r="3236" customFormat="1" ht="13" x14ac:dyDescent="0.15"/>
    <row r="3237" customFormat="1" ht="13" x14ac:dyDescent="0.15"/>
    <row r="3238" customFormat="1" ht="13" x14ac:dyDescent="0.15"/>
    <row r="3239" customFormat="1" ht="13" x14ac:dyDescent="0.15"/>
    <row r="3240" customFormat="1" ht="13" x14ac:dyDescent="0.15"/>
    <row r="3241" customFormat="1" ht="13" x14ac:dyDescent="0.15"/>
    <row r="3242" customFormat="1" ht="13" x14ac:dyDescent="0.15"/>
    <row r="3243" customFormat="1" ht="13" x14ac:dyDescent="0.15"/>
    <row r="3244" customFormat="1" ht="13" x14ac:dyDescent="0.15"/>
    <row r="3245" customFormat="1" ht="13" x14ac:dyDescent="0.15"/>
    <row r="3246" customFormat="1" ht="13" x14ac:dyDescent="0.15"/>
    <row r="3247" customFormat="1" ht="13" x14ac:dyDescent="0.15"/>
    <row r="3248" customFormat="1" ht="13" x14ac:dyDescent="0.15"/>
    <row r="3249" customFormat="1" ht="13" x14ac:dyDescent="0.15"/>
    <row r="3250" customFormat="1" ht="13" x14ac:dyDescent="0.15"/>
    <row r="3251" customFormat="1" ht="13" x14ac:dyDescent="0.15"/>
    <row r="3252" customFormat="1" ht="13" x14ac:dyDescent="0.15"/>
    <row r="3253" customFormat="1" ht="13" x14ac:dyDescent="0.15"/>
    <row r="3254" customFormat="1" ht="13" x14ac:dyDescent="0.15"/>
    <row r="3255" customFormat="1" ht="13" x14ac:dyDescent="0.15"/>
    <row r="3256" customFormat="1" ht="13" x14ac:dyDescent="0.15"/>
    <row r="3257" customFormat="1" ht="13" x14ac:dyDescent="0.15"/>
    <row r="3258" customFormat="1" ht="13" x14ac:dyDescent="0.15"/>
    <row r="3259" customFormat="1" ht="13" x14ac:dyDescent="0.15"/>
    <row r="3260" customFormat="1" ht="13" x14ac:dyDescent="0.15"/>
    <row r="3261" customFormat="1" ht="13" x14ac:dyDescent="0.15"/>
    <row r="3262" customFormat="1" ht="13" x14ac:dyDescent="0.15"/>
    <row r="3263" customFormat="1" ht="13" x14ac:dyDescent="0.15"/>
    <row r="3264" customFormat="1" ht="13" x14ac:dyDescent="0.15"/>
    <row r="3265" customFormat="1" ht="13" x14ac:dyDescent="0.15"/>
    <row r="3266" customFormat="1" ht="13" x14ac:dyDescent="0.15"/>
    <row r="3267" customFormat="1" ht="13" x14ac:dyDescent="0.15"/>
    <row r="3268" customFormat="1" ht="13" x14ac:dyDescent="0.15"/>
    <row r="3269" customFormat="1" ht="13" x14ac:dyDescent="0.15"/>
    <row r="3270" customFormat="1" ht="13" x14ac:dyDescent="0.15"/>
    <row r="3271" customFormat="1" ht="13" x14ac:dyDescent="0.15"/>
    <row r="3272" customFormat="1" ht="13" x14ac:dyDescent="0.15"/>
    <row r="3273" customFormat="1" ht="13" x14ac:dyDescent="0.15"/>
    <row r="3274" customFormat="1" ht="13" x14ac:dyDescent="0.15"/>
    <row r="3275" customFormat="1" ht="13" x14ac:dyDescent="0.15"/>
    <row r="3276" customFormat="1" ht="13" x14ac:dyDescent="0.15"/>
    <row r="3277" customFormat="1" ht="13" x14ac:dyDescent="0.15"/>
    <row r="3278" customFormat="1" ht="13" x14ac:dyDescent="0.15"/>
    <row r="3279" customFormat="1" ht="13" x14ac:dyDescent="0.15"/>
    <row r="3280" customFormat="1" ht="13" x14ac:dyDescent="0.15"/>
    <row r="3281" customFormat="1" ht="13" x14ac:dyDescent="0.15"/>
    <row r="3282" customFormat="1" ht="13" x14ac:dyDescent="0.15"/>
    <row r="3283" customFormat="1" ht="13" x14ac:dyDescent="0.15"/>
    <row r="3284" customFormat="1" ht="13" x14ac:dyDescent="0.15"/>
    <row r="3285" customFormat="1" ht="13" x14ac:dyDescent="0.15"/>
    <row r="3286" customFormat="1" ht="13" x14ac:dyDescent="0.15"/>
    <row r="3287" customFormat="1" ht="13" x14ac:dyDescent="0.15"/>
    <row r="3288" customFormat="1" ht="13" x14ac:dyDescent="0.15"/>
    <row r="3289" customFormat="1" ht="13" x14ac:dyDescent="0.15"/>
    <row r="3290" customFormat="1" ht="13" x14ac:dyDescent="0.15"/>
    <row r="3291" customFormat="1" ht="13" x14ac:dyDescent="0.15"/>
    <row r="3292" customFormat="1" ht="13" x14ac:dyDescent="0.15"/>
    <row r="3293" customFormat="1" ht="13" x14ac:dyDescent="0.15"/>
    <row r="3294" customFormat="1" ht="13" x14ac:dyDescent="0.15"/>
    <row r="3295" customFormat="1" ht="13" x14ac:dyDescent="0.15"/>
    <row r="3296" customFormat="1" ht="13" x14ac:dyDescent="0.15"/>
    <row r="3297" customFormat="1" ht="13" x14ac:dyDescent="0.15"/>
    <row r="3298" customFormat="1" ht="13" x14ac:dyDescent="0.15"/>
    <row r="3299" customFormat="1" ht="13" x14ac:dyDescent="0.15"/>
    <row r="3300" customFormat="1" ht="13" x14ac:dyDescent="0.15"/>
    <row r="3301" customFormat="1" ht="13" x14ac:dyDescent="0.15"/>
    <row r="3302" customFormat="1" ht="13" x14ac:dyDescent="0.15"/>
    <row r="3303" customFormat="1" ht="13" x14ac:dyDescent="0.15"/>
    <row r="3304" customFormat="1" ht="13" x14ac:dyDescent="0.15"/>
    <row r="3305" customFormat="1" ht="13" x14ac:dyDescent="0.15"/>
    <row r="3306" customFormat="1" ht="13" x14ac:dyDescent="0.15"/>
    <row r="3307" customFormat="1" ht="13" x14ac:dyDescent="0.15"/>
    <row r="3308" customFormat="1" ht="13" x14ac:dyDescent="0.15"/>
    <row r="3309" customFormat="1" ht="13" x14ac:dyDescent="0.15"/>
    <row r="3310" customFormat="1" ht="13" x14ac:dyDescent="0.15"/>
    <row r="3311" customFormat="1" ht="13" x14ac:dyDescent="0.15"/>
    <row r="3312" customFormat="1" ht="13" x14ac:dyDescent="0.15"/>
    <row r="3313" customFormat="1" ht="13" x14ac:dyDescent="0.15"/>
    <row r="3314" customFormat="1" ht="13" x14ac:dyDescent="0.15"/>
    <row r="3315" customFormat="1" ht="13" x14ac:dyDescent="0.15"/>
    <row r="3316" customFormat="1" ht="13" x14ac:dyDescent="0.15"/>
    <row r="3317" customFormat="1" ht="13" x14ac:dyDescent="0.15"/>
    <row r="3318" customFormat="1" ht="13" x14ac:dyDescent="0.15"/>
    <row r="3319" customFormat="1" ht="13" x14ac:dyDescent="0.15"/>
    <row r="3320" customFormat="1" ht="13" x14ac:dyDescent="0.15"/>
    <row r="3321" customFormat="1" ht="13" x14ac:dyDescent="0.15"/>
    <row r="3322" customFormat="1" ht="13" x14ac:dyDescent="0.15"/>
    <row r="3323" customFormat="1" ht="13" x14ac:dyDescent="0.15"/>
    <row r="3324" customFormat="1" ht="13" x14ac:dyDescent="0.15"/>
    <row r="3325" customFormat="1" ht="13" x14ac:dyDescent="0.15"/>
    <row r="3326" customFormat="1" ht="13" x14ac:dyDescent="0.15"/>
    <row r="3327" customFormat="1" ht="13" x14ac:dyDescent="0.15"/>
    <row r="3328" customFormat="1" ht="13" x14ac:dyDescent="0.15"/>
    <row r="3329" customFormat="1" ht="13" x14ac:dyDescent="0.15"/>
    <row r="3330" customFormat="1" ht="13" x14ac:dyDescent="0.15"/>
    <row r="3331" customFormat="1" ht="13" x14ac:dyDescent="0.15"/>
    <row r="3332" customFormat="1" ht="13" x14ac:dyDescent="0.15"/>
    <row r="3333" customFormat="1" ht="13" x14ac:dyDescent="0.15"/>
    <row r="3334" customFormat="1" ht="13" x14ac:dyDescent="0.15"/>
    <row r="3335" customFormat="1" ht="13" x14ac:dyDescent="0.15"/>
    <row r="3336" customFormat="1" ht="13" x14ac:dyDescent="0.15"/>
    <row r="3337" customFormat="1" ht="13" x14ac:dyDescent="0.15"/>
    <row r="3338" customFormat="1" ht="13" x14ac:dyDescent="0.15"/>
    <row r="3339" customFormat="1" ht="13" x14ac:dyDescent="0.15"/>
    <row r="3340" customFormat="1" ht="13" x14ac:dyDescent="0.15"/>
    <row r="3341" customFormat="1" ht="13" x14ac:dyDescent="0.15"/>
    <row r="3342" customFormat="1" ht="13" x14ac:dyDescent="0.15"/>
    <row r="3343" customFormat="1" ht="13" x14ac:dyDescent="0.15"/>
    <row r="3344" customFormat="1" ht="13" x14ac:dyDescent="0.15"/>
    <row r="3345" customFormat="1" ht="13" x14ac:dyDescent="0.15"/>
    <row r="3346" customFormat="1" ht="13" x14ac:dyDescent="0.15"/>
    <row r="3347" customFormat="1" ht="13" x14ac:dyDescent="0.15"/>
    <row r="3348" customFormat="1" ht="13" x14ac:dyDescent="0.15"/>
    <row r="3349" customFormat="1" ht="13" x14ac:dyDescent="0.15"/>
    <row r="3350" customFormat="1" ht="13" x14ac:dyDescent="0.15"/>
    <row r="3351" customFormat="1" ht="13" x14ac:dyDescent="0.15"/>
    <row r="3352" customFormat="1" ht="13" x14ac:dyDescent="0.15"/>
    <row r="3353" customFormat="1" ht="13" x14ac:dyDescent="0.15"/>
    <row r="3354" customFormat="1" ht="13" x14ac:dyDescent="0.15"/>
    <row r="3355" customFormat="1" ht="13" x14ac:dyDescent="0.15"/>
    <row r="3356" customFormat="1" ht="13" x14ac:dyDescent="0.15"/>
    <row r="3357" customFormat="1" ht="13" x14ac:dyDescent="0.15"/>
    <row r="3358" customFormat="1" ht="13" x14ac:dyDescent="0.15"/>
    <row r="3359" customFormat="1" ht="13" x14ac:dyDescent="0.15"/>
    <row r="3360" customFormat="1" ht="13" x14ac:dyDescent="0.15"/>
    <row r="3361" customFormat="1" ht="13" x14ac:dyDescent="0.15"/>
    <row r="3362" customFormat="1" ht="13" x14ac:dyDescent="0.15"/>
    <row r="3363" customFormat="1" ht="13" x14ac:dyDescent="0.15"/>
    <row r="3364" customFormat="1" ht="13" x14ac:dyDescent="0.15"/>
    <row r="3365" customFormat="1" ht="13" x14ac:dyDescent="0.15"/>
    <row r="3366" customFormat="1" ht="13" x14ac:dyDescent="0.15"/>
    <row r="3367" customFormat="1" ht="13" x14ac:dyDescent="0.15"/>
    <row r="3368" customFormat="1" ht="13" x14ac:dyDescent="0.15"/>
    <row r="3369" customFormat="1" ht="13" x14ac:dyDescent="0.15"/>
    <row r="3370" customFormat="1" ht="13" x14ac:dyDescent="0.15"/>
    <row r="3371" customFormat="1" ht="13" x14ac:dyDescent="0.15"/>
    <row r="3372" customFormat="1" ht="13" x14ac:dyDescent="0.15"/>
    <row r="3373" customFormat="1" ht="13" x14ac:dyDescent="0.15"/>
    <row r="3374" customFormat="1" ht="13" x14ac:dyDescent="0.15"/>
    <row r="3375" customFormat="1" ht="13" x14ac:dyDescent="0.15"/>
    <row r="3376" customFormat="1" ht="13" x14ac:dyDescent="0.15"/>
    <row r="3377" customFormat="1" ht="13" x14ac:dyDescent="0.15"/>
    <row r="3378" customFormat="1" ht="13" x14ac:dyDescent="0.15"/>
    <row r="3379" customFormat="1" ht="13" x14ac:dyDescent="0.15"/>
    <row r="3380" customFormat="1" ht="13" x14ac:dyDescent="0.15"/>
    <row r="3381" customFormat="1" ht="13" x14ac:dyDescent="0.15"/>
    <row r="3382" customFormat="1" ht="13" x14ac:dyDescent="0.15"/>
    <row r="3383" customFormat="1" ht="13" x14ac:dyDescent="0.15"/>
    <row r="3384" customFormat="1" ht="13" x14ac:dyDescent="0.15"/>
    <row r="3385" customFormat="1" ht="13" x14ac:dyDescent="0.15"/>
    <row r="3386" customFormat="1" ht="13" x14ac:dyDescent="0.15"/>
    <row r="3387" customFormat="1" ht="13" x14ac:dyDescent="0.15"/>
    <row r="3388" customFormat="1" ht="13" x14ac:dyDescent="0.15"/>
    <row r="3389" customFormat="1" ht="13" x14ac:dyDescent="0.15"/>
    <row r="3390" customFormat="1" ht="13" x14ac:dyDescent="0.15"/>
    <row r="3391" customFormat="1" ht="13" x14ac:dyDescent="0.15"/>
    <row r="3392" customFormat="1" ht="13" x14ac:dyDescent="0.15"/>
    <row r="3393" customFormat="1" ht="13" x14ac:dyDescent="0.15"/>
    <row r="3394" customFormat="1" ht="13" x14ac:dyDescent="0.15"/>
    <row r="3395" customFormat="1" ht="13" x14ac:dyDescent="0.15"/>
    <row r="3396" customFormat="1" ht="13" x14ac:dyDescent="0.15"/>
    <row r="3397" customFormat="1" ht="13" x14ac:dyDescent="0.15"/>
    <row r="3398" customFormat="1" ht="13" x14ac:dyDescent="0.15"/>
    <row r="3399" customFormat="1" ht="13" x14ac:dyDescent="0.15"/>
    <row r="3400" customFormat="1" ht="13" x14ac:dyDescent="0.15"/>
    <row r="3401" customFormat="1" ht="13" x14ac:dyDescent="0.15"/>
    <row r="3402" customFormat="1" ht="13" x14ac:dyDescent="0.15"/>
    <row r="3403" customFormat="1" ht="13" x14ac:dyDescent="0.15"/>
    <row r="3404" customFormat="1" ht="13" x14ac:dyDescent="0.15"/>
    <row r="3405" customFormat="1" ht="13" x14ac:dyDescent="0.15"/>
    <row r="3406" customFormat="1" ht="13" x14ac:dyDescent="0.15"/>
    <row r="3407" customFormat="1" ht="13" x14ac:dyDescent="0.15"/>
    <row r="3408" customFormat="1" ht="13" x14ac:dyDescent="0.15"/>
    <row r="3409" customFormat="1" ht="13" x14ac:dyDescent="0.15"/>
    <row r="3410" customFormat="1" ht="13" x14ac:dyDescent="0.15"/>
    <row r="3411" customFormat="1" ht="13" x14ac:dyDescent="0.15"/>
    <row r="3412" customFormat="1" ht="13" x14ac:dyDescent="0.15"/>
    <row r="3413" customFormat="1" ht="13" x14ac:dyDescent="0.15"/>
    <row r="3414" customFormat="1" ht="13" x14ac:dyDescent="0.15"/>
    <row r="3415" customFormat="1" ht="13" x14ac:dyDescent="0.15"/>
    <row r="3416" customFormat="1" ht="13" x14ac:dyDescent="0.15"/>
    <row r="3417" customFormat="1" ht="13" x14ac:dyDescent="0.15"/>
    <row r="3418" customFormat="1" ht="13" x14ac:dyDescent="0.15"/>
    <row r="3419" customFormat="1" ht="13" x14ac:dyDescent="0.15"/>
    <row r="3420" customFormat="1" ht="13" x14ac:dyDescent="0.15"/>
    <row r="3421" customFormat="1" ht="13" x14ac:dyDescent="0.15"/>
    <row r="3422" customFormat="1" ht="13" x14ac:dyDescent="0.15"/>
    <row r="3423" customFormat="1" ht="13" x14ac:dyDescent="0.15"/>
    <row r="3424" customFormat="1" ht="13" x14ac:dyDescent="0.15"/>
    <row r="3425" customFormat="1" ht="13" x14ac:dyDescent="0.15"/>
    <row r="3426" customFormat="1" ht="13" x14ac:dyDescent="0.15"/>
    <row r="3427" customFormat="1" ht="13" x14ac:dyDescent="0.15"/>
    <row r="3428" customFormat="1" ht="13" x14ac:dyDescent="0.15"/>
    <row r="3429" customFormat="1" ht="13" x14ac:dyDescent="0.15"/>
    <row r="3430" customFormat="1" ht="13" x14ac:dyDescent="0.15"/>
    <row r="3431" customFormat="1" ht="13" x14ac:dyDescent="0.15"/>
    <row r="3432" customFormat="1" ht="13" x14ac:dyDescent="0.15"/>
    <row r="3433" customFormat="1" ht="13" x14ac:dyDescent="0.15"/>
    <row r="3434" customFormat="1" ht="13" x14ac:dyDescent="0.15"/>
    <row r="3435" customFormat="1" ht="13" x14ac:dyDescent="0.15"/>
    <row r="3436" customFormat="1" ht="13" x14ac:dyDescent="0.15"/>
    <row r="3437" customFormat="1" ht="13" x14ac:dyDescent="0.15"/>
    <row r="3438" customFormat="1" ht="13" x14ac:dyDescent="0.15"/>
    <row r="3439" customFormat="1" ht="13" x14ac:dyDescent="0.15"/>
    <row r="3440" customFormat="1" ht="13" x14ac:dyDescent="0.15"/>
    <row r="3441" customFormat="1" ht="13" x14ac:dyDescent="0.15"/>
    <row r="3442" customFormat="1" ht="13" x14ac:dyDescent="0.15"/>
    <row r="3443" customFormat="1" ht="13" x14ac:dyDescent="0.15"/>
    <row r="3444" customFormat="1" ht="13" x14ac:dyDescent="0.15"/>
    <row r="3445" customFormat="1" ht="13" x14ac:dyDescent="0.15"/>
    <row r="3446" customFormat="1" ht="13" x14ac:dyDescent="0.15"/>
    <row r="3447" customFormat="1" ht="13" x14ac:dyDescent="0.15"/>
    <row r="3448" customFormat="1" ht="13" x14ac:dyDescent="0.15"/>
    <row r="3449" customFormat="1" ht="13" x14ac:dyDescent="0.15"/>
    <row r="3450" customFormat="1" ht="13" x14ac:dyDescent="0.15"/>
    <row r="3451" customFormat="1" ht="13" x14ac:dyDescent="0.15"/>
    <row r="3452" customFormat="1" ht="13" x14ac:dyDescent="0.15"/>
    <row r="3453" customFormat="1" ht="13" x14ac:dyDescent="0.15"/>
    <row r="3454" customFormat="1" ht="13" x14ac:dyDescent="0.15"/>
    <row r="3455" customFormat="1" ht="13" x14ac:dyDescent="0.15"/>
    <row r="3456" customFormat="1" ht="13" x14ac:dyDescent="0.15"/>
    <row r="3457" customFormat="1" ht="13" x14ac:dyDescent="0.15"/>
    <row r="3458" customFormat="1" ht="13" x14ac:dyDescent="0.15"/>
    <row r="3459" customFormat="1" ht="13" x14ac:dyDescent="0.15"/>
    <row r="3460" customFormat="1" ht="13" x14ac:dyDescent="0.15"/>
    <row r="3461" customFormat="1" ht="13" x14ac:dyDescent="0.15"/>
    <row r="3462" customFormat="1" ht="13" x14ac:dyDescent="0.15"/>
    <row r="3463" customFormat="1" ht="13" x14ac:dyDescent="0.15"/>
    <row r="3464" customFormat="1" ht="13" x14ac:dyDescent="0.15"/>
    <row r="3465" customFormat="1" ht="13" x14ac:dyDescent="0.15"/>
    <row r="3466" customFormat="1" ht="13" x14ac:dyDescent="0.15"/>
    <row r="3467" customFormat="1" ht="13" x14ac:dyDescent="0.15"/>
    <row r="3468" customFormat="1" ht="13" x14ac:dyDescent="0.15"/>
    <row r="3469" customFormat="1" ht="13" x14ac:dyDescent="0.15"/>
    <row r="3470" customFormat="1" ht="13" x14ac:dyDescent="0.15"/>
    <row r="3471" customFormat="1" ht="13" x14ac:dyDescent="0.15"/>
    <row r="3472" customFormat="1" ht="13" x14ac:dyDescent="0.15"/>
    <row r="3473" customFormat="1" ht="13" x14ac:dyDescent="0.15"/>
    <row r="3474" customFormat="1" ht="13" x14ac:dyDescent="0.15"/>
    <row r="3475" customFormat="1" ht="13" x14ac:dyDescent="0.15"/>
    <row r="3476" customFormat="1" ht="13" x14ac:dyDescent="0.15"/>
    <row r="3477" customFormat="1" ht="13" x14ac:dyDescent="0.15"/>
    <row r="3478" customFormat="1" ht="13" x14ac:dyDescent="0.15"/>
    <row r="3479" customFormat="1" ht="13" x14ac:dyDescent="0.15"/>
    <row r="3480" customFormat="1" ht="13" x14ac:dyDescent="0.15"/>
    <row r="3481" customFormat="1" ht="13" x14ac:dyDescent="0.15"/>
    <row r="3482" customFormat="1" ht="13" x14ac:dyDescent="0.15"/>
    <row r="3483" customFormat="1" ht="13" x14ac:dyDescent="0.15"/>
    <row r="3484" customFormat="1" ht="13" x14ac:dyDescent="0.15"/>
    <row r="3485" customFormat="1" ht="13" x14ac:dyDescent="0.15"/>
    <row r="3486" customFormat="1" ht="13" x14ac:dyDescent="0.15"/>
    <row r="3487" customFormat="1" ht="13" x14ac:dyDescent="0.15"/>
    <row r="3488" customFormat="1" ht="13" x14ac:dyDescent="0.15"/>
    <row r="3489" customFormat="1" ht="13" x14ac:dyDescent="0.15"/>
    <row r="3490" customFormat="1" ht="13" x14ac:dyDescent="0.15"/>
    <row r="3491" customFormat="1" ht="13" x14ac:dyDescent="0.15"/>
    <row r="3492" customFormat="1" ht="13" x14ac:dyDescent="0.15"/>
    <row r="3493" customFormat="1" ht="13" x14ac:dyDescent="0.15"/>
    <row r="3494" customFormat="1" ht="13" x14ac:dyDescent="0.15"/>
    <row r="3495" customFormat="1" ht="13" x14ac:dyDescent="0.15"/>
    <row r="3496" customFormat="1" ht="13" x14ac:dyDescent="0.15"/>
    <row r="3497" customFormat="1" ht="13" x14ac:dyDescent="0.15"/>
    <row r="3498" customFormat="1" ht="13" x14ac:dyDescent="0.15"/>
    <row r="3499" customFormat="1" ht="13" x14ac:dyDescent="0.15"/>
    <row r="3500" customFormat="1" ht="13" x14ac:dyDescent="0.15"/>
    <row r="3501" customFormat="1" ht="13" x14ac:dyDescent="0.15"/>
    <row r="3502" customFormat="1" ht="13" x14ac:dyDescent="0.15"/>
    <row r="3503" customFormat="1" ht="13" x14ac:dyDescent="0.15"/>
    <row r="3504" customFormat="1" ht="13" x14ac:dyDescent="0.15"/>
    <row r="3505" customFormat="1" ht="13" x14ac:dyDescent="0.15"/>
    <row r="3506" customFormat="1" ht="13" x14ac:dyDescent="0.15"/>
    <row r="3507" customFormat="1" ht="13" x14ac:dyDescent="0.15"/>
    <row r="3508" customFormat="1" ht="13" x14ac:dyDescent="0.15"/>
    <row r="3509" customFormat="1" ht="13" x14ac:dyDescent="0.15"/>
    <row r="3510" customFormat="1" ht="13" x14ac:dyDescent="0.15"/>
    <row r="3511" customFormat="1" ht="13" x14ac:dyDescent="0.15"/>
    <row r="3512" customFormat="1" ht="13" x14ac:dyDescent="0.15"/>
    <row r="3513" customFormat="1" ht="13" x14ac:dyDescent="0.15"/>
    <row r="3514" customFormat="1" ht="13" x14ac:dyDescent="0.15"/>
    <row r="3515" customFormat="1" ht="13" x14ac:dyDescent="0.15"/>
    <row r="3516" customFormat="1" ht="13" x14ac:dyDescent="0.15"/>
    <row r="3517" customFormat="1" ht="13" x14ac:dyDescent="0.15"/>
    <row r="3518" customFormat="1" ht="13" x14ac:dyDescent="0.15"/>
    <row r="3519" customFormat="1" ht="13" x14ac:dyDescent="0.15"/>
    <row r="3520" customFormat="1" ht="13" x14ac:dyDescent="0.15"/>
    <row r="3521" customFormat="1" ht="13" x14ac:dyDescent="0.15"/>
    <row r="3522" customFormat="1" ht="13" x14ac:dyDescent="0.15"/>
    <row r="3523" customFormat="1" ht="13" x14ac:dyDescent="0.15"/>
    <row r="3524" customFormat="1" ht="13" x14ac:dyDescent="0.15"/>
    <row r="3525" customFormat="1" ht="13" x14ac:dyDescent="0.15"/>
    <row r="3526" customFormat="1" ht="13" x14ac:dyDescent="0.15"/>
    <row r="3527" customFormat="1" ht="13" x14ac:dyDescent="0.15"/>
    <row r="3528" customFormat="1" ht="13" x14ac:dyDescent="0.15"/>
    <row r="3529" customFormat="1" ht="13" x14ac:dyDescent="0.15"/>
    <row r="3530" customFormat="1" ht="13" x14ac:dyDescent="0.15"/>
    <row r="3531" customFormat="1" ht="13" x14ac:dyDescent="0.15"/>
    <row r="3532" customFormat="1" ht="13" x14ac:dyDescent="0.15"/>
    <row r="3533" customFormat="1" ht="13" x14ac:dyDescent="0.15"/>
    <row r="3534" customFormat="1" ht="13" x14ac:dyDescent="0.15"/>
    <row r="3535" customFormat="1" ht="13" x14ac:dyDescent="0.15"/>
    <row r="3536" customFormat="1" ht="13" x14ac:dyDescent="0.15"/>
    <row r="3537" customFormat="1" ht="13" x14ac:dyDescent="0.15"/>
    <row r="3538" customFormat="1" ht="13" x14ac:dyDescent="0.15"/>
    <row r="3539" customFormat="1" ht="13" x14ac:dyDescent="0.15"/>
    <row r="3540" customFormat="1" ht="13" x14ac:dyDescent="0.15"/>
    <row r="3541" customFormat="1" ht="13" x14ac:dyDescent="0.15"/>
    <row r="3542" customFormat="1" ht="13" x14ac:dyDescent="0.15"/>
    <row r="3543" customFormat="1" ht="13" x14ac:dyDescent="0.15"/>
    <row r="3544" customFormat="1" ht="13" x14ac:dyDescent="0.15"/>
    <row r="3545" customFormat="1" ht="13" x14ac:dyDescent="0.15"/>
    <row r="3546" customFormat="1" ht="13" x14ac:dyDescent="0.15"/>
    <row r="3547" customFormat="1" ht="13" x14ac:dyDescent="0.15"/>
    <row r="3548" customFormat="1" ht="13" x14ac:dyDescent="0.15"/>
    <row r="3549" customFormat="1" ht="13" x14ac:dyDescent="0.15"/>
    <row r="3550" customFormat="1" ht="13" x14ac:dyDescent="0.15"/>
    <row r="3551" customFormat="1" ht="13" x14ac:dyDescent="0.15"/>
    <row r="3552" customFormat="1" ht="13" x14ac:dyDescent="0.15"/>
    <row r="3553" customFormat="1" ht="13" x14ac:dyDescent="0.15"/>
    <row r="3554" customFormat="1" ht="13" x14ac:dyDescent="0.15"/>
    <row r="3555" customFormat="1" ht="13" x14ac:dyDescent="0.15"/>
    <row r="3556" customFormat="1" ht="13" x14ac:dyDescent="0.15"/>
    <row r="3557" customFormat="1" ht="13" x14ac:dyDescent="0.15"/>
    <row r="3558" customFormat="1" ht="13" x14ac:dyDescent="0.15"/>
    <row r="3559" customFormat="1" ht="13" x14ac:dyDescent="0.15"/>
    <row r="3560" customFormat="1" ht="13" x14ac:dyDescent="0.15"/>
    <row r="3561" customFormat="1" ht="13" x14ac:dyDescent="0.15"/>
    <row r="3562" customFormat="1" ht="13" x14ac:dyDescent="0.15"/>
    <row r="3563" customFormat="1" ht="13" x14ac:dyDescent="0.15"/>
    <row r="3564" customFormat="1" ht="13" x14ac:dyDescent="0.15"/>
    <row r="3565" customFormat="1" ht="13" x14ac:dyDescent="0.15"/>
    <row r="3566" customFormat="1" ht="13" x14ac:dyDescent="0.15"/>
    <row r="3567" customFormat="1" ht="13" x14ac:dyDescent="0.15"/>
    <row r="3568" customFormat="1" ht="13" x14ac:dyDescent="0.15"/>
    <row r="3569" customFormat="1" ht="13" x14ac:dyDescent="0.15"/>
    <row r="3570" customFormat="1" ht="13" x14ac:dyDescent="0.15"/>
    <row r="3571" customFormat="1" ht="13" x14ac:dyDescent="0.15"/>
    <row r="3572" customFormat="1" ht="13" x14ac:dyDescent="0.15"/>
    <row r="3573" customFormat="1" ht="13" x14ac:dyDescent="0.15"/>
    <row r="3574" customFormat="1" ht="13" x14ac:dyDescent="0.15"/>
    <row r="3575" customFormat="1" ht="13" x14ac:dyDescent="0.15"/>
    <row r="3576" customFormat="1" ht="13" x14ac:dyDescent="0.15"/>
    <row r="3577" customFormat="1" ht="13" x14ac:dyDescent="0.15"/>
    <row r="3578" customFormat="1" ht="13" x14ac:dyDescent="0.15"/>
    <row r="3579" customFormat="1" ht="13" x14ac:dyDescent="0.15"/>
    <row r="3580" customFormat="1" ht="13" x14ac:dyDescent="0.15"/>
    <row r="3581" customFormat="1" ht="13" x14ac:dyDescent="0.15"/>
    <row r="3582" customFormat="1" ht="13" x14ac:dyDescent="0.15"/>
    <row r="3583" customFormat="1" ht="13" x14ac:dyDescent="0.15"/>
    <row r="3584" customFormat="1" ht="13" x14ac:dyDescent="0.15"/>
    <row r="3585" customFormat="1" ht="13" x14ac:dyDescent="0.15"/>
    <row r="3586" customFormat="1" ht="13" x14ac:dyDescent="0.15"/>
    <row r="3587" customFormat="1" ht="13" x14ac:dyDescent="0.15"/>
    <row r="3588" customFormat="1" ht="13" x14ac:dyDescent="0.15"/>
    <row r="3589" customFormat="1" ht="13" x14ac:dyDescent="0.15"/>
    <row r="3590" customFormat="1" ht="13" x14ac:dyDescent="0.15"/>
    <row r="3591" customFormat="1" ht="13" x14ac:dyDescent="0.15"/>
    <row r="3592" customFormat="1" ht="13" x14ac:dyDescent="0.15"/>
    <row r="3593" customFormat="1" ht="13" x14ac:dyDescent="0.15"/>
    <row r="3594" customFormat="1" ht="13" x14ac:dyDescent="0.15"/>
    <row r="3595" customFormat="1" ht="13" x14ac:dyDescent="0.15"/>
    <row r="3596" customFormat="1" ht="13" x14ac:dyDescent="0.15"/>
    <row r="3597" customFormat="1" ht="13" x14ac:dyDescent="0.15"/>
    <row r="3598" customFormat="1" ht="13" x14ac:dyDescent="0.15"/>
    <row r="3599" customFormat="1" ht="13" x14ac:dyDescent="0.15"/>
    <row r="3600" customFormat="1" ht="13" x14ac:dyDescent="0.15"/>
    <row r="3601" customFormat="1" ht="13" x14ac:dyDescent="0.15"/>
    <row r="3602" customFormat="1" ht="13" x14ac:dyDescent="0.15"/>
    <row r="3603" customFormat="1" ht="13" x14ac:dyDescent="0.15"/>
    <row r="3604" customFormat="1" ht="13" x14ac:dyDescent="0.15"/>
    <row r="3605" customFormat="1" ht="13" x14ac:dyDescent="0.15"/>
    <row r="3606" customFormat="1" ht="13" x14ac:dyDescent="0.15"/>
    <row r="3607" customFormat="1" ht="13" x14ac:dyDescent="0.15"/>
    <row r="3608" customFormat="1" ht="13" x14ac:dyDescent="0.15"/>
    <row r="3609" customFormat="1" ht="13" x14ac:dyDescent="0.15"/>
    <row r="3610" customFormat="1" ht="13" x14ac:dyDescent="0.15"/>
    <row r="3611" customFormat="1" ht="13" x14ac:dyDescent="0.15"/>
    <row r="3612" customFormat="1" ht="13" x14ac:dyDescent="0.15"/>
    <row r="3613" customFormat="1" ht="13" x14ac:dyDescent="0.15"/>
    <row r="3614" customFormat="1" ht="13" x14ac:dyDescent="0.15"/>
    <row r="3615" customFormat="1" ht="13" x14ac:dyDescent="0.15"/>
    <row r="3616" customFormat="1" ht="13" x14ac:dyDescent="0.15"/>
    <row r="3617" customFormat="1" ht="13" x14ac:dyDescent="0.15"/>
    <row r="3618" customFormat="1" ht="13" x14ac:dyDescent="0.15"/>
    <row r="3619" customFormat="1" ht="13" x14ac:dyDescent="0.15"/>
    <row r="3620" customFormat="1" ht="13" x14ac:dyDescent="0.15"/>
    <row r="3621" customFormat="1" ht="13" x14ac:dyDescent="0.15"/>
    <row r="3622" customFormat="1" ht="13" x14ac:dyDescent="0.15"/>
    <row r="3623" customFormat="1" ht="13" x14ac:dyDescent="0.15"/>
    <row r="3624" customFormat="1" ht="13" x14ac:dyDescent="0.15"/>
    <row r="3625" customFormat="1" ht="13" x14ac:dyDescent="0.15"/>
    <row r="3626" customFormat="1" ht="13" x14ac:dyDescent="0.15"/>
    <row r="3627" customFormat="1" ht="13" x14ac:dyDescent="0.15"/>
    <row r="3628" customFormat="1" ht="13" x14ac:dyDescent="0.15"/>
    <row r="3629" customFormat="1" ht="13" x14ac:dyDescent="0.15"/>
    <row r="3630" customFormat="1" ht="13" x14ac:dyDescent="0.15"/>
    <row r="3631" customFormat="1" ht="13" x14ac:dyDescent="0.15"/>
    <row r="3632" customFormat="1" ht="13" x14ac:dyDescent="0.15"/>
    <row r="3633" customFormat="1" ht="13" x14ac:dyDescent="0.15"/>
    <row r="3634" customFormat="1" ht="13" x14ac:dyDescent="0.15"/>
    <row r="3635" customFormat="1" ht="13" x14ac:dyDescent="0.15"/>
    <row r="3636" customFormat="1" ht="13" x14ac:dyDescent="0.15"/>
    <row r="3637" customFormat="1" ht="13" x14ac:dyDescent="0.15"/>
    <row r="3638" customFormat="1" ht="13" x14ac:dyDescent="0.15"/>
    <row r="3639" customFormat="1" ht="13" x14ac:dyDescent="0.15"/>
    <row r="3640" customFormat="1" ht="13" x14ac:dyDescent="0.15"/>
    <row r="3641" customFormat="1" ht="13" x14ac:dyDescent="0.15"/>
    <row r="3642" customFormat="1" ht="13" x14ac:dyDescent="0.15"/>
    <row r="3643" customFormat="1" ht="13" x14ac:dyDescent="0.15"/>
    <row r="3644" customFormat="1" ht="13" x14ac:dyDescent="0.15"/>
    <row r="3645" customFormat="1" ht="13" x14ac:dyDescent="0.15"/>
    <row r="3646" customFormat="1" ht="13" x14ac:dyDescent="0.15"/>
    <row r="3647" customFormat="1" ht="13" x14ac:dyDescent="0.15"/>
    <row r="3648" customFormat="1" ht="13" x14ac:dyDescent="0.15"/>
    <row r="3649" customFormat="1" ht="13" x14ac:dyDescent="0.15"/>
    <row r="3650" customFormat="1" ht="13" x14ac:dyDescent="0.15"/>
    <row r="3651" customFormat="1" ht="13" x14ac:dyDescent="0.15"/>
    <row r="3652" customFormat="1" ht="13" x14ac:dyDescent="0.15"/>
    <row r="3653" customFormat="1" ht="13" x14ac:dyDescent="0.15"/>
    <row r="3654" customFormat="1" ht="13" x14ac:dyDescent="0.15"/>
    <row r="3655" customFormat="1" ht="13" x14ac:dyDescent="0.15"/>
    <row r="3656" customFormat="1" ht="13" x14ac:dyDescent="0.15"/>
    <row r="3657" customFormat="1" ht="13" x14ac:dyDescent="0.15"/>
    <row r="3658" customFormat="1" ht="13" x14ac:dyDescent="0.15"/>
    <row r="3659" customFormat="1" ht="13" x14ac:dyDescent="0.15"/>
    <row r="3660" customFormat="1" ht="13" x14ac:dyDescent="0.15"/>
    <row r="3661" customFormat="1" ht="13" x14ac:dyDescent="0.15"/>
    <row r="3662" customFormat="1" ht="13" x14ac:dyDescent="0.15"/>
    <row r="3663" customFormat="1" ht="13" x14ac:dyDescent="0.15"/>
    <row r="3664" customFormat="1" ht="13" x14ac:dyDescent="0.15"/>
    <row r="3665" customFormat="1" ht="13" x14ac:dyDescent="0.15"/>
    <row r="3666" customFormat="1" ht="13" x14ac:dyDescent="0.15"/>
    <row r="3667" customFormat="1" ht="13" x14ac:dyDescent="0.15"/>
    <row r="3668" customFormat="1" ht="13" x14ac:dyDescent="0.15"/>
    <row r="3669" customFormat="1" ht="13" x14ac:dyDescent="0.15"/>
    <row r="3670" customFormat="1" ht="13" x14ac:dyDescent="0.15"/>
    <row r="3671" customFormat="1" ht="13" x14ac:dyDescent="0.15"/>
    <row r="3672" customFormat="1" ht="13" x14ac:dyDescent="0.15"/>
    <row r="3673" customFormat="1" ht="13" x14ac:dyDescent="0.15"/>
    <row r="3674" customFormat="1" ht="13" x14ac:dyDescent="0.15"/>
    <row r="3675" customFormat="1" ht="13" x14ac:dyDescent="0.15"/>
    <row r="3676" customFormat="1" ht="13" x14ac:dyDescent="0.15"/>
    <row r="3677" customFormat="1" ht="13" x14ac:dyDescent="0.15"/>
    <row r="3678" customFormat="1" ht="13" x14ac:dyDescent="0.15"/>
    <row r="3679" customFormat="1" ht="13" x14ac:dyDescent="0.15"/>
    <row r="3680" customFormat="1" ht="13" x14ac:dyDescent="0.15"/>
    <row r="3681" customFormat="1" ht="13" x14ac:dyDescent="0.15"/>
    <row r="3682" customFormat="1" ht="13" x14ac:dyDescent="0.15"/>
    <row r="3683" customFormat="1" ht="13" x14ac:dyDescent="0.15"/>
    <row r="3684" customFormat="1" ht="13" x14ac:dyDescent="0.15"/>
    <row r="3685" customFormat="1" ht="13" x14ac:dyDescent="0.15"/>
    <row r="3686" customFormat="1" ht="13" x14ac:dyDescent="0.15"/>
    <row r="3687" customFormat="1" ht="13" x14ac:dyDescent="0.15"/>
    <row r="3688" customFormat="1" ht="13" x14ac:dyDescent="0.15"/>
    <row r="3689" customFormat="1" ht="13" x14ac:dyDescent="0.15"/>
    <row r="3690" customFormat="1" ht="13" x14ac:dyDescent="0.15"/>
    <row r="3691" customFormat="1" ht="13" x14ac:dyDescent="0.15"/>
    <row r="3692" customFormat="1" ht="13" x14ac:dyDescent="0.15"/>
    <row r="3693" customFormat="1" ht="13" x14ac:dyDescent="0.15"/>
    <row r="3694" customFormat="1" ht="13" x14ac:dyDescent="0.15"/>
    <row r="3695" customFormat="1" ht="13" x14ac:dyDescent="0.15"/>
    <row r="3696" customFormat="1" ht="13" x14ac:dyDescent="0.15"/>
    <row r="3697" customFormat="1" ht="13" x14ac:dyDescent="0.15"/>
    <row r="3698" customFormat="1" ht="13" x14ac:dyDescent="0.15"/>
    <row r="3699" customFormat="1" ht="13" x14ac:dyDescent="0.15"/>
    <row r="3700" customFormat="1" ht="13" x14ac:dyDescent="0.15"/>
    <row r="3701" customFormat="1" ht="13" x14ac:dyDescent="0.15"/>
    <row r="3702" customFormat="1" ht="13" x14ac:dyDescent="0.15"/>
    <row r="3703" customFormat="1" ht="13" x14ac:dyDescent="0.15"/>
    <row r="3704" customFormat="1" ht="13" x14ac:dyDescent="0.15"/>
    <row r="3705" customFormat="1" ht="13" x14ac:dyDescent="0.15"/>
    <row r="3706" customFormat="1" ht="13" x14ac:dyDescent="0.15"/>
    <row r="3707" customFormat="1" ht="13" x14ac:dyDescent="0.15"/>
    <row r="3708" customFormat="1" ht="13" x14ac:dyDescent="0.15"/>
    <row r="3709" customFormat="1" ht="13" x14ac:dyDescent="0.15"/>
    <row r="3710" customFormat="1" ht="13" x14ac:dyDescent="0.15"/>
    <row r="3711" customFormat="1" ht="13" x14ac:dyDescent="0.15"/>
    <row r="3712" customFormat="1" ht="13" x14ac:dyDescent="0.15"/>
    <row r="3713" customFormat="1" ht="13" x14ac:dyDescent="0.15"/>
    <row r="3714" customFormat="1" ht="13" x14ac:dyDescent="0.15"/>
    <row r="3715" customFormat="1" ht="13" x14ac:dyDescent="0.15"/>
    <row r="3716" customFormat="1" ht="13" x14ac:dyDescent="0.15"/>
    <row r="3717" customFormat="1" ht="13" x14ac:dyDescent="0.15"/>
    <row r="3718" customFormat="1" ht="13" x14ac:dyDescent="0.15"/>
    <row r="3719" customFormat="1" ht="13" x14ac:dyDescent="0.15"/>
    <row r="3720" customFormat="1" ht="13" x14ac:dyDescent="0.15"/>
    <row r="3721" customFormat="1" ht="13" x14ac:dyDescent="0.15"/>
    <row r="3722" customFormat="1" ht="13" x14ac:dyDescent="0.15"/>
    <row r="3723" customFormat="1" ht="13" x14ac:dyDescent="0.15"/>
    <row r="3724" customFormat="1" ht="13" x14ac:dyDescent="0.15"/>
    <row r="3725" customFormat="1" ht="13" x14ac:dyDescent="0.15"/>
    <row r="3726" customFormat="1" ht="13" x14ac:dyDescent="0.15"/>
    <row r="3727" customFormat="1" ht="13" x14ac:dyDescent="0.15"/>
    <row r="3728" customFormat="1" ht="13" x14ac:dyDescent="0.15"/>
    <row r="3729" customFormat="1" ht="13" x14ac:dyDescent="0.15"/>
    <row r="3730" customFormat="1" ht="13" x14ac:dyDescent="0.15"/>
    <row r="3731" customFormat="1" ht="13" x14ac:dyDescent="0.15"/>
    <row r="3732" customFormat="1" ht="13" x14ac:dyDescent="0.15"/>
    <row r="3733" customFormat="1" ht="13" x14ac:dyDescent="0.15"/>
    <row r="3734" customFormat="1" ht="13" x14ac:dyDescent="0.15"/>
    <row r="3735" customFormat="1" ht="13" x14ac:dyDescent="0.15"/>
    <row r="3736" customFormat="1" ht="13" x14ac:dyDescent="0.15"/>
    <row r="3737" customFormat="1" ht="13" x14ac:dyDescent="0.15"/>
    <row r="3738" customFormat="1" ht="13" x14ac:dyDescent="0.15"/>
    <row r="3739" customFormat="1" ht="13" x14ac:dyDescent="0.15"/>
    <row r="3740" customFormat="1" ht="13" x14ac:dyDescent="0.15"/>
    <row r="3741" customFormat="1" ht="13" x14ac:dyDescent="0.15"/>
    <row r="3742" customFormat="1" ht="13" x14ac:dyDescent="0.15"/>
    <row r="3743" customFormat="1" ht="13" x14ac:dyDescent="0.15"/>
    <row r="3744" customFormat="1" ht="13" x14ac:dyDescent="0.15"/>
    <row r="3745" customFormat="1" ht="13" x14ac:dyDescent="0.15"/>
    <row r="3746" customFormat="1" ht="13" x14ac:dyDescent="0.15"/>
    <row r="3747" customFormat="1" ht="13" x14ac:dyDescent="0.15"/>
    <row r="3748" customFormat="1" ht="13" x14ac:dyDescent="0.15"/>
    <row r="3749" customFormat="1" ht="13" x14ac:dyDescent="0.15"/>
    <row r="3750" customFormat="1" ht="13" x14ac:dyDescent="0.15"/>
    <row r="3751" customFormat="1" ht="13" x14ac:dyDescent="0.15"/>
    <row r="3752" customFormat="1" ht="13" x14ac:dyDescent="0.15"/>
    <row r="3753" customFormat="1" ht="13" x14ac:dyDescent="0.15"/>
    <row r="3754" customFormat="1" ht="13" x14ac:dyDescent="0.15"/>
    <row r="3755" customFormat="1" ht="13" x14ac:dyDescent="0.15"/>
    <row r="3756" customFormat="1" ht="13" x14ac:dyDescent="0.15"/>
    <row r="3757" customFormat="1" ht="13" x14ac:dyDescent="0.15"/>
    <row r="3758" customFormat="1" ht="13" x14ac:dyDescent="0.15"/>
    <row r="3759" customFormat="1" ht="13" x14ac:dyDescent="0.15"/>
    <row r="3760" customFormat="1" ht="13" x14ac:dyDescent="0.15"/>
    <row r="3761" customFormat="1" ht="13" x14ac:dyDescent="0.15"/>
    <row r="3762" customFormat="1" ht="13" x14ac:dyDescent="0.15"/>
    <row r="3763" customFormat="1" ht="13" x14ac:dyDescent="0.15"/>
    <row r="3764" customFormat="1" ht="13" x14ac:dyDescent="0.15"/>
    <row r="3765" customFormat="1" ht="13" x14ac:dyDescent="0.15"/>
    <row r="3766" customFormat="1" ht="13" x14ac:dyDescent="0.15"/>
    <row r="3767" customFormat="1" ht="13" x14ac:dyDescent="0.15"/>
    <row r="3768" customFormat="1" ht="13" x14ac:dyDescent="0.15"/>
    <row r="3769" customFormat="1" ht="13" x14ac:dyDescent="0.15"/>
    <row r="3770" customFormat="1" ht="13" x14ac:dyDescent="0.15"/>
    <row r="3771" customFormat="1" ht="13" x14ac:dyDescent="0.15"/>
    <row r="3772" customFormat="1" ht="13" x14ac:dyDescent="0.15"/>
    <row r="3773" customFormat="1" ht="13" x14ac:dyDescent="0.15"/>
    <row r="3774" customFormat="1" ht="13" x14ac:dyDescent="0.15"/>
    <row r="3775" customFormat="1" ht="13" x14ac:dyDescent="0.15"/>
    <row r="3776" customFormat="1" ht="13" x14ac:dyDescent="0.15"/>
    <row r="3777" customFormat="1" ht="13" x14ac:dyDescent="0.15"/>
    <row r="3778" customFormat="1" ht="13" x14ac:dyDescent="0.15"/>
    <row r="3779" customFormat="1" ht="13" x14ac:dyDescent="0.15"/>
    <row r="3780" customFormat="1" ht="13" x14ac:dyDescent="0.15"/>
    <row r="3781" customFormat="1" ht="13" x14ac:dyDescent="0.15"/>
    <row r="3782" customFormat="1" ht="13" x14ac:dyDescent="0.15"/>
    <row r="3783" customFormat="1" ht="13" x14ac:dyDescent="0.15"/>
    <row r="3784" customFormat="1" ht="13" x14ac:dyDescent="0.15"/>
    <row r="3785" customFormat="1" ht="13" x14ac:dyDescent="0.15"/>
    <row r="3786" customFormat="1" ht="13" x14ac:dyDescent="0.15"/>
    <row r="3787" customFormat="1" ht="13" x14ac:dyDescent="0.15"/>
    <row r="3788" customFormat="1" ht="13" x14ac:dyDescent="0.15"/>
    <row r="3789" customFormat="1" ht="13" x14ac:dyDescent="0.15"/>
    <row r="3790" customFormat="1" ht="13" x14ac:dyDescent="0.15"/>
    <row r="3791" customFormat="1" ht="13" x14ac:dyDescent="0.15"/>
    <row r="3792" customFormat="1" ht="13" x14ac:dyDescent="0.15"/>
    <row r="3793" customFormat="1" ht="13" x14ac:dyDescent="0.15"/>
    <row r="3794" customFormat="1" ht="13" x14ac:dyDescent="0.15"/>
    <row r="3795" customFormat="1" ht="13" x14ac:dyDescent="0.15"/>
    <row r="3796" customFormat="1" ht="13" x14ac:dyDescent="0.15"/>
    <row r="3797" customFormat="1" ht="13" x14ac:dyDescent="0.15"/>
    <row r="3798" customFormat="1" ht="13" x14ac:dyDescent="0.15"/>
    <row r="3799" customFormat="1" ht="13" x14ac:dyDescent="0.15"/>
    <row r="3800" customFormat="1" ht="13" x14ac:dyDescent="0.15"/>
    <row r="3801" customFormat="1" ht="13" x14ac:dyDescent="0.15"/>
    <row r="3802" customFormat="1" ht="13" x14ac:dyDescent="0.15"/>
    <row r="3803" customFormat="1" ht="13" x14ac:dyDescent="0.15"/>
    <row r="3804" customFormat="1" ht="13" x14ac:dyDescent="0.15"/>
    <row r="3805" customFormat="1" ht="13" x14ac:dyDescent="0.15"/>
    <row r="3806" customFormat="1" ht="13" x14ac:dyDescent="0.15"/>
    <row r="3807" customFormat="1" ht="13" x14ac:dyDescent="0.15"/>
    <row r="3808" customFormat="1" ht="13" x14ac:dyDescent="0.15"/>
    <row r="3809" customFormat="1" ht="13" x14ac:dyDescent="0.15"/>
    <row r="3810" customFormat="1" ht="13" x14ac:dyDescent="0.15"/>
    <row r="3811" customFormat="1" ht="13" x14ac:dyDescent="0.15"/>
    <row r="3812" customFormat="1" ht="13" x14ac:dyDescent="0.15"/>
    <row r="3813" customFormat="1" ht="13" x14ac:dyDescent="0.15"/>
    <row r="3814" customFormat="1" ht="13" x14ac:dyDescent="0.15"/>
    <row r="3815" customFormat="1" ht="13" x14ac:dyDescent="0.15"/>
    <row r="3816" customFormat="1" ht="13" x14ac:dyDescent="0.15"/>
    <row r="3817" customFormat="1" ht="13" x14ac:dyDescent="0.15"/>
    <row r="3818" customFormat="1" ht="13" x14ac:dyDescent="0.15"/>
    <row r="3819" customFormat="1" ht="13" x14ac:dyDescent="0.15"/>
    <row r="3820" customFormat="1" ht="13" x14ac:dyDescent="0.15"/>
    <row r="3821" customFormat="1" ht="13" x14ac:dyDescent="0.15"/>
    <row r="3822" customFormat="1" ht="13" x14ac:dyDescent="0.15"/>
    <row r="3823" customFormat="1" ht="13" x14ac:dyDescent="0.15"/>
    <row r="3824" customFormat="1" ht="13" x14ac:dyDescent="0.15"/>
    <row r="3825" customFormat="1" ht="13" x14ac:dyDescent="0.15"/>
    <row r="3826" customFormat="1" ht="13" x14ac:dyDescent="0.15"/>
    <row r="3827" customFormat="1" ht="13" x14ac:dyDescent="0.15"/>
    <row r="3828" customFormat="1" ht="13" x14ac:dyDescent="0.15"/>
    <row r="3829" customFormat="1" ht="13" x14ac:dyDescent="0.15"/>
    <row r="3830" customFormat="1" ht="13" x14ac:dyDescent="0.15"/>
    <row r="3831" customFormat="1" ht="13" x14ac:dyDescent="0.15"/>
    <row r="3832" customFormat="1" ht="13" x14ac:dyDescent="0.15"/>
    <row r="3833" customFormat="1" ht="13" x14ac:dyDescent="0.15"/>
    <row r="3834" customFormat="1" ht="13" x14ac:dyDescent="0.15"/>
    <row r="3835" customFormat="1" ht="13" x14ac:dyDescent="0.15"/>
    <row r="3836" customFormat="1" ht="13" x14ac:dyDescent="0.15"/>
    <row r="3837" customFormat="1" ht="13" x14ac:dyDescent="0.15"/>
    <row r="3838" customFormat="1" ht="13" x14ac:dyDescent="0.15"/>
    <row r="3839" customFormat="1" ht="13" x14ac:dyDescent="0.15"/>
    <row r="3840" customFormat="1" ht="13" x14ac:dyDescent="0.15"/>
    <row r="3841" customFormat="1" ht="13" x14ac:dyDescent="0.15"/>
    <row r="3842" customFormat="1" ht="13" x14ac:dyDescent="0.15"/>
    <row r="3843" customFormat="1" ht="13" x14ac:dyDescent="0.15"/>
    <row r="3844" customFormat="1" ht="13" x14ac:dyDescent="0.15"/>
    <row r="3845" customFormat="1" ht="13" x14ac:dyDescent="0.15"/>
    <row r="3846" customFormat="1" ht="13" x14ac:dyDescent="0.15"/>
    <row r="3847" customFormat="1" ht="13" x14ac:dyDescent="0.15"/>
    <row r="3848" customFormat="1" ht="13" x14ac:dyDescent="0.15"/>
    <row r="3849" customFormat="1" ht="13" x14ac:dyDescent="0.15"/>
    <row r="3850" customFormat="1" ht="13" x14ac:dyDescent="0.15"/>
    <row r="3851" customFormat="1" ht="13" x14ac:dyDescent="0.15"/>
    <row r="3852" customFormat="1" ht="13" x14ac:dyDescent="0.15"/>
    <row r="3853" customFormat="1" ht="13" x14ac:dyDescent="0.15"/>
    <row r="3854" customFormat="1" ht="13" x14ac:dyDescent="0.15"/>
    <row r="3855" customFormat="1" ht="13" x14ac:dyDescent="0.15"/>
    <row r="3856" customFormat="1" ht="13" x14ac:dyDescent="0.15"/>
    <row r="3857" customFormat="1" ht="13" x14ac:dyDescent="0.15"/>
    <row r="3858" customFormat="1" ht="13" x14ac:dyDescent="0.15"/>
    <row r="3859" customFormat="1" ht="13" x14ac:dyDescent="0.15"/>
    <row r="3860" customFormat="1" ht="13" x14ac:dyDescent="0.15"/>
    <row r="3861" customFormat="1" ht="13" x14ac:dyDescent="0.15"/>
    <row r="3862" customFormat="1" ht="13" x14ac:dyDescent="0.15"/>
    <row r="3863" customFormat="1" ht="13" x14ac:dyDescent="0.15"/>
    <row r="3864" customFormat="1" ht="13" x14ac:dyDescent="0.15"/>
    <row r="3865" customFormat="1" ht="13" x14ac:dyDescent="0.15"/>
    <row r="3866" customFormat="1" ht="13" x14ac:dyDescent="0.15"/>
    <row r="3867" customFormat="1" ht="13" x14ac:dyDescent="0.15"/>
    <row r="3868" customFormat="1" ht="13" x14ac:dyDescent="0.15"/>
    <row r="3869" customFormat="1" ht="13" x14ac:dyDescent="0.15"/>
    <row r="3870" customFormat="1" ht="13" x14ac:dyDescent="0.15"/>
    <row r="3871" customFormat="1" ht="13" x14ac:dyDescent="0.15"/>
    <row r="3872" customFormat="1" ht="13" x14ac:dyDescent="0.15"/>
    <row r="3873" customFormat="1" ht="13" x14ac:dyDescent="0.15"/>
    <row r="3874" customFormat="1" ht="13" x14ac:dyDescent="0.15"/>
    <row r="3875" customFormat="1" ht="13" x14ac:dyDescent="0.15"/>
    <row r="3876" customFormat="1" ht="13" x14ac:dyDescent="0.15"/>
    <row r="3877" customFormat="1" ht="13" x14ac:dyDescent="0.15"/>
    <row r="3878" customFormat="1" ht="13" x14ac:dyDescent="0.15"/>
    <row r="3879" customFormat="1" ht="13" x14ac:dyDescent="0.15"/>
    <row r="3880" customFormat="1" ht="13" x14ac:dyDescent="0.15"/>
    <row r="3881" customFormat="1" ht="13" x14ac:dyDescent="0.15"/>
    <row r="3882" customFormat="1" ht="13" x14ac:dyDescent="0.15"/>
    <row r="3883" customFormat="1" ht="13" x14ac:dyDescent="0.15"/>
    <row r="3884" customFormat="1" ht="13" x14ac:dyDescent="0.15"/>
    <row r="3885" customFormat="1" ht="13" x14ac:dyDescent="0.15"/>
    <row r="3886" customFormat="1" ht="13" x14ac:dyDescent="0.15"/>
    <row r="3887" customFormat="1" ht="13" x14ac:dyDescent="0.15"/>
    <row r="3888" customFormat="1" ht="13" x14ac:dyDescent="0.15"/>
    <row r="3889" customFormat="1" ht="13" x14ac:dyDescent="0.15"/>
    <row r="3890" customFormat="1" ht="13" x14ac:dyDescent="0.15"/>
    <row r="3891" customFormat="1" ht="13" x14ac:dyDescent="0.15"/>
    <row r="3892" customFormat="1" ht="13" x14ac:dyDescent="0.15"/>
    <row r="3893" customFormat="1" ht="13" x14ac:dyDescent="0.15"/>
    <row r="3894" customFormat="1" ht="13" x14ac:dyDescent="0.15"/>
    <row r="3895" customFormat="1" ht="13" x14ac:dyDescent="0.15"/>
    <row r="3896" customFormat="1" ht="13" x14ac:dyDescent="0.15"/>
    <row r="3897" customFormat="1" ht="13" x14ac:dyDescent="0.15"/>
    <row r="3898" customFormat="1" ht="13" x14ac:dyDescent="0.15"/>
    <row r="3899" customFormat="1" ht="13" x14ac:dyDescent="0.15"/>
    <row r="3900" customFormat="1" ht="13" x14ac:dyDescent="0.15"/>
    <row r="3901" customFormat="1" ht="13" x14ac:dyDescent="0.15"/>
    <row r="3902" customFormat="1" ht="13" x14ac:dyDescent="0.15"/>
    <row r="3903" customFormat="1" ht="13" x14ac:dyDescent="0.15"/>
    <row r="3904" customFormat="1" ht="13" x14ac:dyDescent="0.15"/>
    <row r="3905" customFormat="1" ht="13" x14ac:dyDescent="0.15"/>
    <row r="3906" customFormat="1" ht="13" x14ac:dyDescent="0.15"/>
    <row r="3907" customFormat="1" ht="13" x14ac:dyDescent="0.15"/>
    <row r="3908" customFormat="1" ht="13" x14ac:dyDescent="0.15"/>
    <row r="3909" customFormat="1" ht="13" x14ac:dyDescent="0.15"/>
    <row r="3910" customFormat="1" ht="13" x14ac:dyDescent="0.15"/>
    <row r="3911" customFormat="1" ht="13" x14ac:dyDescent="0.15"/>
    <row r="3912" customFormat="1" ht="13" x14ac:dyDescent="0.15"/>
    <row r="3913" customFormat="1" ht="13" x14ac:dyDescent="0.15"/>
    <row r="3914" customFormat="1" ht="13" x14ac:dyDescent="0.15"/>
    <row r="3915" customFormat="1" ht="13" x14ac:dyDescent="0.15"/>
    <row r="3916" customFormat="1" ht="13" x14ac:dyDescent="0.15"/>
    <row r="3917" customFormat="1" ht="13" x14ac:dyDescent="0.15"/>
    <row r="3918" customFormat="1" ht="13" x14ac:dyDescent="0.15"/>
    <row r="3919" customFormat="1" ht="13" x14ac:dyDescent="0.15"/>
    <row r="3920" customFormat="1" ht="13" x14ac:dyDescent="0.15"/>
    <row r="3921" customFormat="1" ht="13" x14ac:dyDescent="0.15"/>
    <row r="3922" customFormat="1" ht="13" x14ac:dyDescent="0.15"/>
    <row r="3923" customFormat="1" ht="13" x14ac:dyDescent="0.15"/>
    <row r="3924" customFormat="1" ht="13" x14ac:dyDescent="0.15"/>
    <row r="3925" customFormat="1" ht="13" x14ac:dyDescent="0.15"/>
    <row r="3926" customFormat="1" ht="13" x14ac:dyDescent="0.15"/>
    <row r="3927" customFormat="1" ht="13" x14ac:dyDescent="0.15"/>
    <row r="3928" customFormat="1" ht="13" x14ac:dyDescent="0.15"/>
    <row r="3929" customFormat="1" ht="13" x14ac:dyDescent="0.15"/>
    <row r="3930" customFormat="1" ht="13" x14ac:dyDescent="0.15"/>
    <row r="3931" customFormat="1" ht="13" x14ac:dyDescent="0.15"/>
    <row r="3932" customFormat="1" ht="13" x14ac:dyDescent="0.15"/>
    <row r="3933" customFormat="1" ht="13" x14ac:dyDescent="0.15"/>
    <row r="3934" customFormat="1" ht="13" x14ac:dyDescent="0.15"/>
    <row r="3935" customFormat="1" ht="13" x14ac:dyDescent="0.15"/>
    <row r="3936" customFormat="1" ht="13" x14ac:dyDescent="0.15"/>
    <row r="3937" customFormat="1" ht="13" x14ac:dyDescent="0.15"/>
    <row r="3938" customFormat="1" ht="13" x14ac:dyDescent="0.15"/>
    <row r="3939" customFormat="1" ht="13" x14ac:dyDescent="0.15"/>
    <row r="3940" customFormat="1" ht="13" x14ac:dyDescent="0.15"/>
    <row r="3941" customFormat="1" ht="13" x14ac:dyDescent="0.15"/>
    <row r="3942" customFormat="1" ht="13" x14ac:dyDescent="0.15"/>
    <row r="3943" customFormat="1" ht="13" x14ac:dyDescent="0.15"/>
    <row r="3944" customFormat="1" ht="13" x14ac:dyDescent="0.15"/>
    <row r="3945" customFormat="1" ht="13" x14ac:dyDescent="0.15"/>
    <row r="3946" customFormat="1" ht="13" x14ac:dyDescent="0.15"/>
    <row r="3947" customFormat="1" ht="13" x14ac:dyDescent="0.15"/>
    <row r="3948" customFormat="1" ht="13" x14ac:dyDescent="0.15"/>
    <row r="3949" customFormat="1" ht="13" x14ac:dyDescent="0.15"/>
    <row r="3950" customFormat="1" ht="13" x14ac:dyDescent="0.15"/>
    <row r="3951" customFormat="1" ht="13" x14ac:dyDescent="0.15"/>
    <row r="3952" customFormat="1" ht="13" x14ac:dyDescent="0.15"/>
    <row r="3953" customFormat="1" ht="13" x14ac:dyDescent="0.15"/>
    <row r="3954" customFormat="1" ht="13" x14ac:dyDescent="0.15"/>
    <row r="3955" customFormat="1" ht="13" x14ac:dyDescent="0.15"/>
    <row r="3956" customFormat="1" ht="13" x14ac:dyDescent="0.15"/>
    <row r="3957" customFormat="1" ht="13" x14ac:dyDescent="0.15"/>
    <row r="3958" customFormat="1" ht="13" x14ac:dyDescent="0.15"/>
    <row r="3959" customFormat="1" ht="13" x14ac:dyDescent="0.15"/>
    <row r="3960" customFormat="1" ht="13" x14ac:dyDescent="0.15"/>
    <row r="3961" customFormat="1" ht="13" x14ac:dyDescent="0.15"/>
    <row r="3962" customFormat="1" ht="13" x14ac:dyDescent="0.15"/>
    <row r="3963" customFormat="1" ht="13" x14ac:dyDescent="0.15"/>
    <row r="3964" customFormat="1" ht="13" x14ac:dyDescent="0.15"/>
    <row r="3965" customFormat="1" ht="13" x14ac:dyDescent="0.15"/>
    <row r="3966" customFormat="1" ht="13" x14ac:dyDescent="0.15"/>
    <row r="3967" customFormat="1" ht="13" x14ac:dyDescent="0.15"/>
    <row r="3968" customFormat="1" ht="13" x14ac:dyDescent="0.15"/>
    <row r="3969" customFormat="1" ht="13" x14ac:dyDescent="0.15"/>
    <row r="3970" customFormat="1" ht="13" x14ac:dyDescent="0.15"/>
    <row r="3971" customFormat="1" ht="13" x14ac:dyDescent="0.15"/>
    <row r="3972" customFormat="1" ht="13" x14ac:dyDescent="0.15"/>
    <row r="3973" customFormat="1" ht="13" x14ac:dyDescent="0.15"/>
    <row r="3974" customFormat="1" ht="13" x14ac:dyDescent="0.15"/>
    <row r="3975" customFormat="1" ht="13" x14ac:dyDescent="0.15"/>
    <row r="3976" customFormat="1" ht="13" x14ac:dyDescent="0.15"/>
    <row r="3977" customFormat="1" ht="13" x14ac:dyDescent="0.15"/>
    <row r="3978" customFormat="1" ht="13" x14ac:dyDescent="0.15"/>
    <row r="3979" customFormat="1" ht="13" x14ac:dyDescent="0.15"/>
    <row r="3980" customFormat="1" ht="13" x14ac:dyDescent="0.15"/>
    <row r="3981" customFormat="1" ht="13" x14ac:dyDescent="0.15"/>
    <row r="3982" customFormat="1" ht="13" x14ac:dyDescent="0.15"/>
    <row r="3983" customFormat="1" ht="13" x14ac:dyDescent="0.15"/>
    <row r="3984" customFormat="1" ht="13" x14ac:dyDescent="0.15"/>
    <row r="3985" customFormat="1" ht="13" x14ac:dyDescent="0.15"/>
    <row r="3986" customFormat="1" ht="13" x14ac:dyDescent="0.15"/>
    <row r="3987" customFormat="1" ht="13" x14ac:dyDescent="0.15"/>
    <row r="3988" customFormat="1" ht="13" x14ac:dyDescent="0.15"/>
    <row r="3989" customFormat="1" ht="13" x14ac:dyDescent="0.15"/>
    <row r="3990" customFormat="1" ht="13" x14ac:dyDescent="0.15"/>
    <row r="3991" customFormat="1" ht="13" x14ac:dyDescent="0.15"/>
    <row r="3992" customFormat="1" ht="13" x14ac:dyDescent="0.15"/>
    <row r="3993" customFormat="1" ht="13" x14ac:dyDescent="0.15"/>
    <row r="3994" customFormat="1" ht="13" x14ac:dyDescent="0.15"/>
    <row r="3995" customFormat="1" ht="13" x14ac:dyDescent="0.15"/>
    <row r="3996" customFormat="1" ht="13" x14ac:dyDescent="0.15"/>
    <row r="3997" customFormat="1" ht="13" x14ac:dyDescent="0.15"/>
    <row r="3998" customFormat="1" ht="13" x14ac:dyDescent="0.15"/>
    <row r="3999" customFormat="1" ht="13" x14ac:dyDescent="0.15"/>
    <row r="4000" customFormat="1" ht="13" x14ac:dyDescent="0.15"/>
    <row r="4001" customFormat="1" ht="13" x14ac:dyDescent="0.15"/>
    <row r="4002" customFormat="1" ht="13" x14ac:dyDescent="0.15"/>
    <row r="4003" customFormat="1" ht="13" x14ac:dyDescent="0.15"/>
    <row r="4004" customFormat="1" ht="13" x14ac:dyDescent="0.15"/>
    <row r="4005" customFormat="1" ht="13" x14ac:dyDescent="0.15"/>
    <row r="4006" customFormat="1" ht="13" x14ac:dyDescent="0.15"/>
    <row r="4007" customFormat="1" ht="13" x14ac:dyDescent="0.15"/>
    <row r="4008" customFormat="1" ht="13" x14ac:dyDescent="0.15"/>
    <row r="4009" customFormat="1" ht="13" x14ac:dyDescent="0.15"/>
    <row r="4010" customFormat="1" ht="13" x14ac:dyDescent="0.15"/>
    <row r="4011" customFormat="1" ht="13" x14ac:dyDescent="0.15"/>
    <row r="4012" customFormat="1" ht="13" x14ac:dyDescent="0.15"/>
    <row r="4013" customFormat="1" ht="13" x14ac:dyDescent="0.15"/>
    <row r="4014" customFormat="1" ht="13" x14ac:dyDescent="0.15"/>
    <row r="4015" customFormat="1" ht="13" x14ac:dyDescent="0.15"/>
    <row r="4016" customFormat="1" ht="13" x14ac:dyDescent="0.15"/>
    <row r="4017" customFormat="1" ht="13" x14ac:dyDescent="0.15"/>
    <row r="4018" customFormat="1" ht="13" x14ac:dyDescent="0.15"/>
    <row r="4019" customFormat="1" ht="13" x14ac:dyDescent="0.15"/>
    <row r="4020" customFormat="1" ht="13" x14ac:dyDescent="0.15"/>
    <row r="4021" customFormat="1" ht="13" x14ac:dyDescent="0.15"/>
    <row r="4022" customFormat="1" ht="13" x14ac:dyDescent="0.15"/>
    <row r="4023" customFormat="1" ht="13" x14ac:dyDescent="0.15"/>
    <row r="4024" customFormat="1" ht="13" x14ac:dyDescent="0.15"/>
    <row r="4025" customFormat="1" ht="13" x14ac:dyDescent="0.15"/>
    <row r="4026" customFormat="1" ht="13" x14ac:dyDescent="0.15"/>
    <row r="4027" customFormat="1" ht="13" x14ac:dyDescent="0.15"/>
    <row r="4028" customFormat="1" ht="13" x14ac:dyDescent="0.15"/>
    <row r="4029" customFormat="1" ht="13" x14ac:dyDescent="0.15"/>
    <row r="4030" customFormat="1" ht="13" x14ac:dyDescent="0.15"/>
    <row r="4031" customFormat="1" ht="13" x14ac:dyDescent="0.15"/>
    <row r="4032" customFormat="1" ht="13" x14ac:dyDescent="0.15"/>
    <row r="4033" customFormat="1" ht="13" x14ac:dyDescent="0.15"/>
    <row r="4034" customFormat="1" ht="13" x14ac:dyDescent="0.15"/>
    <row r="4035" customFormat="1" ht="13" x14ac:dyDescent="0.15"/>
    <row r="4036" customFormat="1" ht="13" x14ac:dyDescent="0.15"/>
    <row r="4037" customFormat="1" ht="13" x14ac:dyDescent="0.15"/>
    <row r="4038" customFormat="1" ht="13" x14ac:dyDescent="0.15"/>
    <row r="4039" customFormat="1" ht="13" x14ac:dyDescent="0.15"/>
    <row r="4040" customFormat="1" ht="13" x14ac:dyDescent="0.15"/>
    <row r="4041" customFormat="1" ht="13" x14ac:dyDescent="0.15"/>
    <row r="4042" customFormat="1" ht="13" x14ac:dyDescent="0.15"/>
    <row r="4043" customFormat="1" ht="13" x14ac:dyDescent="0.15"/>
    <row r="4044" customFormat="1" ht="13" x14ac:dyDescent="0.15"/>
    <row r="4045" customFormat="1" ht="13" x14ac:dyDescent="0.15"/>
    <row r="4046" customFormat="1" ht="13" x14ac:dyDescent="0.15"/>
    <row r="4047" customFormat="1" ht="13" x14ac:dyDescent="0.15"/>
    <row r="4048" customFormat="1" ht="13" x14ac:dyDescent="0.15"/>
    <row r="4049" customFormat="1" ht="13" x14ac:dyDescent="0.15"/>
    <row r="4050" customFormat="1" ht="13" x14ac:dyDescent="0.15"/>
    <row r="4051" customFormat="1" ht="13" x14ac:dyDescent="0.15"/>
    <row r="4052" customFormat="1" ht="13" x14ac:dyDescent="0.15"/>
    <row r="4053" customFormat="1" ht="13" x14ac:dyDescent="0.15"/>
    <row r="4054" customFormat="1" ht="13" x14ac:dyDescent="0.15"/>
    <row r="4055" customFormat="1" ht="13" x14ac:dyDescent="0.15"/>
    <row r="4056" customFormat="1" ht="13" x14ac:dyDescent="0.15"/>
    <row r="4057" customFormat="1" ht="13" x14ac:dyDescent="0.15"/>
    <row r="4058" customFormat="1" ht="13" x14ac:dyDescent="0.15"/>
    <row r="4059" customFormat="1" ht="13" x14ac:dyDescent="0.15"/>
    <row r="4060" customFormat="1" ht="13" x14ac:dyDescent="0.15"/>
    <row r="4061" customFormat="1" ht="13" x14ac:dyDescent="0.15"/>
    <row r="4062" customFormat="1" ht="13" x14ac:dyDescent="0.15"/>
    <row r="4063" customFormat="1" ht="13" x14ac:dyDescent="0.15"/>
    <row r="4064" customFormat="1" ht="13" x14ac:dyDescent="0.15"/>
    <row r="4065" customFormat="1" ht="13" x14ac:dyDescent="0.15"/>
    <row r="4066" customFormat="1" ht="13" x14ac:dyDescent="0.15"/>
    <row r="4067" customFormat="1" ht="13" x14ac:dyDescent="0.15"/>
    <row r="4068" customFormat="1" ht="13" x14ac:dyDescent="0.15"/>
    <row r="4069" customFormat="1" ht="13" x14ac:dyDescent="0.15"/>
    <row r="4070" customFormat="1" ht="13" x14ac:dyDescent="0.15"/>
    <row r="4071" customFormat="1" ht="13" x14ac:dyDescent="0.15"/>
    <row r="4072" customFormat="1" ht="13" x14ac:dyDescent="0.15"/>
    <row r="4073" customFormat="1" ht="13" x14ac:dyDescent="0.15"/>
    <row r="4074" customFormat="1" ht="13" x14ac:dyDescent="0.15"/>
    <row r="4075" customFormat="1" ht="13" x14ac:dyDescent="0.15"/>
    <row r="4076" customFormat="1" ht="13" x14ac:dyDescent="0.15"/>
    <row r="4077" customFormat="1" ht="13" x14ac:dyDescent="0.15"/>
    <row r="4078" customFormat="1" ht="13" x14ac:dyDescent="0.15"/>
    <row r="4079" customFormat="1" ht="13" x14ac:dyDescent="0.15"/>
    <row r="4080" customFormat="1" ht="13" x14ac:dyDescent="0.15"/>
    <row r="4081" customFormat="1" ht="13" x14ac:dyDescent="0.15"/>
    <row r="4082" customFormat="1" ht="13" x14ac:dyDescent="0.15"/>
    <row r="4083" customFormat="1" ht="13" x14ac:dyDescent="0.15"/>
    <row r="4084" customFormat="1" ht="13" x14ac:dyDescent="0.15"/>
    <row r="4085" customFormat="1" ht="13" x14ac:dyDescent="0.15"/>
    <row r="4086" customFormat="1" ht="13" x14ac:dyDescent="0.15"/>
    <row r="4087" customFormat="1" ht="13" x14ac:dyDescent="0.15"/>
    <row r="4088" customFormat="1" ht="13" x14ac:dyDescent="0.15"/>
    <row r="4089" customFormat="1" ht="13" x14ac:dyDescent="0.15"/>
    <row r="4090" customFormat="1" ht="13" x14ac:dyDescent="0.15"/>
    <row r="4091" customFormat="1" ht="13" x14ac:dyDescent="0.15"/>
    <row r="4092" customFormat="1" ht="13" x14ac:dyDescent="0.15"/>
    <row r="4093" customFormat="1" ht="13" x14ac:dyDescent="0.15"/>
    <row r="4094" customFormat="1" ht="13" x14ac:dyDescent="0.15"/>
    <row r="4095" customFormat="1" ht="13" x14ac:dyDescent="0.15"/>
    <row r="4096" customFormat="1" ht="13" x14ac:dyDescent="0.15"/>
    <row r="4097" customFormat="1" ht="13" x14ac:dyDescent="0.15"/>
    <row r="4098" customFormat="1" ht="13" x14ac:dyDescent="0.15"/>
    <row r="4099" customFormat="1" ht="13" x14ac:dyDescent="0.15"/>
    <row r="4100" customFormat="1" ht="13" x14ac:dyDescent="0.15"/>
    <row r="4101" customFormat="1" ht="13" x14ac:dyDescent="0.15"/>
    <row r="4102" customFormat="1" ht="13" x14ac:dyDescent="0.15"/>
    <row r="4103" customFormat="1" ht="13" x14ac:dyDescent="0.15"/>
    <row r="4104" customFormat="1" ht="13" x14ac:dyDescent="0.15"/>
    <row r="4105" customFormat="1" ht="13" x14ac:dyDescent="0.15"/>
    <row r="4106" customFormat="1" ht="13" x14ac:dyDescent="0.15"/>
    <row r="4107" customFormat="1" ht="13" x14ac:dyDescent="0.15"/>
    <row r="4108" customFormat="1" ht="13" x14ac:dyDescent="0.15"/>
    <row r="4109" customFormat="1" ht="13" x14ac:dyDescent="0.15"/>
    <row r="4110" customFormat="1" ht="13" x14ac:dyDescent="0.15"/>
    <row r="4111" customFormat="1" ht="13" x14ac:dyDescent="0.15"/>
    <row r="4112" customFormat="1" ht="13" x14ac:dyDescent="0.15"/>
    <row r="4113" customFormat="1" ht="13" x14ac:dyDescent="0.15"/>
    <row r="4114" customFormat="1" ht="13" x14ac:dyDescent="0.15"/>
    <row r="4115" customFormat="1" ht="13" x14ac:dyDescent="0.15"/>
    <row r="4116" customFormat="1" ht="13" x14ac:dyDescent="0.15"/>
    <row r="4117" customFormat="1" ht="13" x14ac:dyDescent="0.15"/>
    <row r="4118" customFormat="1" ht="13" x14ac:dyDescent="0.15"/>
    <row r="4119" customFormat="1" ht="13" x14ac:dyDescent="0.15"/>
    <row r="4120" customFormat="1" ht="13" x14ac:dyDescent="0.15"/>
    <row r="4121" customFormat="1" ht="13" x14ac:dyDescent="0.15"/>
    <row r="4122" customFormat="1" ht="13" x14ac:dyDescent="0.15"/>
    <row r="4123" customFormat="1" ht="13" x14ac:dyDescent="0.15"/>
    <row r="4124" customFormat="1" ht="13" x14ac:dyDescent="0.15"/>
    <row r="4125" customFormat="1" ht="13" x14ac:dyDescent="0.15"/>
    <row r="4126" customFormat="1" ht="13" x14ac:dyDescent="0.15"/>
    <row r="4127" customFormat="1" ht="13" x14ac:dyDescent="0.15"/>
    <row r="4128" customFormat="1" ht="13" x14ac:dyDescent="0.15"/>
    <row r="4129" customFormat="1" ht="13" x14ac:dyDescent="0.15"/>
    <row r="4130" customFormat="1" ht="13" x14ac:dyDescent="0.15"/>
    <row r="4131" customFormat="1" ht="13" x14ac:dyDescent="0.15"/>
    <row r="4132" customFormat="1" ht="13" x14ac:dyDescent="0.15"/>
    <row r="4133" customFormat="1" ht="13" x14ac:dyDescent="0.15"/>
    <row r="4134" customFormat="1" ht="13" x14ac:dyDescent="0.15"/>
    <row r="4135" customFormat="1" ht="13" x14ac:dyDescent="0.15"/>
    <row r="4136" customFormat="1" ht="13" x14ac:dyDescent="0.15"/>
    <row r="4137" customFormat="1" ht="13" x14ac:dyDescent="0.15"/>
    <row r="4138" customFormat="1" ht="13" x14ac:dyDescent="0.15"/>
    <row r="4139" customFormat="1" ht="13" x14ac:dyDescent="0.15"/>
    <row r="4140" customFormat="1" ht="13" x14ac:dyDescent="0.15"/>
    <row r="4141" customFormat="1" ht="13" x14ac:dyDescent="0.15"/>
    <row r="4142" customFormat="1" ht="13" x14ac:dyDescent="0.15"/>
    <row r="4143" customFormat="1" ht="13" x14ac:dyDescent="0.15"/>
    <row r="4144" customFormat="1" ht="13" x14ac:dyDescent="0.15"/>
    <row r="4145" customFormat="1" ht="13" x14ac:dyDescent="0.15"/>
    <row r="4146" customFormat="1" ht="13" x14ac:dyDescent="0.15"/>
    <row r="4147" customFormat="1" ht="13" x14ac:dyDescent="0.15"/>
    <row r="4148" customFormat="1" ht="13" x14ac:dyDescent="0.15"/>
    <row r="4149" customFormat="1" ht="13" x14ac:dyDescent="0.15"/>
    <row r="4150" customFormat="1" ht="13" x14ac:dyDescent="0.15"/>
    <row r="4151" customFormat="1" ht="13" x14ac:dyDescent="0.15"/>
    <row r="4152" customFormat="1" ht="13" x14ac:dyDescent="0.15"/>
    <row r="4153" customFormat="1" ht="13" x14ac:dyDescent="0.15"/>
    <row r="4154" customFormat="1" ht="13" x14ac:dyDescent="0.15"/>
    <row r="4155" customFormat="1" ht="13" x14ac:dyDescent="0.15"/>
    <row r="4156" customFormat="1" ht="13" x14ac:dyDescent="0.15"/>
    <row r="4157" customFormat="1" ht="13" x14ac:dyDescent="0.15"/>
    <row r="4158" customFormat="1" ht="13" x14ac:dyDescent="0.15"/>
    <row r="4159" customFormat="1" ht="13" x14ac:dyDescent="0.15"/>
    <row r="4160" customFormat="1" ht="13" x14ac:dyDescent="0.15"/>
    <row r="4161" customFormat="1" ht="13" x14ac:dyDescent="0.15"/>
    <row r="4162" customFormat="1" ht="13" x14ac:dyDescent="0.15"/>
    <row r="4163" customFormat="1" ht="13" x14ac:dyDescent="0.15"/>
    <row r="4164" customFormat="1" ht="13" x14ac:dyDescent="0.15"/>
    <row r="4165" customFormat="1" ht="13" x14ac:dyDescent="0.15"/>
    <row r="4166" customFormat="1" ht="13" x14ac:dyDescent="0.15"/>
    <row r="4167" customFormat="1" ht="13" x14ac:dyDescent="0.15"/>
    <row r="4168" customFormat="1" ht="13" x14ac:dyDescent="0.15"/>
    <row r="4169" customFormat="1" ht="13" x14ac:dyDescent="0.15"/>
    <row r="4170" customFormat="1" ht="13" x14ac:dyDescent="0.15"/>
    <row r="4171" customFormat="1" ht="13" x14ac:dyDescent="0.15"/>
    <row r="4172" customFormat="1" ht="13" x14ac:dyDescent="0.15"/>
    <row r="4173" customFormat="1" ht="13" x14ac:dyDescent="0.15"/>
    <row r="4174" customFormat="1" ht="13" x14ac:dyDescent="0.15"/>
    <row r="4175" customFormat="1" ht="13" x14ac:dyDescent="0.15"/>
    <row r="4176" customFormat="1" ht="13" x14ac:dyDescent="0.15"/>
    <row r="4177" customFormat="1" ht="13" x14ac:dyDescent="0.15"/>
    <row r="4178" customFormat="1" ht="13" x14ac:dyDescent="0.15"/>
    <row r="4179" customFormat="1" ht="13" x14ac:dyDescent="0.15"/>
    <row r="4180" customFormat="1" ht="13" x14ac:dyDescent="0.15"/>
    <row r="4181" customFormat="1" ht="13" x14ac:dyDescent="0.15"/>
    <row r="4182" customFormat="1" ht="13" x14ac:dyDescent="0.15"/>
    <row r="4183" customFormat="1" ht="13" x14ac:dyDescent="0.15"/>
    <row r="4184" customFormat="1" ht="13" x14ac:dyDescent="0.15"/>
    <row r="4185" customFormat="1" ht="13" x14ac:dyDescent="0.15"/>
    <row r="4186" customFormat="1" ht="13" x14ac:dyDescent="0.15"/>
    <row r="4187" customFormat="1" ht="13" x14ac:dyDescent="0.15"/>
    <row r="4188" customFormat="1" ht="13" x14ac:dyDescent="0.15"/>
    <row r="4189" customFormat="1" ht="13" x14ac:dyDescent="0.15"/>
    <row r="4190" customFormat="1" ht="13" x14ac:dyDescent="0.15"/>
    <row r="4191" customFormat="1" ht="13" x14ac:dyDescent="0.15"/>
    <row r="4192" customFormat="1" ht="13" x14ac:dyDescent="0.15"/>
    <row r="4193" customFormat="1" ht="13" x14ac:dyDescent="0.15"/>
    <row r="4194" customFormat="1" ht="13" x14ac:dyDescent="0.15"/>
    <row r="4195" customFormat="1" ht="13" x14ac:dyDescent="0.15"/>
    <row r="4196" customFormat="1" ht="13" x14ac:dyDescent="0.15"/>
    <row r="4197" customFormat="1" ht="13" x14ac:dyDescent="0.15"/>
    <row r="4198" customFormat="1" ht="13" x14ac:dyDescent="0.15"/>
    <row r="4199" customFormat="1" ht="13" x14ac:dyDescent="0.15"/>
    <row r="4200" customFormat="1" ht="13" x14ac:dyDescent="0.15"/>
    <row r="4201" customFormat="1" ht="13" x14ac:dyDescent="0.15"/>
    <row r="4202" customFormat="1" ht="13" x14ac:dyDescent="0.15"/>
    <row r="4203" customFormat="1" ht="13" x14ac:dyDescent="0.15"/>
    <row r="4204" customFormat="1" ht="13" x14ac:dyDescent="0.15"/>
    <row r="4205" customFormat="1" ht="13" x14ac:dyDescent="0.15"/>
    <row r="4206" customFormat="1" ht="13" x14ac:dyDescent="0.15"/>
    <row r="4207" customFormat="1" ht="13" x14ac:dyDescent="0.15"/>
    <row r="4208" customFormat="1" ht="13" x14ac:dyDescent="0.15"/>
    <row r="4209" customFormat="1" ht="13" x14ac:dyDescent="0.15"/>
    <row r="4210" customFormat="1" ht="13" x14ac:dyDescent="0.15"/>
    <row r="4211" customFormat="1" ht="13" x14ac:dyDescent="0.15"/>
    <row r="4212" customFormat="1" ht="13" x14ac:dyDescent="0.15"/>
    <row r="4213" customFormat="1" ht="13" x14ac:dyDescent="0.15"/>
    <row r="4214" customFormat="1" ht="13" x14ac:dyDescent="0.15"/>
    <row r="4215" customFormat="1" ht="13" x14ac:dyDescent="0.15"/>
    <row r="4216" customFormat="1" ht="13" x14ac:dyDescent="0.15"/>
    <row r="4217" customFormat="1" ht="13" x14ac:dyDescent="0.15"/>
    <row r="4218" customFormat="1" ht="13" x14ac:dyDescent="0.15"/>
    <row r="4219" customFormat="1" ht="13" x14ac:dyDescent="0.15"/>
    <row r="4220" customFormat="1" ht="13" x14ac:dyDescent="0.15"/>
    <row r="4221" customFormat="1" ht="13" x14ac:dyDescent="0.15"/>
    <row r="4222" customFormat="1" ht="13" x14ac:dyDescent="0.15"/>
    <row r="4223" customFormat="1" ht="13" x14ac:dyDescent="0.15"/>
    <row r="4224" customFormat="1" ht="13" x14ac:dyDescent="0.15"/>
    <row r="4225" customFormat="1" ht="13" x14ac:dyDescent="0.15"/>
    <row r="4226" customFormat="1" ht="13" x14ac:dyDescent="0.15"/>
    <row r="4227" customFormat="1" ht="13" x14ac:dyDescent="0.15"/>
    <row r="4228" customFormat="1" ht="13" x14ac:dyDescent="0.15"/>
    <row r="4229" customFormat="1" ht="13" x14ac:dyDescent="0.15"/>
    <row r="4230" customFormat="1" ht="13" x14ac:dyDescent="0.15"/>
    <row r="4231" customFormat="1" ht="13" x14ac:dyDescent="0.15"/>
    <row r="4232" customFormat="1" ht="13" x14ac:dyDescent="0.15"/>
    <row r="4233" customFormat="1" ht="13" x14ac:dyDescent="0.15"/>
    <row r="4234" customFormat="1" ht="13" x14ac:dyDescent="0.15"/>
    <row r="4235" customFormat="1" ht="13" x14ac:dyDescent="0.15"/>
    <row r="4236" customFormat="1" ht="13" x14ac:dyDescent="0.15"/>
    <row r="4237" customFormat="1" ht="13" x14ac:dyDescent="0.15"/>
    <row r="4238" customFormat="1" ht="13" x14ac:dyDescent="0.15"/>
    <row r="4239" customFormat="1" ht="13" x14ac:dyDescent="0.15"/>
    <row r="4240" customFormat="1" ht="13" x14ac:dyDescent="0.15"/>
    <row r="4241" customFormat="1" ht="13" x14ac:dyDescent="0.15"/>
    <row r="4242" customFormat="1" ht="13" x14ac:dyDescent="0.15"/>
    <row r="4243" customFormat="1" ht="13" x14ac:dyDescent="0.15"/>
    <row r="4244" customFormat="1" ht="13" x14ac:dyDescent="0.15"/>
    <row r="4245" customFormat="1" ht="13" x14ac:dyDescent="0.15"/>
    <row r="4246" customFormat="1" ht="13" x14ac:dyDescent="0.15"/>
    <row r="4247" customFormat="1" ht="13" x14ac:dyDescent="0.15"/>
    <row r="4248" customFormat="1" ht="13" x14ac:dyDescent="0.15"/>
    <row r="4249" customFormat="1" ht="13" x14ac:dyDescent="0.15"/>
    <row r="4250" customFormat="1" ht="13" x14ac:dyDescent="0.15"/>
    <row r="4251" customFormat="1" ht="13" x14ac:dyDescent="0.15"/>
    <row r="4252" customFormat="1" ht="13" x14ac:dyDescent="0.15"/>
    <row r="4253" customFormat="1" ht="13" x14ac:dyDescent="0.15"/>
    <row r="4254" customFormat="1" ht="13" x14ac:dyDescent="0.15"/>
    <row r="4255" customFormat="1" ht="13" x14ac:dyDescent="0.15"/>
    <row r="4256" customFormat="1" ht="13" x14ac:dyDescent="0.15"/>
    <row r="4257" customFormat="1" ht="13" x14ac:dyDescent="0.15"/>
    <row r="4258" customFormat="1" ht="13" x14ac:dyDescent="0.15"/>
    <row r="4259" customFormat="1" ht="13" x14ac:dyDescent="0.15"/>
    <row r="4260" customFormat="1" ht="13" x14ac:dyDescent="0.15"/>
    <row r="4261" customFormat="1" ht="13" x14ac:dyDescent="0.15"/>
    <row r="4262" customFormat="1" ht="13" x14ac:dyDescent="0.15"/>
    <row r="4263" customFormat="1" ht="13" x14ac:dyDescent="0.15"/>
    <row r="4264" customFormat="1" ht="13" x14ac:dyDescent="0.15"/>
    <row r="4265" customFormat="1" ht="13" x14ac:dyDescent="0.15"/>
    <row r="4266" customFormat="1" ht="13" x14ac:dyDescent="0.15"/>
    <row r="4267" customFormat="1" ht="13" x14ac:dyDescent="0.15"/>
    <row r="4268" customFormat="1" ht="13" x14ac:dyDescent="0.15"/>
    <row r="4269" customFormat="1" ht="13" x14ac:dyDescent="0.15"/>
    <row r="4270" customFormat="1" ht="13" x14ac:dyDescent="0.15"/>
    <row r="4271" customFormat="1" ht="13" x14ac:dyDescent="0.15"/>
    <row r="4272" customFormat="1" ht="13" x14ac:dyDescent="0.15"/>
    <row r="4273" customFormat="1" ht="13" x14ac:dyDescent="0.15"/>
    <row r="4274" customFormat="1" ht="13" x14ac:dyDescent="0.15"/>
    <row r="4275" customFormat="1" ht="13" x14ac:dyDescent="0.15"/>
    <row r="4276" customFormat="1" ht="13" x14ac:dyDescent="0.15"/>
    <row r="4277" customFormat="1" ht="13" x14ac:dyDescent="0.15"/>
    <row r="4278" customFormat="1" ht="13" x14ac:dyDescent="0.15"/>
    <row r="4279" customFormat="1" ht="13" x14ac:dyDescent="0.15"/>
    <row r="4280" customFormat="1" ht="13" x14ac:dyDescent="0.15"/>
    <row r="4281" customFormat="1" ht="13" x14ac:dyDescent="0.15"/>
    <row r="4282" customFormat="1" ht="13" x14ac:dyDescent="0.15"/>
    <row r="4283" customFormat="1" ht="13" x14ac:dyDescent="0.15"/>
    <row r="4284" customFormat="1" ht="13" x14ac:dyDescent="0.15"/>
    <row r="4285" customFormat="1" ht="13" x14ac:dyDescent="0.15"/>
    <row r="4286" customFormat="1" ht="13" x14ac:dyDescent="0.15"/>
    <row r="4287" customFormat="1" ht="13" x14ac:dyDescent="0.15"/>
    <row r="4288" customFormat="1" ht="13" x14ac:dyDescent="0.15"/>
    <row r="4289" customFormat="1" ht="13" x14ac:dyDescent="0.15"/>
    <row r="4290" customFormat="1" ht="13" x14ac:dyDescent="0.15"/>
    <row r="4291" customFormat="1" ht="13" x14ac:dyDescent="0.15"/>
    <row r="4292" customFormat="1" ht="13" x14ac:dyDescent="0.15"/>
    <row r="4293" customFormat="1" ht="13" x14ac:dyDescent="0.15"/>
    <row r="4294" customFormat="1" ht="13" x14ac:dyDescent="0.15"/>
    <row r="4295" customFormat="1" ht="13" x14ac:dyDescent="0.15"/>
    <row r="4296" customFormat="1" ht="13" x14ac:dyDescent="0.15"/>
    <row r="4297" customFormat="1" ht="13" x14ac:dyDescent="0.15"/>
    <row r="4298" customFormat="1" ht="13" x14ac:dyDescent="0.15"/>
    <row r="4299" customFormat="1" ht="13" x14ac:dyDescent="0.15"/>
    <row r="4300" customFormat="1" ht="13" x14ac:dyDescent="0.15"/>
    <row r="4301" customFormat="1" ht="13" x14ac:dyDescent="0.15"/>
    <row r="4302" customFormat="1" ht="13" x14ac:dyDescent="0.15"/>
    <row r="4303" customFormat="1" ht="13" x14ac:dyDescent="0.15"/>
    <row r="4304" customFormat="1" ht="13" x14ac:dyDescent="0.15"/>
    <row r="4305" customFormat="1" ht="13" x14ac:dyDescent="0.15"/>
    <row r="4306" customFormat="1" ht="13" x14ac:dyDescent="0.15"/>
    <row r="4307" customFormat="1" ht="13" x14ac:dyDescent="0.15"/>
    <row r="4308" customFormat="1" ht="13" x14ac:dyDescent="0.15"/>
    <row r="4309" customFormat="1" ht="13" x14ac:dyDescent="0.15"/>
    <row r="4310" customFormat="1" ht="13" x14ac:dyDescent="0.15"/>
    <row r="4311" customFormat="1" ht="13" x14ac:dyDescent="0.15"/>
    <row r="4312" customFormat="1" ht="13" x14ac:dyDescent="0.15"/>
    <row r="4313" customFormat="1" ht="13" x14ac:dyDescent="0.15"/>
    <row r="4314" customFormat="1" ht="13" x14ac:dyDescent="0.15"/>
    <row r="4315" customFormat="1" ht="13" x14ac:dyDescent="0.15"/>
    <row r="4316" customFormat="1" ht="13" x14ac:dyDescent="0.15"/>
    <row r="4317" customFormat="1" ht="13" x14ac:dyDescent="0.15"/>
    <row r="4318" customFormat="1" ht="13" x14ac:dyDescent="0.15"/>
    <row r="4319" customFormat="1" ht="13" x14ac:dyDescent="0.15"/>
    <row r="4320" customFormat="1" ht="13" x14ac:dyDescent="0.15"/>
    <row r="4321" customFormat="1" ht="13" x14ac:dyDescent="0.15"/>
    <row r="4322" customFormat="1" ht="13" x14ac:dyDescent="0.15"/>
    <row r="4323" customFormat="1" ht="13" x14ac:dyDescent="0.15"/>
    <row r="4324" customFormat="1" ht="13" x14ac:dyDescent="0.15"/>
    <row r="4325" customFormat="1" ht="13" x14ac:dyDescent="0.15"/>
    <row r="4326" customFormat="1" ht="13" x14ac:dyDescent="0.15"/>
    <row r="4327" customFormat="1" ht="13" x14ac:dyDescent="0.15"/>
    <row r="4328" customFormat="1" ht="13" x14ac:dyDescent="0.15"/>
    <row r="4329" customFormat="1" ht="13" x14ac:dyDescent="0.15"/>
    <row r="4330" customFormat="1" ht="13" x14ac:dyDescent="0.15"/>
    <row r="4331" customFormat="1" ht="13" x14ac:dyDescent="0.15"/>
    <row r="4332" customFormat="1" ht="13" x14ac:dyDescent="0.15"/>
    <row r="4333" customFormat="1" ht="13" x14ac:dyDescent="0.15"/>
    <row r="4334" customFormat="1" ht="13" x14ac:dyDescent="0.15"/>
    <row r="4335" customFormat="1" ht="13" x14ac:dyDescent="0.15"/>
    <row r="4336" customFormat="1" ht="13" x14ac:dyDescent="0.15"/>
    <row r="4337" customFormat="1" ht="13" x14ac:dyDescent="0.15"/>
    <row r="4338" customFormat="1" ht="13" x14ac:dyDescent="0.15"/>
    <row r="4339" customFormat="1" ht="13" x14ac:dyDescent="0.15"/>
    <row r="4340" customFormat="1" ht="13" x14ac:dyDescent="0.15"/>
    <row r="4341" customFormat="1" ht="13" x14ac:dyDescent="0.15"/>
    <row r="4342" customFormat="1" ht="13" x14ac:dyDescent="0.15"/>
    <row r="4343" customFormat="1" ht="13" x14ac:dyDescent="0.15"/>
    <row r="4344" customFormat="1" ht="13" x14ac:dyDescent="0.15"/>
    <row r="4345" customFormat="1" ht="13" x14ac:dyDescent="0.15"/>
    <row r="4346" customFormat="1" ht="13" x14ac:dyDescent="0.15"/>
    <row r="4347" customFormat="1" ht="13" x14ac:dyDescent="0.15"/>
    <row r="4348" customFormat="1" ht="13" x14ac:dyDescent="0.15"/>
    <row r="4349" customFormat="1" ht="13" x14ac:dyDescent="0.15"/>
    <row r="4350" customFormat="1" ht="13" x14ac:dyDescent="0.15"/>
    <row r="4351" customFormat="1" ht="13" x14ac:dyDescent="0.15"/>
    <row r="4352" customFormat="1" ht="13" x14ac:dyDescent="0.15"/>
    <row r="4353" customFormat="1" ht="13" x14ac:dyDescent="0.15"/>
    <row r="4354" customFormat="1" ht="13" x14ac:dyDescent="0.15"/>
    <row r="4355" customFormat="1" ht="13" x14ac:dyDescent="0.15"/>
    <row r="4356" customFormat="1" ht="13" x14ac:dyDescent="0.15"/>
    <row r="4357" customFormat="1" ht="13" x14ac:dyDescent="0.15"/>
    <row r="4358" customFormat="1" ht="13" x14ac:dyDescent="0.15"/>
    <row r="4359" customFormat="1" ht="13" x14ac:dyDescent="0.15"/>
    <row r="4360" customFormat="1" ht="13" x14ac:dyDescent="0.15"/>
    <row r="4361" customFormat="1" ht="13" x14ac:dyDescent="0.15"/>
    <row r="4362" customFormat="1" ht="13" x14ac:dyDescent="0.15"/>
    <row r="4363" customFormat="1" ht="13" x14ac:dyDescent="0.15"/>
    <row r="4364" customFormat="1" ht="13" x14ac:dyDescent="0.15"/>
    <row r="4365" customFormat="1" ht="13" x14ac:dyDescent="0.15"/>
    <row r="4366" customFormat="1" ht="13" x14ac:dyDescent="0.15"/>
    <row r="4367" customFormat="1" ht="13" x14ac:dyDescent="0.15"/>
    <row r="4368" customFormat="1" ht="13" x14ac:dyDescent="0.15"/>
    <row r="4369" customFormat="1" ht="13" x14ac:dyDescent="0.15"/>
    <row r="4370" customFormat="1" ht="13" x14ac:dyDescent="0.15"/>
    <row r="4371" customFormat="1" ht="13" x14ac:dyDescent="0.15"/>
    <row r="4372" customFormat="1" ht="13" x14ac:dyDescent="0.15"/>
    <row r="4373" customFormat="1" ht="13" x14ac:dyDescent="0.15"/>
    <row r="4374" customFormat="1" ht="13" x14ac:dyDescent="0.15"/>
    <row r="4375" customFormat="1" ht="13" x14ac:dyDescent="0.15"/>
    <row r="4376" customFormat="1" ht="13" x14ac:dyDescent="0.15"/>
    <row r="4377" customFormat="1" ht="13" x14ac:dyDescent="0.15"/>
    <row r="4378" customFormat="1" ht="13" x14ac:dyDescent="0.15"/>
    <row r="4379" customFormat="1" ht="13" x14ac:dyDescent="0.15"/>
    <row r="4380" customFormat="1" ht="13" x14ac:dyDescent="0.15"/>
    <row r="4381" customFormat="1" ht="13" x14ac:dyDescent="0.15"/>
    <row r="4382" customFormat="1" ht="13" x14ac:dyDescent="0.15"/>
    <row r="4383" customFormat="1" ht="13" x14ac:dyDescent="0.15"/>
    <row r="4384" customFormat="1" ht="13" x14ac:dyDescent="0.15"/>
    <row r="4385" customFormat="1" ht="13" x14ac:dyDescent="0.15"/>
    <row r="4386" customFormat="1" ht="13" x14ac:dyDescent="0.15"/>
    <row r="4387" customFormat="1" ht="13" x14ac:dyDescent="0.15"/>
    <row r="4388" customFormat="1" ht="13" x14ac:dyDescent="0.15"/>
    <row r="4389" customFormat="1" ht="13" x14ac:dyDescent="0.15"/>
    <row r="4390" customFormat="1" ht="13" x14ac:dyDescent="0.15"/>
    <row r="4391" customFormat="1" ht="13" x14ac:dyDescent="0.15"/>
    <row r="4392" customFormat="1" ht="13" x14ac:dyDescent="0.15"/>
    <row r="4393" customFormat="1" ht="13" x14ac:dyDescent="0.15"/>
    <row r="4394" customFormat="1" ht="13" x14ac:dyDescent="0.15"/>
    <row r="4395" customFormat="1" ht="13" x14ac:dyDescent="0.15"/>
    <row r="4396" customFormat="1" ht="13" x14ac:dyDescent="0.15"/>
    <row r="4397" customFormat="1" ht="13" x14ac:dyDescent="0.15"/>
    <row r="4398" customFormat="1" ht="13" x14ac:dyDescent="0.15"/>
    <row r="4399" customFormat="1" ht="13" x14ac:dyDescent="0.15"/>
    <row r="4400" customFormat="1" ht="13" x14ac:dyDescent="0.15"/>
    <row r="4401" customFormat="1" ht="13" x14ac:dyDescent="0.15"/>
    <row r="4402" customFormat="1" ht="13" x14ac:dyDescent="0.15"/>
    <row r="4403" customFormat="1" ht="13" x14ac:dyDescent="0.15"/>
    <row r="4404" customFormat="1" ht="13" x14ac:dyDescent="0.15"/>
    <row r="4405" customFormat="1" ht="13" x14ac:dyDescent="0.15"/>
    <row r="4406" customFormat="1" ht="13" x14ac:dyDescent="0.15"/>
    <row r="4407" customFormat="1" ht="13" x14ac:dyDescent="0.15"/>
    <row r="4408" customFormat="1" ht="13" x14ac:dyDescent="0.15"/>
    <row r="4409" customFormat="1" ht="13" x14ac:dyDescent="0.15"/>
    <row r="4410" customFormat="1" ht="13" x14ac:dyDescent="0.15"/>
    <row r="4411" customFormat="1" ht="13" x14ac:dyDescent="0.15"/>
    <row r="4412" customFormat="1" ht="13" x14ac:dyDescent="0.15"/>
    <row r="4413" customFormat="1" ht="13" x14ac:dyDescent="0.15"/>
    <row r="4414" customFormat="1" ht="13" x14ac:dyDescent="0.15"/>
    <row r="4415" customFormat="1" ht="13" x14ac:dyDescent="0.15"/>
    <row r="4416" customFormat="1" ht="13" x14ac:dyDescent="0.15"/>
    <row r="4417" customFormat="1" ht="13" x14ac:dyDescent="0.15"/>
    <row r="4418" customFormat="1" ht="13" x14ac:dyDescent="0.15"/>
    <row r="4419" customFormat="1" ht="13" x14ac:dyDescent="0.15"/>
    <row r="4420" customFormat="1" ht="13" x14ac:dyDescent="0.15"/>
    <row r="4421" customFormat="1" ht="13" x14ac:dyDescent="0.15"/>
    <row r="4422" customFormat="1" ht="13" x14ac:dyDescent="0.15"/>
    <row r="4423" customFormat="1" ht="13" x14ac:dyDescent="0.15"/>
    <row r="4424" customFormat="1" ht="13" x14ac:dyDescent="0.15"/>
    <row r="4425" customFormat="1" ht="13" x14ac:dyDescent="0.15"/>
    <row r="4426" customFormat="1" ht="13" x14ac:dyDescent="0.15"/>
    <row r="4427" customFormat="1" ht="13" x14ac:dyDescent="0.15"/>
    <row r="4428" customFormat="1" ht="13" x14ac:dyDescent="0.15"/>
    <row r="4429" customFormat="1" ht="13" x14ac:dyDescent="0.15"/>
    <row r="4430" customFormat="1" ht="13" x14ac:dyDescent="0.15"/>
    <row r="4431" customFormat="1" ht="13" x14ac:dyDescent="0.15"/>
    <row r="4432" customFormat="1" ht="13" x14ac:dyDescent="0.15"/>
    <row r="4433" customFormat="1" ht="13" x14ac:dyDescent="0.15"/>
    <row r="4434" customFormat="1" ht="13" x14ac:dyDescent="0.15"/>
    <row r="4435" customFormat="1" ht="13" x14ac:dyDescent="0.15"/>
    <row r="4436" customFormat="1" ht="13" x14ac:dyDescent="0.15"/>
    <row r="4437" customFormat="1" ht="13" x14ac:dyDescent="0.15"/>
    <row r="4438" customFormat="1" ht="13" x14ac:dyDescent="0.15"/>
    <row r="4439" customFormat="1" ht="13" x14ac:dyDescent="0.15"/>
    <row r="4440" customFormat="1" ht="13" x14ac:dyDescent="0.15"/>
    <row r="4441" customFormat="1" ht="13" x14ac:dyDescent="0.15"/>
    <row r="4442" customFormat="1" ht="13" x14ac:dyDescent="0.15"/>
    <row r="4443" customFormat="1" ht="13" x14ac:dyDescent="0.15"/>
    <row r="4444" customFormat="1" ht="13" x14ac:dyDescent="0.15"/>
    <row r="4445" customFormat="1" ht="13" x14ac:dyDescent="0.15"/>
    <row r="4446" customFormat="1" ht="13" x14ac:dyDescent="0.15"/>
    <row r="4447" customFormat="1" ht="13" x14ac:dyDescent="0.15"/>
    <row r="4448" customFormat="1" ht="13" x14ac:dyDescent="0.15"/>
    <row r="4449" customFormat="1" ht="13" x14ac:dyDescent="0.15"/>
    <row r="4450" customFormat="1" ht="13" x14ac:dyDescent="0.15"/>
    <row r="4451" customFormat="1" ht="13" x14ac:dyDescent="0.15"/>
    <row r="4452" customFormat="1" ht="13" x14ac:dyDescent="0.15"/>
    <row r="4453" customFormat="1" ht="13" x14ac:dyDescent="0.15"/>
    <row r="4454" customFormat="1" ht="13" x14ac:dyDescent="0.15"/>
    <row r="4455" customFormat="1" ht="13" x14ac:dyDescent="0.15"/>
    <row r="4456" customFormat="1" ht="13" x14ac:dyDescent="0.15"/>
    <row r="4457" customFormat="1" ht="13" x14ac:dyDescent="0.15"/>
    <row r="4458" customFormat="1" ht="13" x14ac:dyDescent="0.15"/>
    <row r="4459" customFormat="1" ht="13" x14ac:dyDescent="0.15"/>
    <row r="4460" customFormat="1" ht="13" x14ac:dyDescent="0.15"/>
    <row r="4461" customFormat="1" ht="13" x14ac:dyDescent="0.15"/>
    <row r="4462" customFormat="1" ht="13" x14ac:dyDescent="0.15"/>
    <row r="4463" customFormat="1" ht="13" x14ac:dyDescent="0.15"/>
    <row r="4464" customFormat="1" ht="13" x14ac:dyDescent="0.15"/>
    <row r="4465" customFormat="1" ht="13" x14ac:dyDescent="0.15"/>
    <row r="4466" customFormat="1" ht="13" x14ac:dyDescent="0.15"/>
    <row r="4467" customFormat="1" ht="13" x14ac:dyDescent="0.15"/>
    <row r="4468" customFormat="1" ht="13" x14ac:dyDescent="0.15"/>
    <row r="4469" customFormat="1" ht="13" x14ac:dyDescent="0.15"/>
    <row r="4470" customFormat="1" ht="13" x14ac:dyDescent="0.15"/>
    <row r="4471" customFormat="1" ht="13" x14ac:dyDescent="0.15"/>
    <row r="4472" customFormat="1" ht="13" x14ac:dyDescent="0.15"/>
    <row r="4473" customFormat="1" ht="13" x14ac:dyDescent="0.15"/>
    <row r="4474" customFormat="1" ht="13" x14ac:dyDescent="0.15"/>
    <row r="4475" customFormat="1" ht="13" x14ac:dyDescent="0.15"/>
    <row r="4476" customFormat="1" ht="13" x14ac:dyDescent="0.15"/>
    <row r="4477" customFormat="1" ht="13" x14ac:dyDescent="0.15"/>
    <row r="4478" customFormat="1" ht="13" x14ac:dyDescent="0.15"/>
    <row r="4479" customFormat="1" ht="13" x14ac:dyDescent="0.15"/>
    <row r="4480" customFormat="1" ht="13" x14ac:dyDescent="0.15"/>
    <row r="4481" customFormat="1" ht="13" x14ac:dyDescent="0.15"/>
    <row r="4482" customFormat="1" ht="13" x14ac:dyDescent="0.15"/>
    <row r="4483" customFormat="1" ht="13" x14ac:dyDescent="0.15"/>
    <row r="4484" customFormat="1" ht="13" x14ac:dyDescent="0.15"/>
    <row r="4485" customFormat="1" ht="13" x14ac:dyDescent="0.15"/>
    <row r="4486" customFormat="1" ht="13" x14ac:dyDescent="0.15"/>
    <row r="4487" customFormat="1" ht="13" x14ac:dyDescent="0.15"/>
    <row r="4488" customFormat="1" ht="13" x14ac:dyDescent="0.15"/>
    <row r="4489" customFormat="1" ht="13" x14ac:dyDescent="0.15"/>
    <row r="4490" customFormat="1" ht="13" x14ac:dyDescent="0.15"/>
    <row r="4491" customFormat="1" ht="13" x14ac:dyDescent="0.15"/>
    <row r="4492" customFormat="1" ht="13" x14ac:dyDescent="0.15"/>
    <row r="4493" customFormat="1" ht="13" x14ac:dyDescent="0.15"/>
    <row r="4494" customFormat="1" ht="13" x14ac:dyDescent="0.15"/>
    <row r="4495" customFormat="1" ht="13" x14ac:dyDescent="0.15"/>
    <row r="4496" customFormat="1" ht="13" x14ac:dyDescent="0.15"/>
    <row r="4497" customFormat="1" ht="13" x14ac:dyDescent="0.15"/>
    <row r="4498" customFormat="1" ht="13" x14ac:dyDescent="0.15"/>
    <row r="4499" customFormat="1" ht="13" x14ac:dyDescent="0.15"/>
    <row r="4500" customFormat="1" ht="13" x14ac:dyDescent="0.15"/>
    <row r="4501" customFormat="1" ht="13" x14ac:dyDescent="0.15"/>
    <row r="4502" customFormat="1" ht="13" x14ac:dyDescent="0.15"/>
    <row r="4503" customFormat="1" ht="13" x14ac:dyDescent="0.15"/>
    <row r="4504" customFormat="1" ht="13" x14ac:dyDescent="0.15"/>
    <row r="4505" customFormat="1" ht="13" x14ac:dyDescent="0.15"/>
    <row r="4506" customFormat="1" ht="13" x14ac:dyDescent="0.15"/>
    <row r="4507" customFormat="1" ht="13" x14ac:dyDescent="0.15"/>
    <row r="4508" customFormat="1" ht="13" x14ac:dyDescent="0.15"/>
    <row r="4509" customFormat="1" ht="13" x14ac:dyDescent="0.15"/>
    <row r="4510" customFormat="1" ht="13" x14ac:dyDescent="0.15"/>
    <row r="4511" customFormat="1" ht="13" x14ac:dyDescent="0.15"/>
    <row r="4512" customFormat="1" ht="13" x14ac:dyDescent="0.15"/>
    <row r="4513" customFormat="1" ht="13" x14ac:dyDescent="0.15"/>
    <row r="4514" customFormat="1" ht="13" x14ac:dyDescent="0.15"/>
    <row r="4515" customFormat="1" ht="13" x14ac:dyDescent="0.15"/>
    <row r="4516" customFormat="1" ht="13" x14ac:dyDescent="0.15"/>
    <row r="4517" customFormat="1" ht="13" x14ac:dyDescent="0.15"/>
    <row r="4518" customFormat="1" ht="13" x14ac:dyDescent="0.15"/>
    <row r="4519" customFormat="1" ht="13" x14ac:dyDescent="0.15"/>
    <row r="4520" customFormat="1" ht="13" x14ac:dyDescent="0.15"/>
    <row r="4521" customFormat="1" ht="13" x14ac:dyDescent="0.15"/>
    <row r="4522" customFormat="1" ht="13" x14ac:dyDescent="0.15"/>
    <row r="4523" customFormat="1" ht="13" x14ac:dyDescent="0.15"/>
    <row r="4524" customFormat="1" ht="13" x14ac:dyDescent="0.15"/>
    <row r="4525" customFormat="1" ht="13" x14ac:dyDescent="0.15"/>
    <row r="4526" customFormat="1" ht="13" x14ac:dyDescent="0.15"/>
    <row r="4527" customFormat="1" ht="13" x14ac:dyDescent="0.15"/>
    <row r="4528" customFormat="1" ht="13" x14ac:dyDescent="0.15"/>
    <row r="4529" customFormat="1" ht="13" x14ac:dyDescent="0.15"/>
    <row r="4530" customFormat="1" ht="13" x14ac:dyDescent="0.15"/>
    <row r="4531" customFormat="1" ht="13" x14ac:dyDescent="0.15"/>
    <row r="4532" customFormat="1" ht="13" x14ac:dyDescent="0.15"/>
    <row r="4533" customFormat="1" ht="13" x14ac:dyDescent="0.15"/>
    <row r="4534" customFormat="1" ht="13" x14ac:dyDescent="0.15"/>
    <row r="4535" customFormat="1" ht="13" x14ac:dyDescent="0.15"/>
    <row r="4536" customFormat="1" ht="13" x14ac:dyDescent="0.15"/>
    <row r="4537" customFormat="1" ht="13" x14ac:dyDescent="0.15"/>
    <row r="4538" customFormat="1" ht="13" x14ac:dyDescent="0.15"/>
    <row r="4539" customFormat="1" ht="13" x14ac:dyDescent="0.15"/>
    <row r="4540" customFormat="1" ht="13" x14ac:dyDescent="0.15"/>
    <row r="4541" customFormat="1" ht="13" x14ac:dyDescent="0.15"/>
    <row r="4542" customFormat="1" ht="13" x14ac:dyDescent="0.15"/>
    <row r="4543" customFormat="1" ht="13" x14ac:dyDescent="0.15"/>
    <row r="4544" customFormat="1" ht="13" x14ac:dyDescent="0.15"/>
    <row r="4545" customFormat="1" ht="13" x14ac:dyDescent="0.15"/>
    <row r="4546" customFormat="1" ht="13" x14ac:dyDescent="0.15"/>
    <row r="4547" customFormat="1" ht="13" x14ac:dyDescent="0.15"/>
    <row r="4548" customFormat="1" ht="13" x14ac:dyDescent="0.15"/>
    <row r="4549" customFormat="1" ht="13" x14ac:dyDescent="0.15"/>
    <row r="4550" customFormat="1" ht="13" x14ac:dyDescent="0.15"/>
    <row r="4551" customFormat="1" ht="13" x14ac:dyDescent="0.15"/>
    <row r="4552" customFormat="1" ht="13" x14ac:dyDescent="0.15"/>
    <row r="4553" customFormat="1" ht="13" x14ac:dyDescent="0.15"/>
    <row r="4554" customFormat="1" ht="13" x14ac:dyDescent="0.15"/>
    <row r="4555" customFormat="1" ht="13" x14ac:dyDescent="0.15"/>
    <row r="4556" customFormat="1" ht="13" x14ac:dyDescent="0.15"/>
    <row r="4557" customFormat="1" ht="13" x14ac:dyDescent="0.15"/>
    <row r="4558" customFormat="1" ht="13" x14ac:dyDescent="0.15"/>
    <row r="4559" customFormat="1" ht="13" x14ac:dyDescent="0.15"/>
    <row r="4560" customFormat="1" ht="13" x14ac:dyDescent="0.15"/>
    <row r="4561" customFormat="1" ht="13" x14ac:dyDescent="0.15"/>
    <row r="4562" customFormat="1" ht="13" x14ac:dyDescent="0.15"/>
    <row r="4563" customFormat="1" ht="13" x14ac:dyDescent="0.15"/>
    <row r="4564" customFormat="1" ht="13" x14ac:dyDescent="0.15"/>
    <row r="4565" customFormat="1" ht="13" x14ac:dyDescent="0.15"/>
    <row r="4566" customFormat="1" ht="13" x14ac:dyDescent="0.15"/>
    <row r="4567" customFormat="1" ht="13" x14ac:dyDescent="0.15"/>
    <row r="4568" customFormat="1" ht="13" x14ac:dyDescent="0.15"/>
    <row r="4569" customFormat="1" ht="13" x14ac:dyDescent="0.15"/>
    <row r="4570" customFormat="1" ht="13" x14ac:dyDescent="0.15"/>
    <row r="4571" customFormat="1" ht="13" x14ac:dyDescent="0.15"/>
    <row r="4572" customFormat="1" ht="13" x14ac:dyDescent="0.15"/>
    <row r="4573" customFormat="1" ht="13" x14ac:dyDescent="0.15"/>
    <row r="4574" customFormat="1" ht="13" x14ac:dyDescent="0.15"/>
    <row r="4575" customFormat="1" ht="13" x14ac:dyDescent="0.15"/>
    <row r="4576" customFormat="1" ht="13" x14ac:dyDescent="0.15"/>
    <row r="4577" customFormat="1" ht="13" x14ac:dyDescent="0.15"/>
    <row r="4578" customFormat="1" ht="13" x14ac:dyDescent="0.15"/>
    <row r="4579" customFormat="1" ht="13" x14ac:dyDescent="0.15"/>
    <row r="4580" customFormat="1" ht="13" x14ac:dyDescent="0.15"/>
    <row r="4581" customFormat="1" ht="13" x14ac:dyDescent="0.15"/>
    <row r="4582" customFormat="1" ht="13" x14ac:dyDescent="0.15"/>
    <row r="4583" customFormat="1" ht="13" x14ac:dyDescent="0.15"/>
    <row r="4584" customFormat="1" ht="13" x14ac:dyDescent="0.15"/>
    <row r="4585" customFormat="1" ht="13" x14ac:dyDescent="0.15"/>
    <row r="4586" customFormat="1" ht="13" x14ac:dyDescent="0.15"/>
    <row r="4587" customFormat="1" ht="13" x14ac:dyDescent="0.15"/>
    <row r="4588" customFormat="1" ht="13" x14ac:dyDescent="0.15"/>
    <row r="4589" customFormat="1" ht="13" x14ac:dyDescent="0.15"/>
    <row r="4590" customFormat="1" ht="13" x14ac:dyDescent="0.15"/>
    <row r="4591" customFormat="1" ht="13" x14ac:dyDescent="0.15"/>
    <row r="4592" customFormat="1" ht="13" x14ac:dyDescent="0.15"/>
    <row r="4593" customFormat="1" ht="13" x14ac:dyDescent="0.15"/>
    <row r="4594" customFormat="1" ht="13" x14ac:dyDescent="0.15"/>
    <row r="4595" customFormat="1" ht="13" x14ac:dyDescent="0.15"/>
    <row r="4596" customFormat="1" ht="13" x14ac:dyDescent="0.15"/>
    <row r="4597" customFormat="1" ht="13" x14ac:dyDescent="0.15"/>
    <row r="4598" customFormat="1" ht="13" x14ac:dyDescent="0.15"/>
    <row r="4599" customFormat="1" ht="13" x14ac:dyDescent="0.15"/>
    <row r="4600" customFormat="1" ht="13" x14ac:dyDescent="0.15"/>
    <row r="4601" customFormat="1" ht="13" x14ac:dyDescent="0.15"/>
    <row r="4602" customFormat="1" ht="13" x14ac:dyDescent="0.15"/>
    <row r="4603" customFormat="1" ht="13" x14ac:dyDescent="0.15"/>
    <row r="4604" customFormat="1" ht="13" x14ac:dyDescent="0.15"/>
    <row r="4605" customFormat="1" ht="13" x14ac:dyDescent="0.15"/>
    <row r="4606" customFormat="1" ht="13" x14ac:dyDescent="0.15"/>
    <row r="4607" customFormat="1" ht="13" x14ac:dyDescent="0.15"/>
    <row r="4608" customFormat="1" ht="13" x14ac:dyDescent="0.15"/>
    <row r="4609" customFormat="1" ht="13" x14ac:dyDescent="0.15"/>
    <row r="4610" customFormat="1" ht="13" x14ac:dyDescent="0.15"/>
    <row r="4611" customFormat="1" ht="13" x14ac:dyDescent="0.15"/>
    <row r="4612" customFormat="1" ht="13" x14ac:dyDescent="0.15"/>
    <row r="4613" customFormat="1" ht="13" x14ac:dyDescent="0.15"/>
    <row r="4614" customFormat="1" ht="13" x14ac:dyDescent="0.15"/>
    <row r="4615" customFormat="1" ht="13" x14ac:dyDescent="0.15"/>
    <row r="4616" customFormat="1" ht="13" x14ac:dyDescent="0.15"/>
    <row r="4617" customFormat="1" ht="13" x14ac:dyDescent="0.15"/>
    <row r="4618" customFormat="1" ht="13" x14ac:dyDescent="0.15"/>
    <row r="4619" customFormat="1" ht="13" x14ac:dyDescent="0.15"/>
    <row r="4620" customFormat="1" ht="13" x14ac:dyDescent="0.15"/>
    <row r="4621" customFormat="1" ht="13" x14ac:dyDescent="0.15"/>
    <row r="4622" customFormat="1" ht="13" x14ac:dyDescent="0.15"/>
    <row r="4623" customFormat="1" ht="13" x14ac:dyDescent="0.15"/>
    <row r="4624" customFormat="1" ht="13" x14ac:dyDescent="0.15"/>
    <row r="4625" customFormat="1" ht="13" x14ac:dyDescent="0.15"/>
    <row r="4626" customFormat="1" ht="13" x14ac:dyDescent="0.15"/>
    <row r="4627" customFormat="1" ht="13" x14ac:dyDescent="0.15"/>
    <row r="4628" customFormat="1" ht="13" x14ac:dyDescent="0.15"/>
    <row r="4629" customFormat="1" ht="13" x14ac:dyDescent="0.15"/>
    <row r="4630" customFormat="1" ht="13" x14ac:dyDescent="0.15"/>
    <row r="4631" customFormat="1" ht="13" x14ac:dyDescent="0.15"/>
    <row r="4632" customFormat="1" ht="13" x14ac:dyDescent="0.15"/>
    <row r="4633" customFormat="1" ht="13" x14ac:dyDescent="0.15"/>
    <row r="4634" customFormat="1" ht="13" x14ac:dyDescent="0.15"/>
    <row r="4635" customFormat="1" ht="13" x14ac:dyDescent="0.15"/>
    <row r="4636" customFormat="1" ht="13" x14ac:dyDescent="0.15"/>
    <row r="4637" customFormat="1" ht="13" x14ac:dyDescent="0.15"/>
    <row r="4638" customFormat="1" ht="13" x14ac:dyDescent="0.15"/>
    <row r="4639" customFormat="1" ht="13" x14ac:dyDescent="0.15"/>
    <row r="4640" customFormat="1" ht="13" x14ac:dyDescent="0.15"/>
    <row r="4641" customFormat="1" ht="13" x14ac:dyDescent="0.15"/>
    <row r="4642" customFormat="1" ht="13" x14ac:dyDescent="0.15"/>
    <row r="4643" customFormat="1" ht="13" x14ac:dyDescent="0.15"/>
    <row r="4644" customFormat="1" ht="13" x14ac:dyDescent="0.15"/>
    <row r="4645" customFormat="1" ht="13" x14ac:dyDescent="0.15"/>
    <row r="4646" customFormat="1" ht="13" x14ac:dyDescent="0.15"/>
    <row r="4647" customFormat="1" ht="13" x14ac:dyDescent="0.15"/>
    <row r="4648" customFormat="1" ht="13" x14ac:dyDescent="0.15"/>
    <row r="4649" customFormat="1" ht="13" x14ac:dyDescent="0.15"/>
    <row r="4650" customFormat="1" ht="13" x14ac:dyDescent="0.15"/>
    <row r="4651" customFormat="1" ht="13" x14ac:dyDescent="0.15"/>
    <row r="4652" customFormat="1" ht="13" x14ac:dyDescent="0.15"/>
    <row r="4653" customFormat="1" ht="13" x14ac:dyDescent="0.15"/>
    <row r="4654" customFormat="1" ht="13" x14ac:dyDescent="0.15"/>
    <row r="4655" customFormat="1" ht="13" x14ac:dyDescent="0.15"/>
    <row r="4656" customFormat="1" ht="13" x14ac:dyDescent="0.15"/>
    <row r="4657" customFormat="1" ht="13" x14ac:dyDescent="0.15"/>
    <row r="4658" customFormat="1" ht="13" x14ac:dyDescent="0.15"/>
    <row r="4659" customFormat="1" ht="13" x14ac:dyDescent="0.15"/>
    <row r="4660" customFormat="1" ht="13" x14ac:dyDescent="0.15"/>
    <row r="4661" customFormat="1" ht="13" x14ac:dyDescent="0.15"/>
    <row r="4662" customFormat="1" ht="13" x14ac:dyDescent="0.15"/>
    <row r="4663" customFormat="1" ht="13" x14ac:dyDescent="0.15"/>
    <row r="4664" customFormat="1" ht="13" x14ac:dyDescent="0.15"/>
    <row r="4665" customFormat="1" ht="13" x14ac:dyDescent="0.15"/>
    <row r="4666" customFormat="1" ht="13" x14ac:dyDescent="0.15"/>
    <row r="4667" customFormat="1" ht="13" x14ac:dyDescent="0.15"/>
    <row r="4668" customFormat="1" ht="13" x14ac:dyDescent="0.15"/>
    <row r="4669" customFormat="1" ht="13" x14ac:dyDescent="0.15"/>
    <row r="4670" customFormat="1" ht="13" x14ac:dyDescent="0.15"/>
    <row r="4671" customFormat="1" ht="13" x14ac:dyDescent="0.15"/>
    <row r="4672" customFormat="1" ht="13" x14ac:dyDescent="0.15"/>
    <row r="4673" customFormat="1" ht="13" x14ac:dyDescent="0.15"/>
    <row r="4674" customFormat="1" ht="13" x14ac:dyDescent="0.15"/>
    <row r="4675" customFormat="1" ht="13" x14ac:dyDescent="0.15"/>
    <row r="4676" customFormat="1" ht="13" x14ac:dyDescent="0.15"/>
    <row r="4677" customFormat="1" ht="13" x14ac:dyDescent="0.15"/>
    <row r="4678" customFormat="1" ht="13" x14ac:dyDescent="0.15"/>
    <row r="4679" customFormat="1" ht="13" x14ac:dyDescent="0.15"/>
    <row r="4680" customFormat="1" ht="13" x14ac:dyDescent="0.15"/>
    <row r="4681" customFormat="1" ht="13" x14ac:dyDescent="0.15"/>
    <row r="4682" customFormat="1" ht="13" x14ac:dyDescent="0.15"/>
    <row r="4683" customFormat="1" ht="13" x14ac:dyDescent="0.15"/>
    <row r="4684" customFormat="1" ht="13" x14ac:dyDescent="0.15"/>
    <row r="4685" customFormat="1" ht="13" x14ac:dyDescent="0.15"/>
    <row r="4686" customFormat="1" ht="13" x14ac:dyDescent="0.15"/>
    <row r="4687" customFormat="1" ht="13" x14ac:dyDescent="0.15"/>
    <row r="4688" customFormat="1" ht="13" x14ac:dyDescent="0.15"/>
    <row r="4689" customFormat="1" ht="13" x14ac:dyDescent="0.15"/>
    <row r="4690" customFormat="1" ht="13" x14ac:dyDescent="0.15"/>
    <row r="4691" customFormat="1" ht="13" x14ac:dyDescent="0.15"/>
    <row r="4692" customFormat="1" ht="13" x14ac:dyDescent="0.15"/>
    <row r="4693" customFormat="1" ht="13" x14ac:dyDescent="0.15"/>
    <row r="4694" customFormat="1" ht="13" x14ac:dyDescent="0.15"/>
    <row r="4695" customFormat="1" ht="13" x14ac:dyDescent="0.15"/>
    <row r="4696" customFormat="1" ht="13" x14ac:dyDescent="0.15"/>
    <row r="4697" customFormat="1" ht="13" x14ac:dyDescent="0.15"/>
    <row r="4698" customFormat="1" ht="13" x14ac:dyDescent="0.15"/>
    <row r="4699" customFormat="1" ht="13" x14ac:dyDescent="0.15"/>
    <row r="4700" customFormat="1" ht="13" x14ac:dyDescent="0.15"/>
    <row r="4701" customFormat="1" ht="13" x14ac:dyDescent="0.15"/>
    <row r="4702" customFormat="1" ht="13" x14ac:dyDescent="0.15"/>
    <row r="4703" customFormat="1" ht="13" x14ac:dyDescent="0.15"/>
    <row r="4704" customFormat="1" ht="13" x14ac:dyDescent="0.15"/>
    <row r="4705" customFormat="1" ht="13" x14ac:dyDescent="0.15"/>
    <row r="4706" customFormat="1" ht="13" x14ac:dyDescent="0.15"/>
    <row r="4707" customFormat="1" ht="13" x14ac:dyDescent="0.15"/>
    <row r="4708" customFormat="1" ht="13" x14ac:dyDescent="0.15"/>
    <row r="4709" customFormat="1" ht="13" x14ac:dyDescent="0.15"/>
    <row r="4710" customFormat="1" ht="13" x14ac:dyDescent="0.15"/>
    <row r="4711" customFormat="1" ht="13" x14ac:dyDescent="0.15"/>
    <row r="4712" customFormat="1" ht="13" x14ac:dyDescent="0.15"/>
    <row r="4713" customFormat="1" ht="13" x14ac:dyDescent="0.15"/>
    <row r="4714" customFormat="1" ht="13" x14ac:dyDescent="0.15"/>
    <row r="4715" customFormat="1" ht="13" x14ac:dyDescent="0.15"/>
    <row r="4716" customFormat="1" ht="13" x14ac:dyDescent="0.15"/>
    <row r="4717" customFormat="1" ht="13" x14ac:dyDescent="0.15"/>
    <row r="4718" customFormat="1" ht="13" x14ac:dyDescent="0.15"/>
    <row r="4719" customFormat="1" ht="13" x14ac:dyDescent="0.15"/>
    <row r="4720" customFormat="1" ht="13" x14ac:dyDescent="0.15"/>
    <row r="4721" customFormat="1" ht="13" x14ac:dyDescent="0.15"/>
    <row r="4722" customFormat="1" ht="13" x14ac:dyDescent="0.15"/>
    <row r="4723" customFormat="1" ht="13" x14ac:dyDescent="0.15"/>
    <row r="4724" customFormat="1" ht="13" x14ac:dyDescent="0.15"/>
    <row r="4725" customFormat="1" ht="13" x14ac:dyDescent="0.15"/>
    <row r="4726" customFormat="1" ht="13" x14ac:dyDescent="0.15"/>
    <row r="4727" customFormat="1" ht="13" x14ac:dyDescent="0.15"/>
    <row r="4728" customFormat="1" ht="13" x14ac:dyDescent="0.15"/>
    <row r="4729" customFormat="1" ht="13" x14ac:dyDescent="0.15"/>
    <row r="4730" customFormat="1" ht="13" x14ac:dyDescent="0.15"/>
    <row r="4731" customFormat="1" ht="13" x14ac:dyDescent="0.15"/>
    <row r="4732" customFormat="1" ht="13" x14ac:dyDescent="0.15"/>
    <row r="4733" customFormat="1" ht="13" x14ac:dyDescent="0.15"/>
    <row r="4734" customFormat="1" ht="13" x14ac:dyDescent="0.15"/>
    <row r="4735" customFormat="1" ht="13" x14ac:dyDescent="0.15"/>
    <row r="4736" customFormat="1" ht="13" x14ac:dyDescent="0.15"/>
    <row r="4737" customFormat="1" ht="13" x14ac:dyDescent="0.15"/>
    <row r="4738" customFormat="1" ht="13" x14ac:dyDescent="0.15"/>
    <row r="4739" customFormat="1" ht="13" x14ac:dyDescent="0.15"/>
    <row r="4740" customFormat="1" ht="13" x14ac:dyDescent="0.15"/>
    <row r="4741" customFormat="1" ht="13" x14ac:dyDescent="0.15"/>
    <row r="4742" customFormat="1" ht="13" x14ac:dyDescent="0.15"/>
    <row r="4743" customFormat="1" ht="13" x14ac:dyDescent="0.15"/>
    <row r="4744" customFormat="1" ht="13" x14ac:dyDescent="0.15"/>
    <row r="4745" customFormat="1" ht="13" x14ac:dyDescent="0.15"/>
    <row r="4746" customFormat="1" ht="13" x14ac:dyDescent="0.15"/>
    <row r="4747" customFormat="1" ht="13" x14ac:dyDescent="0.15"/>
    <row r="4748" customFormat="1" ht="13" x14ac:dyDescent="0.15"/>
    <row r="4749" customFormat="1" ht="13" x14ac:dyDescent="0.15"/>
    <row r="4750" customFormat="1" ht="13" x14ac:dyDescent="0.15"/>
    <row r="4751" customFormat="1" ht="13" x14ac:dyDescent="0.15"/>
    <row r="4752" customFormat="1" ht="13" x14ac:dyDescent="0.15"/>
    <row r="4753" customFormat="1" ht="13" x14ac:dyDescent="0.15"/>
    <row r="4754" customFormat="1" ht="13" x14ac:dyDescent="0.15"/>
    <row r="4755" customFormat="1" ht="13" x14ac:dyDescent="0.15"/>
    <row r="4756" customFormat="1" ht="13" x14ac:dyDescent="0.15"/>
    <row r="4757" customFormat="1" ht="13" x14ac:dyDescent="0.15"/>
    <row r="4758" customFormat="1" ht="13" x14ac:dyDescent="0.15"/>
    <row r="4759" customFormat="1" ht="13" x14ac:dyDescent="0.15"/>
    <row r="4760" customFormat="1" ht="13" x14ac:dyDescent="0.15"/>
    <row r="4761" customFormat="1" ht="13" x14ac:dyDescent="0.15"/>
    <row r="4762" customFormat="1" ht="13" x14ac:dyDescent="0.15"/>
    <row r="4763" customFormat="1" ht="13" x14ac:dyDescent="0.15"/>
    <row r="4764" customFormat="1" ht="13" x14ac:dyDescent="0.15"/>
    <row r="4765" customFormat="1" ht="13" x14ac:dyDescent="0.15"/>
    <row r="4766" customFormat="1" ht="13" x14ac:dyDescent="0.15"/>
    <row r="4767" customFormat="1" ht="13" x14ac:dyDescent="0.15"/>
    <row r="4768" customFormat="1" ht="13" x14ac:dyDescent="0.15"/>
    <row r="4769" customFormat="1" ht="13" x14ac:dyDescent="0.15"/>
    <row r="4770" customFormat="1" ht="13" x14ac:dyDescent="0.15"/>
    <row r="4771" customFormat="1" ht="13" x14ac:dyDescent="0.15"/>
    <row r="4772" customFormat="1" ht="13" x14ac:dyDescent="0.15"/>
    <row r="4773" customFormat="1" ht="13" x14ac:dyDescent="0.15"/>
    <row r="4774" customFormat="1" ht="13" x14ac:dyDescent="0.15"/>
    <row r="4775" customFormat="1" ht="13" x14ac:dyDescent="0.15"/>
    <row r="4776" customFormat="1" ht="13" x14ac:dyDescent="0.15"/>
    <row r="4777" customFormat="1" ht="13" x14ac:dyDescent="0.15"/>
    <row r="4778" customFormat="1" ht="13" x14ac:dyDescent="0.15"/>
    <row r="4779" customFormat="1" ht="13" x14ac:dyDescent="0.15"/>
    <row r="4780" customFormat="1" ht="13" x14ac:dyDescent="0.15"/>
    <row r="4781" customFormat="1" ht="13" x14ac:dyDescent="0.15"/>
    <row r="4782" customFormat="1" ht="13" x14ac:dyDescent="0.15"/>
    <row r="4783" customFormat="1" ht="13" x14ac:dyDescent="0.15"/>
    <row r="4784" customFormat="1" ht="13" x14ac:dyDescent="0.15"/>
    <row r="4785" customFormat="1" ht="13" x14ac:dyDescent="0.15"/>
    <row r="4786" customFormat="1" ht="13" x14ac:dyDescent="0.15"/>
    <row r="4787" customFormat="1" ht="13" x14ac:dyDescent="0.15"/>
    <row r="4788" customFormat="1" ht="13" x14ac:dyDescent="0.15"/>
    <row r="4789" customFormat="1" ht="13" x14ac:dyDescent="0.15"/>
    <row r="4790" customFormat="1" ht="13" x14ac:dyDescent="0.15"/>
    <row r="4791" customFormat="1" ht="13" x14ac:dyDescent="0.15"/>
    <row r="4792" customFormat="1" ht="13" x14ac:dyDescent="0.15"/>
    <row r="4793" customFormat="1" ht="13" x14ac:dyDescent="0.15"/>
    <row r="4794" customFormat="1" ht="13" x14ac:dyDescent="0.15"/>
    <row r="4795" customFormat="1" ht="13" x14ac:dyDescent="0.15"/>
    <row r="4796" customFormat="1" ht="13" x14ac:dyDescent="0.15"/>
    <row r="4797" customFormat="1" ht="13" x14ac:dyDescent="0.15"/>
    <row r="4798" customFormat="1" ht="13" x14ac:dyDescent="0.15"/>
    <row r="4799" customFormat="1" ht="13" x14ac:dyDescent="0.15"/>
    <row r="4800" customFormat="1" ht="13" x14ac:dyDescent="0.15"/>
    <row r="4801" customFormat="1" ht="13" x14ac:dyDescent="0.15"/>
    <row r="4802" customFormat="1" ht="13" x14ac:dyDescent="0.15"/>
    <row r="4803" customFormat="1" ht="13" x14ac:dyDescent="0.15"/>
    <row r="4804" customFormat="1" ht="13" x14ac:dyDescent="0.15"/>
    <row r="4805" customFormat="1" ht="13" x14ac:dyDescent="0.15"/>
    <row r="4806" customFormat="1" ht="13" x14ac:dyDescent="0.15"/>
    <row r="4807" customFormat="1" ht="13" x14ac:dyDescent="0.15"/>
    <row r="4808" customFormat="1" ht="13" x14ac:dyDescent="0.15"/>
    <row r="4809" customFormat="1" ht="13" x14ac:dyDescent="0.15"/>
    <row r="4810" customFormat="1" ht="13" x14ac:dyDescent="0.15"/>
    <row r="4811" customFormat="1" ht="13" x14ac:dyDescent="0.15"/>
    <row r="4812" customFormat="1" ht="13" x14ac:dyDescent="0.15"/>
    <row r="4813" customFormat="1" ht="13" x14ac:dyDescent="0.15"/>
    <row r="4814" customFormat="1" ht="13" x14ac:dyDescent="0.15"/>
    <row r="4815" customFormat="1" ht="13" x14ac:dyDescent="0.15"/>
    <row r="4816" customFormat="1" ht="13" x14ac:dyDescent="0.15"/>
    <row r="4817" customFormat="1" ht="13" x14ac:dyDescent="0.15"/>
    <row r="4818" customFormat="1" ht="13" x14ac:dyDescent="0.15"/>
    <row r="4819" customFormat="1" ht="13" x14ac:dyDescent="0.15"/>
    <row r="4820" customFormat="1" ht="13" x14ac:dyDescent="0.15"/>
    <row r="4821" customFormat="1" ht="13" x14ac:dyDescent="0.15"/>
    <row r="4822" customFormat="1" ht="13" x14ac:dyDescent="0.15"/>
    <row r="4823" customFormat="1" ht="13" x14ac:dyDescent="0.15"/>
    <row r="4824" customFormat="1" ht="13" x14ac:dyDescent="0.15"/>
    <row r="4825" customFormat="1" ht="13" x14ac:dyDescent="0.15"/>
    <row r="4826" customFormat="1" ht="13" x14ac:dyDescent="0.15"/>
    <row r="4827" customFormat="1" ht="13" x14ac:dyDescent="0.15"/>
    <row r="4828" customFormat="1" ht="13" x14ac:dyDescent="0.15"/>
    <row r="4829" customFormat="1" ht="13" x14ac:dyDescent="0.15"/>
    <row r="4830" customFormat="1" ht="13" x14ac:dyDescent="0.15"/>
    <row r="4831" customFormat="1" ht="13" x14ac:dyDescent="0.15"/>
    <row r="4832" customFormat="1" ht="13" x14ac:dyDescent="0.15"/>
    <row r="4833" customFormat="1" ht="13" x14ac:dyDescent="0.15"/>
    <row r="4834" customFormat="1" ht="13" x14ac:dyDescent="0.15"/>
    <row r="4835" customFormat="1" ht="13" x14ac:dyDescent="0.15"/>
    <row r="4836" customFormat="1" ht="13" x14ac:dyDescent="0.15"/>
    <row r="4837" customFormat="1" ht="13" x14ac:dyDescent="0.15"/>
    <row r="4838" customFormat="1" ht="13" x14ac:dyDescent="0.15"/>
    <row r="4839" customFormat="1" ht="13" x14ac:dyDescent="0.15"/>
    <row r="4840" customFormat="1" ht="13" x14ac:dyDescent="0.15"/>
    <row r="4841" customFormat="1" ht="13" x14ac:dyDescent="0.15"/>
    <row r="4842" customFormat="1" ht="13" x14ac:dyDescent="0.15"/>
    <row r="4843" customFormat="1" ht="13" x14ac:dyDescent="0.15"/>
    <row r="4844" customFormat="1" ht="13" x14ac:dyDescent="0.15"/>
    <row r="4845" customFormat="1" ht="13" x14ac:dyDescent="0.15"/>
    <row r="4846" customFormat="1" ht="13" x14ac:dyDescent="0.15"/>
    <row r="4847" customFormat="1" ht="13" x14ac:dyDescent="0.15"/>
    <row r="4848" customFormat="1" ht="13" x14ac:dyDescent="0.15"/>
    <row r="4849" customFormat="1" ht="13" x14ac:dyDescent="0.15"/>
    <row r="4850" customFormat="1" ht="13" x14ac:dyDescent="0.15"/>
    <row r="4851" customFormat="1" ht="13" x14ac:dyDescent="0.15"/>
    <row r="4852" customFormat="1" ht="13" x14ac:dyDescent="0.15"/>
    <row r="4853" customFormat="1" ht="13" x14ac:dyDescent="0.15"/>
    <row r="4854" customFormat="1" ht="13" x14ac:dyDescent="0.15"/>
    <row r="4855" customFormat="1" ht="13" x14ac:dyDescent="0.15"/>
    <row r="4856" customFormat="1" ht="13" x14ac:dyDescent="0.15"/>
    <row r="4857" customFormat="1" ht="13" x14ac:dyDescent="0.15"/>
    <row r="4858" customFormat="1" ht="13" x14ac:dyDescent="0.15"/>
    <row r="4859" customFormat="1" ht="13" x14ac:dyDescent="0.15"/>
    <row r="4860" customFormat="1" ht="13" x14ac:dyDescent="0.15"/>
    <row r="4861" customFormat="1" ht="13" x14ac:dyDescent="0.15"/>
    <row r="4862" customFormat="1" ht="13" x14ac:dyDescent="0.15"/>
    <row r="4863" customFormat="1" ht="13" x14ac:dyDescent="0.15"/>
    <row r="4864" customFormat="1" ht="13" x14ac:dyDescent="0.15"/>
    <row r="4865" customFormat="1" ht="13" x14ac:dyDescent="0.15"/>
    <row r="4866" customFormat="1" ht="13" x14ac:dyDescent="0.15"/>
    <row r="4867" customFormat="1" ht="13" x14ac:dyDescent="0.15"/>
    <row r="4868" customFormat="1" ht="13" x14ac:dyDescent="0.15"/>
    <row r="4869" customFormat="1" ht="13" x14ac:dyDescent="0.15"/>
    <row r="4870" customFormat="1" ht="13" x14ac:dyDescent="0.15"/>
    <row r="4871" customFormat="1" ht="13" x14ac:dyDescent="0.15"/>
    <row r="4872" customFormat="1" ht="13" x14ac:dyDescent="0.15"/>
    <row r="4873" customFormat="1" ht="13" x14ac:dyDescent="0.15"/>
    <row r="4874" customFormat="1" ht="13" x14ac:dyDescent="0.15"/>
    <row r="4875" customFormat="1" ht="13" x14ac:dyDescent="0.15"/>
    <row r="4876" customFormat="1" ht="13" x14ac:dyDescent="0.15"/>
    <row r="4877" customFormat="1" ht="13" x14ac:dyDescent="0.15"/>
    <row r="4878" customFormat="1" ht="13" x14ac:dyDescent="0.15"/>
    <row r="4879" customFormat="1" ht="13" x14ac:dyDescent="0.15"/>
    <row r="4880" customFormat="1" ht="13" x14ac:dyDescent="0.15"/>
    <row r="4881" customFormat="1" ht="13" x14ac:dyDescent="0.15"/>
    <row r="4882" customFormat="1" ht="13" x14ac:dyDescent="0.15"/>
    <row r="4883" customFormat="1" ht="13" x14ac:dyDescent="0.15"/>
    <row r="4884" customFormat="1" ht="13" x14ac:dyDescent="0.15"/>
    <row r="4885" customFormat="1" ht="13" x14ac:dyDescent="0.15"/>
    <row r="4886" customFormat="1" ht="13" x14ac:dyDescent="0.15"/>
    <row r="4887" customFormat="1" ht="13" x14ac:dyDescent="0.15"/>
    <row r="4888" customFormat="1" ht="13" x14ac:dyDescent="0.15"/>
    <row r="4889" customFormat="1" ht="13" x14ac:dyDescent="0.15"/>
    <row r="4890" customFormat="1" ht="13" x14ac:dyDescent="0.15"/>
    <row r="4891" customFormat="1" ht="13" x14ac:dyDescent="0.15"/>
    <row r="4892" customFormat="1" ht="13" x14ac:dyDescent="0.15"/>
    <row r="4893" customFormat="1" ht="13" x14ac:dyDescent="0.15"/>
    <row r="4894" customFormat="1" ht="13" x14ac:dyDescent="0.15"/>
    <row r="4895" customFormat="1" ht="13" x14ac:dyDescent="0.15"/>
    <row r="4896" customFormat="1" ht="13" x14ac:dyDescent="0.15"/>
    <row r="4897" customFormat="1" ht="13" x14ac:dyDescent="0.15"/>
    <row r="4898" customFormat="1" ht="13" x14ac:dyDescent="0.15"/>
    <row r="4899" customFormat="1" ht="13" x14ac:dyDescent="0.15"/>
    <row r="4900" customFormat="1" ht="13" x14ac:dyDescent="0.15"/>
    <row r="4901" customFormat="1" ht="13" x14ac:dyDescent="0.15"/>
    <row r="4902" customFormat="1" ht="13" x14ac:dyDescent="0.15"/>
    <row r="4903" customFormat="1" ht="13" x14ac:dyDescent="0.15"/>
    <row r="4904" customFormat="1" ht="13" x14ac:dyDescent="0.15"/>
    <row r="4905" customFormat="1" ht="13" x14ac:dyDescent="0.15"/>
    <row r="4906" customFormat="1" ht="13" x14ac:dyDescent="0.15"/>
    <row r="4907" customFormat="1" ht="13" x14ac:dyDescent="0.15"/>
    <row r="4908" customFormat="1" ht="13" x14ac:dyDescent="0.15"/>
    <row r="4909" customFormat="1" ht="13" x14ac:dyDescent="0.15"/>
    <row r="4910" customFormat="1" ht="13" x14ac:dyDescent="0.15"/>
    <row r="4911" customFormat="1" ht="13" x14ac:dyDescent="0.15"/>
    <row r="4912" customFormat="1" ht="13" x14ac:dyDescent="0.15"/>
    <row r="4913" customFormat="1" ht="13" x14ac:dyDescent="0.15"/>
    <row r="4914" customFormat="1" ht="13" x14ac:dyDescent="0.15"/>
    <row r="4915" customFormat="1" ht="13" x14ac:dyDescent="0.15"/>
    <row r="4916" customFormat="1" ht="13" x14ac:dyDescent="0.15"/>
    <row r="4917" customFormat="1" ht="13" x14ac:dyDescent="0.15"/>
    <row r="4918" customFormat="1" ht="13" x14ac:dyDescent="0.15"/>
    <row r="4919" customFormat="1" ht="13" x14ac:dyDescent="0.15"/>
    <row r="4920" customFormat="1" ht="13" x14ac:dyDescent="0.15"/>
    <row r="4921" customFormat="1" ht="13" x14ac:dyDescent="0.15"/>
    <row r="4922" customFormat="1" ht="13" x14ac:dyDescent="0.15"/>
    <row r="4923" customFormat="1" ht="13" x14ac:dyDescent="0.15"/>
    <row r="4924" customFormat="1" ht="13" x14ac:dyDescent="0.15"/>
    <row r="4925" customFormat="1" ht="13" x14ac:dyDescent="0.15"/>
    <row r="4926" customFormat="1" ht="13" x14ac:dyDescent="0.15"/>
    <row r="4927" customFormat="1" ht="13" x14ac:dyDescent="0.15"/>
    <row r="4928" customFormat="1" ht="13" x14ac:dyDescent="0.15"/>
    <row r="4929" customFormat="1" ht="13" x14ac:dyDescent="0.15"/>
    <row r="4930" customFormat="1" ht="13" x14ac:dyDescent="0.15"/>
    <row r="4931" customFormat="1" ht="13" x14ac:dyDescent="0.15"/>
    <row r="4932" customFormat="1" ht="13" x14ac:dyDescent="0.15"/>
    <row r="4933" customFormat="1" ht="13" x14ac:dyDescent="0.15"/>
    <row r="4934" customFormat="1" ht="13" x14ac:dyDescent="0.15"/>
    <row r="4935" customFormat="1" ht="13" x14ac:dyDescent="0.15"/>
    <row r="4936" customFormat="1" ht="13" x14ac:dyDescent="0.15"/>
    <row r="4937" customFormat="1" ht="13" x14ac:dyDescent="0.15"/>
    <row r="4938" customFormat="1" ht="13" x14ac:dyDescent="0.15"/>
    <row r="4939" customFormat="1" ht="13" x14ac:dyDescent="0.15"/>
    <row r="4940" customFormat="1" ht="13" x14ac:dyDescent="0.15"/>
    <row r="4941" customFormat="1" ht="13" x14ac:dyDescent="0.15"/>
    <row r="4942" customFormat="1" ht="13" x14ac:dyDescent="0.15"/>
    <row r="4943" customFormat="1" ht="13" x14ac:dyDescent="0.15"/>
    <row r="4944" customFormat="1" ht="13" x14ac:dyDescent="0.15"/>
    <row r="4945" customFormat="1" ht="13" x14ac:dyDescent="0.15"/>
    <row r="4946" customFormat="1" ht="13" x14ac:dyDescent="0.15"/>
    <row r="4947" customFormat="1" ht="13" x14ac:dyDescent="0.15"/>
    <row r="4948" customFormat="1" ht="13" x14ac:dyDescent="0.15"/>
    <row r="4949" customFormat="1" ht="13" x14ac:dyDescent="0.15"/>
    <row r="4950" customFormat="1" ht="13" x14ac:dyDescent="0.15"/>
    <row r="4951" customFormat="1" ht="13" x14ac:dyDescent="0.15"/>
    <row r="4952" customFormat="1" ht="13" x14ac:dyDescent="0.15"/>
    <row r="4953" customFormat="1" ht="13" x14ac:dyDescent="0.15"/>
    <row r="4954" customFormat="1" ht="13" x14ac:dyDescent="0.15"/>
    <row r="4955" customFormat="1" ht="13" x14ac:dyDescent="0.15"/>
    <row r="4956" customFormat="1" ht="13" x14ac:dyDescent="0.15"/>
    <row r="4957" customFormat="1" ht="13" x14ac:dyDescent="0.15"/>
    <row r="4958" customFormat="1" ht="13" x14ac:dyDescent="0.15"/>
    <row r="4959" customFormat="1" ht="13" x14ac:dyDescent="0.15"/>
    <row r="4960" customFormat="1" ht="13" x14ac:dyDescent="0.15"/>
    <row r="4961" customFormat="1" ht="13" x14ac:dyDescent="0.15"/>
    <row r="4962" customFormat="1" ht="13" x14ac:dyDescent="0.15"/>
    <row r="4963" customFormat="1" ht="13" x14ac:dyDescent="0.15"/>
    <row r="4964" customFormat="1" ht="13" x14ac:dyDescent="0.15"/>
    <row r="4965" customFormat="1" ht="13" x14ac:dyDescent="0.15"/>
    <row r="4966" customFormat="1" ht="13" x14ac:dyDescent="0.15"/>
    <row r="4967" customFormat="1" ht="13" x14ac:dyDescent="0.15"/>
    <row r="4968" customFormat="1" ht="13" x14ac:dyDescent="0.15"/>
    <row r="4969" customFormat="1" ht="13" x14ac:dyDescent="0.15"/>
    <row r="4970" customFormat="1" ht="13" x14ac:dyDescent="0.15"/>
    <row r="4971" customFormat="1" ht="13" x14ac:dyDescent="0.15"/>
    <row r="4972" customFormat="1" ht="13" x14ac:dyDescent="0.15"/>
    <row r="4973" customFormat="1" ht="13" x14ac:dyDescent="0.15"/>
    <row r="4974" customFormat="1" ht="13" x14ac:dyDescent="0.15"/>
    <row r="4975" customFormat="1" ht="13" x14ac:dyDescent="0.15"/>
    <row r="4976" customFormat="1" ht="13" x14ac:dyDescent="0.15"/>
    <row r="4977" customFormat="1" ht="13" x14ac:dyDescent="0.15"/>
    <row r="4978" customFormat="1" ht="13" x14ac:dyDescent="0.15"/>
    <row r="4979" customFormat="1" ht="13" x14ac:dyDescent="0.15"/>
    <row r="4980" customFormat="1" ht="13" x14ac:dyDescent="0.15"/>
    <row r="4981" customFormat="1" ht="13" x14ac:dyDescent="0.15"/>
    <row r="4982" customFormat="1" ht="13" x14ac:dyDescent="0.15"/>
    <row r="4983" customFormat="1" ht="13" x14ac:dyDescent="0.15"/>
    <row r="4984" customFormat="1" ht="13" x14ac:dyDescent="0.15"/>
    <row r="4985" customFormat="1" ht="13" x14ac:dyDescent="0.15"/>
    <row r="4986" customFormat="1" ht="13" x14ac:dyDescent="0.15"/>
    <row r="4987" customFormat="1" ht="13" x14ac:dyDescent="0.15"/>
    <row r="4988" customFormat="1" ht="13" x14ac:dyDescent="0.15"/>
    <row r="4989" customFormat="1" ht="13" x14ac:dyDescent="0.15"/>
    <row r="4990" customFormat="1" ht="13" x14ac:dyDescent="0.15"/>
    <row r="4991" customFormat="1" ht="13" x14ac:dyDescent="0.15"/>
    <row r="4992" customFormat="1" ht="13" x14ac:dyDescent="0.15"/>
    <row r="4993" customFormat="1" ht="13" x14ac:dyDescent="0.15"/>
    <row r="4994" customFormat="1" ht="13" x14ac:dyDescent="0.15"/>
    <row r="4995" customFormat="1" ht="13" x14ac:dyDescent="0.15"/>
    <row r="4996" customFormat="1" ht="13" x14ac:dyDescent="0.15"/>
    <row r="4997" customFormat="1" ht="13" x14ac:dyDescent="0.15"/>
    <row r="4998" customFormat="1" ht="13" x14ac:dyDescent="0.15"/>
    <row r="4999" customFormat="1" ht="13" x14ac:dyDescent="0.15"/>
    <row r="5000" customFormat="1" ht="13" x14ac:dyDescent="0.15"/>
    <row r="5001" customFormat="1" ht="13" x14ac:dyDescent="0.15"/>
    <row r="5002" customFormat="1" ht="13" x14ac:dyDescent="0.15"/>
    <row r="5003" customFormat="1" ht="13" x14ac:dyDescent="0.15"/>
    <row r="5004" customFormat="1" ht="13" x14ac:dyDescent="0.15"/>
    <row r="5005" customFormat="1" ht="13" x14ac:dyDescent="0.15"/>
    <row r="5006" customFormat="1" ht="13" x14ac:dyDescent="0.15"/>
    <row r="5007" customFormat="1" ht="13" x14ac:dyDescent="0.15"/>
    <row r="5008" customFormat="1" ht="13" x14ac:dyDescent="0.15"/>
    <row r="5009" customFormat="1" ht="13" x14ac:dyDescent="0.15"/>
    <row r="5010" customFormat="1" ht="13" x14ac:dyDescent="0.15"/>
    <row r="5011" customFormat="1" ht="13" x14ac:dyDescent="0.15"/>
    <row r="5012" customFormat="1" ht="13" x14ac:dyDescent="0.15"/>
    <row r="5013" customFormat="1" ht="13" x14ac:dyDescent="0.15"/>
    <row r="5014" customFormat="1" ht="13" x14ac:dyDescent="0.15"/>
    <row r="5015" customFormat="1" ht="13" x14ac:dyDescent="0.15"/>
    <row r="5016" customFormat="1" ht="13" x14ac:dyDescent="0.15"/>
    <row r="5017" customFormat="1" ht="13" x14ac:dyDescent="0.15"/>
    <row r="5018" customFormat="1" ht="13" x14ac:dyDescent="0.15"/>
    <row r="5019" customFormat="1" ht="13" x14ac:dyDescent="0.15"/>
    <row r="5020" customFormat="1" ht="13" x14ac:dyDescent="0.15"/>
    <row r="5021" customFormat="1" ht="13" x14ac:dyDescent="0.15"/>
    <row r="5022" customFormat="1" ht="13" x14ac:dyDescent="0.15"/>
    <row r="5023" customFormat="1" ht="13" x14ac:dyDescent="0.15"/>
    <row r="5024" customFormat="1" ht="13" x14ac:dyDescent="0.15"/>
    <row r="5025" customFormat="1" ht="13" x14ac:dyDescent="0.15"/>
    <row r="5026" customFormat="1" ht="13" x14ac:dyDescent="0.15"/>
    <row r="5027" customFormat="1" ht="13" x14ac:dyDescent="0.15"/>
    <row r="5028" customFormat="1" ht="13" x14ac:dyDescent="0.15"/>
    <row r="5029" customFormat="1" ht="13" x14ac:dyDescent="0.15"/>
    <row r="5030" customFormat="1" ht="13" x14ac:dyDescent="0.15"/>
    <row r="5031" customFormat="1" ht="13" x14ac:dyDescent="0.15"/>
    <row r="5032" customFormat="1" ht="13" x14ac:dyDescent="0.15"/>
    <row r="5033" customFormat="1" ht="13" x14ac:dyDescent="0.15"/>
    <row r="5034" customFormat="1" ht="13" x14ac:dyDescent="0.15"/>
    <row r="5035" customFormat="1" ht="13" x14ac:dyDescent="0.15"/>
    <row r="5036" customFormat="1" ht="13" x14ac:dyDescent="0.15"/>
    <row r="5037" customFormat="1" ht="13" x14ac:dyDescent="0.15"/>
    <row r="5038" customFormat="1" ht="13" x14ac:dyDescent="0.15"/>
    <row r="5039" customFormat="1" ht="13" x14ac:dyDescent="0.15"/>
    <row r="5040" customFormat="1" ht="13" x14ac:dyDescent="0.15"/>
    <row r="5041" customFormat="1" ht="13" x14ac:dyDescent="0.15"/>
    <row r="5042" customFormat="1" ht="13" x14ac:dyDescent="0.15"/>
    <row r="5043" customFormat="1" ht="13" x14ac:dyDescent="0.15"/>
    <row r="5044" customFormat="1" ht="13" x14ac:dyDescent="0.15"/>
    <row r="5045" customFormat="1" ht="13" x14ac:dyDescent="0.15"/>
    <row r="5046" customFormat="1" ht="13" x14ac:dyDescent="0.15"/>
    <row r="5047" customFormat="1" ht="13" x14ac:dyDescent="0.15"/>
    <row r="5048" customFormat="1" ht="13" x14ac:dyDescent="0.15"/>
    <row r="5049" customFormat="1" ht="13" x14ac:dyDescent="0.15"/>
    <row r="5050" customFormat="1" ht="13" x14ac:dyDescent="0.15"/>
    <row r="5051" customFormat="1" ht="13" x14ac:dyDescent="0.15"/>
    <row r="5052" customFormat="1" ht="13" x14ac:dyDescent="0.15"/>
    <row r="5053" customFormat="1" ht="13" x14ac:dyDescent="0.15"/>
    <row r="5054" customFormat="1" ht="13" x14ac:dyDescent="0.15"/>
    <row r="5055" customFormat="1" ht="13" x14ac:dyDescent="0.15"/>
    <row r="5056" customFormat="1" ht="13" x14ac:dyDescent="0.15"/>
    <row r="5057" customFormat="1" ht="13" x14ac:dyDescent="0.15"/>
    <row r="5058" customFormat="1" ht="13" x14ac:dyDescent="0.15"/>
    <row r="5059" customFormat="1" ht="13" x14ac:dyDescent="0.15"/>
    <row r="5060" customFormat="1" ht="13" x14ac:dyDescent="0.15"/>
    <row r="5061" customFormat="1" ht="13" x14ac:dyDescent="0.15"/>
    <row r="5062" customFormat="1" ht="13" x14ac:dyDescent="0.15"/>
    <row r="5063" customFormat="1" ht="13" x14ac:dyDescent="0.15"/>
    <row r="5064" customFormat="1" ht="13" x14ac:dyDescent="0.15"/>
    <row r="5065" customFormat="1" ht="13" x14ac:dyDescent="0.15"/>
    <row r="5066" customFormat="1" ht="13" x14ac:dyDescent="0.15"/>
    <row r="5067" customFormat="1" ht="13" x14ac:dyDescent="0.15"/>
    <row r="5068" customFormat="1" ht="13" x14ac:dyDescent="0.15"/>
    <row r="5069" customFormat="1" ht="13" x14ac:dyDescent="0.15"/>
    <row r="5070" customFormat="1" ht="13" x14ac:dyDescent="0.15"/>
    <row r="5071" customFormat="1" ht="13" x14ac:dyDescent="0.15"/>
    <row r="5072" customFormat="1" ht="13" x14ac:dyDescent="0.15"/>
    <row r="5073" customFormat="1" ht="13" x14ac:dyDescent="0.15"/>
    <row r="5074" customFormat="1" ht="13" x14ac:dyDescent="0.15"/>
    <row r="5075" customFormat="1" ht="13" x14ac:dyDescent="0.15"/>
    <row r="5076" customFormat="1" ht="13" x14ac:dyDescent="0.15"/>
    <row r="5077" customFormat="1" ht="13" x14ac:dyDescent="0.15"/>
    <row r="5078" customFormat="1" ht="13" x14ac:dyDescent="0.15"/>
    <row r="5079" customFormat="1" ht="13" x14ac:dyDescent="0.15"/>
    <row r="5080" customFormat="1" ht="13" x14ac:dyDescent="0.15"/>
    <row r="5081" customFormat="1" ht="13" x14ac:dyDescent="0.15"/>
    <row r="5082" customFormat="1" ht="13" x14ac:dyDescent="0.15"/>
    <row r="5083" customFormat="1" ht="13" x14ac:dyDescent="0.15"/>
    <row r="5084" customFormat="1" ht="13" x14ac:dyDescent="0.15"/>
    <row r="5085" customFormat="1" ht="13" x14ac:dyDescent="0.15"/>
    <row r="5086" customFormat="1" ht="13" x14ac:dyDescent="0.15"/>
    <row r="5087" customFormat="1" ht="13" x14ac:dyDescent="0.15"/>
    <row r="5088" customFormat="1" ht="13" x14ac:dyDescent="0.15"/>
    <row r="5089" customFormat="1" ht="13" x14ac:dyDescent="0.15"/>
    <row r="5090" customFormat="1" ht="13" x14ac:dyDescent="0.15"/>
    <row r="5091" customFormat="1" ht="13" x14ac:dyDescent="0.15"/>
    <row r="5092" customFormat="1" ht="13" x14ac:dyDescent="0.15"/>
    <row r="5093" customFormat="1" ht="13" x14ac:dyDescent="0.15"/>
    <row r="5094" customFormat="1" ht="13" x14ac:dyDescent="0.15"/>
    <row r="5095" customFormat="1" ht="13" x14ac:dyDescent="0.15"/>
    <row r="5096" customFormat="1" ht="13" x14ac:dyDescent="0.15"/>
    <row r="5097" customFormat="1" ht="13" x14ac:dyDescent="0.15"/>
    <row r="5098" customFormat="1" ht="13" x14ac:dyDescent="0.15"/>
    <row r="5099" customFormat="1" ht="13" x14ac:dyDescent="0.15"/>
    <row r="5100" customFormat="1" ht="13" x14ac:dyDescent="0.15"/>
    <row r="5101" customFormat="1" ht="13" x14ac:dyDescent="0.15"/>
    <row r="5102" customFormat="1" ht="13" x14ac:dyDescent="0.15"/>
    <row r="5103" customFormat="1" ht="13" x14ac:dyDescent="0.15"/>
    <row r="5104" customFormat="1" ht="13" x14ac:dyDescent="0.15"/>
    <row r="5105" customFormat="1" ht="13" x14ac:dyDescent="0.15"/>
    <row r="5106" customFormat="1" ht="13" x14ac:dyDescent="0.15"/>
    <row r="5107" customFormat="1" ht="13" x14ac:dyDescent="0.15"/>
    <row r="5108" customFormat="1" ht="13" x14ac:dyDescent="0.15"/>
    <row r="5109" customFormat="1" ht="13" x14ac:dyDescent="0.15"/>
    <row r="5110" customFormat="1" ht="13" x14ac:dyDescent="0.15"/>
    <row r="5111" customFormat="1" ht="13" x14ac:dyDescent="0.15"/>
    <row r="5112" customFormat="1" ht="13" x14ac:dyDescent="0.15"/>
    <row r="5113" customFormat="1" ht="13" x14ac:dyDescent="0.15"/>
    <row r="5114" customFormat="1" ht="13" x14ac:dyDescent="0.15"/>
    <row r="5115" customFormat="1" ht="13" x14ac:dyDescent="0.15"/>
    <row r="5116" customFormat="1" ht="13" x14ac:dyDescent="0.15"/>
    <row r="5117" customFormat="1" ht="13" x14ac:dyDescent="0.15"/>
    <row r="5118" customFormat="1" ht="13" x14ac:dyDescent="0.15"/>
    <row r="5119" customFormat="1" ht="13" x14ac:dyDescent="0.15"/>
    <row r="5120" customFormat="1" ht="13" x14ac:dyDescent="0.15"/>
    <row r="5121" customFormat="1" ht="13" x14ac:dyDescent="0.15"/>
    <row r="5122" customFormat="1" ht="13" x14ac:dyDescent="0.15"/>
    <row r="5123" customFormat="1" ht="13" x14ac:dyDescent="0.15"/>
    <row r="5124" customFormat="1" ht="13" x14ac:dyDescent="0.15"/>
    <row r="5125" customFormat="1" ht="13" x14ac:dyDescent="0.15"/>
    <row r="5126" customFormat="1" ht="13" x14ac:dyDescent="0.15"/>
    <row r="5127" customFormat="1" ht="13" x14ac:dyDescent="0.15"/>
    <row r="5128" customFormat="1" ht="13" x14ac:dyDescent="0.15"/>
    <row r="5129" customFormat="1" ht="13" x14ac:dyDescent="0.15"/>
    <row r="5130" customFormat="1" ht="13" x14ac:dyDescent="0.15"/>
    <row r="5131" customFormat="1" ht="13" x14ac:dyDescent="0.15"/>
    <row r="5132" customFormat="1" ht="13" x14ac:dyDescent="0.15"/>
    <row r="5133" customFormat="1" ht="13" x14ac:dyDescent="0.15"/>
    <row r="5134" customFormat="1" ht="13" x14ac:dyDescent="0.15"/>
    <row r="5135" customFormat="1" ht="13" x14ac:dyDescent="0.15"/>
    <row r="5136" customFormat="1" ht="13" x14ac:dyDescent="0.15"/>
    <row r="5137" customFormat="1" ht="13" x14ac:dyDescent="0.15"/>
    <row r="5138" customFormat="1" ht="13" x14ac:dyDescent="0.15"/>
    <row r="5139" customFormat="1" ht="13" x14ac:dyDescent="0.15"/>
    <row r="5140" customFormat="1" ht="13" x14ac:dyDescent="0.15"/>
    <row r="5141" customFormat="1" ht="13" x14ac:dyDescent="0.15"/>
    <row r="5142" customFormat="1" ht="13" x14ac:dyDescent="0.15"/>
    <row r="5143" customFormat="1" ht="13" x14ac:dyDescent="0.15"/>
    <row r="5144" customFormat="1" ht="13" x14ac:dyDescent="0.15"/>
    <row r="5145" customFormat="1" ht="13" x14ac:dyDescent="0.15"/>
    <row r="5146" customFormat="1" ht="13" x14ac:dyDescent="0.15"/>
    <row r="5147" customFormat="1" ht="13" x14ac:dyDescent="0.15"/>
    <row r="5148" customFormat="1" ht="13" x14ac:dyDescent="0.15"/>
    <row r="5149" customFormat="1" ht="13" x14ac:dyDescent="0.15"/>
    <row r="5150" customFormat="1" ht="13" x14ac:dyDescent="0.15"/>
    <row r="5151" customFormat="1" ht="13" x14ac:dyDescent="0.15"/>
    <row r="5152" customFormat="1" ht="13" x14ac:dyDescent="0.15"/>
    <row r="5153" customFormat="1" ht="13" x14ac:dyDescent="0.15"/>
    <row r="5154" customFormat="1" ht="13" x14ac:dyDescent="0.15"/>
    <row r="5155" customFormat="1" ht="13" x14ac:dyDescent="0.15"/>
    <row r="5156" customFormat="1" ht="13" x14ac:dyDescent="0.15"/>
    <row r="5157" customFormat="1" ht="13" x14ac:dyDescent="0.15"/>
    <row r="5158" customFormat="1" ht="13" x14ac:dyDescent="0.15"/>
    <row r="5159" customFormat="1" ht="13" x14ac:dyDescent="0.15"/>
    <row r="5160" customFormat="1" ht="13" x14ac:dyDescent="0.15"/>
    <row r="5161" customFormat="1" ht="13" x14ac:dyDescent="0.15"/>
    <row r="5162" customFormat="1" ht="13" x14ac:dyDescent="0.15"/>
    <row r="5163" customFormat="1" ht="13" x14ac:dyDescent="0.15"/>
    <row r="5164" customFormat="1" ht="13" x14ac:dyDescent="0.15"/>
    <row r="5165" customFormat="1" ht="13" x14ac:dyDescent="0.15"/>
    <row r="5166" customFormat="1" ht="13" x14ac:dyDescent="0.15"/>
    <row r="5167" customFormat="1" ht="13" x14ac:dyDescent="0.15"/>
    <row r="5168" customFormat="1" ht="13" x14ac:dyDescent="0.15"/>
    <row r="5169" customFormat="1" ht="13" x14ac:dyDescent="0.15"/>
    <row r="5170" customFormat="1" ht="13" x14ac:dyDescent="0.15"/>
    <row r="5171" customFormat="1" ht="13" x14ac:dyDescent="0.15"/>
    <row r="5172" customFormat="1" ht="13" x14ac:dyDescent="0.15"/>
    <row r="5173" customFormat="1" ht="13" x14ac:dyDescent="0.15"/>
    <row r="5174" customFormat="1" ht="13" x14ac:dyDescent="0.15"/>
    <row r="5175" customFormat="1" ht="13" x14ac:dyDescent="0.15"/>
    <row r="5176" customFormat="1" ht="13" x14ac:dyDescent="0.15"/>
    <row r="5177" customFormat="1" ht="13" x14ac:dyDescent="0.15"/>
    <row r="5178" customFormat="1" ht="13" x14ac:dyDescent="0.15"/>
    <row r="5179" customFormat="1" ht="13" x14ac:dyDescent="0.15"/>
    <row r="5180" customFormat="1" ht="13" x14ac:dyDescent="0.15"/>
    <row r="5181" customFormat="1" ht="13" x14ac:dyDescent="0.15"/>
    <row r="5182" customFormat="1" ht="13" x14ac:dyDescent="0.15"/>
    <row r="5183" customFormat="1" ht="13" x14ac:dyDescent="0.15"/>
    <row r="5184" customFormat="1" ht="13" x14ac:dyDescent="0.15"/>
    <row r="5185" customFormat="1" ht="13" x14ac:dyDescent="0.15"/>
    <row r="5186" customFormat="1" ht="13" x14ac:dyDescent="0.15"/>
    <row r="5187" customFormat="1" ht="13" x14ac:dyDescent="0.15"/>
    <row r="5188" customFormat="1" ht="13" x14ac:dyDescent="0.15"/>
    <row r="5189" customFormat="1" ht="13" x14ac:dyDescent="0.15"/>
    <row r="5190" customFormat="1" ht="13" x14ac:dyDescent="0.15"/>
    <row r="5191" customFormat="1" ht="13" x14ac:dyDescent="0.15"/>
    <row r="5192" customFormat="1" ht="13" x14ac:dyDescent="0.15"/>
    <row r="5193" customFormat="1" ht="13" x14ac:dyDescent="0.15"/>
    <row r="5194" customFormat="1" ht="13" x14ac:dyDescent="0.15"/>
    <row r="5195" customFormat="1" ht="13" x14ac:dyDescent="0.15"/>
    <row r="5196" customFormat="1" ht="13" x14ac:dyDescent="0.15"/>
    <row r="5197" customFormat="1" ht="13" x14ac:dyDescent="0.15"/>
    <row r="5198" customFormat="1" ht="13" x14ac:dyDescent="0.15"/>
    <row r="5199" customFormat="1" ht="13" x14ac:dyDescent="0.15"/>
    <row r="5200" customFormat="1" ht="13" x14ac:dyDescent="0.15"/>
    <row r="5201" customFormat="1" ht="13" x14ac:dyDescent="0.15"/>
    <row r="5202" customFormat="1" ht="13" x14ac:dyDescent="0.15"/>
    <row r="5203" customFormat="1" ht="13" x14ac:dyDescent="0.15"/>
    <row r="5204" customFormat="1" ht="13" x14ac:dyDescent="0.15"/>
    <row r="5205" customFormat="1" ht="13" x14ac:dyDescent="0.15"/>
    <row r="5206" customFormat="1" ht="13" x14ac:dyDescent="0.15"/>
    <row r="5207" customFormat="1" ht="13" x14ac:dyDescent="0.15"/>
    <row r="5208" customFormat="1" ht="13" x14ac:dyDescent="0.15"/>
    <row r="5209" customFormat="1" ht="13" x14ac:dyDescent="0.15"/>
    <row r="5210" customFormat="1" ht="13" x14ac:dyDescent="0.15"/>
    <row r="5211" customFormat="1" ht="13" x14ac:dyDescent="0.15"/>
    <row r="5212" customFormat="1" ht="13" x14ac:dyDescent="0.15"/>
    <row r="5213" customFormat="1" ht="13" x14ac:dyDescent="0.15"/>
    <row r="5214" customFormat="1" ht="13" x14ac:dyDescent="0.15"/>
    <row r="5215" customFormat="1" ht="13" x14ac:dyDescent="0.15"/>
    <row r="5216" customFormat="1" ht="13" x14ac:dyDescent="0.15"/>
    <row r="5217" customFormat="1" ht="13" x14ac:dyDescent="0.15"/>
    <row r="5218" customFormat="1" ht="13" x14ac:dyDescent="0.15"/>
    <row r="5219" customFormat="1" ht="13" x14ac:dyDescent="0.15"/>
    <row r="5220" customFormat="1" ht="13" x14ac:dyDescent="0.15"/>
    <row r="5221" customFormat="1" ht="13" x14ac:dyDescent="0.15"/>
    <row r="5222" customFormat="1" ht="13" x14ac:dyDescent="0.15"/>
    <row r="5223" customFormat="1" ht="13" x14ac:dyDescent="0.15"/>
    <row r="5224" customFormat="1" ht="13" x14ac:dyDescent="0.15"/>
    <row r="5225" customFormat="1" ht="13" x14ac:dyDescent="0.15"/>
    <row r="5226" customFormat="1" ht="13" x14ac:dyDescent="0.15"/>
    <row r="5227" customFormat="1" ht="13" x14ac:dyDescent="0.15"/>
    <row r="5228" customFormat="1" ht="13" x14ac:dyDescent="0.15"/>
    <row r="5229" customFormat="1" ht="13" x14ac:dyDescent="0.15"/>
    <row r="5230" customFormat="1" ht="13" x14ac:dyDescent="0.15"/>
    <row r="5231" customFormat="1" ht="13" x14ac:dyDescent="0.15"/>
    <row r="5232" customFormat="1" ht="13" x14ac:dyDescent="0.15"/>
    <row r="5233" customFormat="1" ht="13" x14ac:dyDescent="0.15"/>
    <row r="5234" customFormat="1" ht="13" x14ac:dyDescent="0.15"/>
    <row r="5235" customFormat="1" ht="13" x14ac:dyDescent="0.15"/>
    <row r="5236" customFormat="1" ht="13" x14ac:dyDescent="0.15"/>
    <row r="5237" customFormat="1" ht="13" x14ac:dyDescent="0.15"/>
    <row r="5238" customFormat="1" ht="13" x14ac:dyDescent="0.15"/>
    <row r="5239" customFormat="1" ht="13" x14ac:dyDescent="0.15"/>
    <row r="5240" customFormat="1" ht="13" x14ac:dyDescent="0.15"/>
    <row r="5241" customFormat="1" ht="13" x14ac:dyDescent="0.15"/>
    <row r="5242" customFormat="1" ht="13" x14ac:dyDescent="0.15"/>
    <row r="5243" customFormat="1" ht="13" x14ac:dyDescent="0.15"/>
    <row r="5244" customFormat="1" ht="13" x14ac:dyDescent="0.15"/>
    <row r="5245" customFormat="1" ht="13" x14ac:dyDescent="0.15"/>
    <row r="5246" customFormat="1" ht="13" x14ac:dyDescent="0.15"/>
    <row r="5247" customFormat="1" ht="13" x14ac:dyDescent="0.15"/>
    <row r="5248" customFormat="1" ht="13" x14ac:dyDescent="0.15"/>
    <row r="5249" customFormat="1" ht="13" x14ac:dyDescent="0.15"/>
    <row r="5250" customFormat="1" ht="13" x14ac:dyDescent="0.15"/>
    <row r="5251" customFormat="1" ht="13" x14ac:dyDescent="0.15"/>
    <row r="5252" customFormat="1" ht="13" x14ac:dyDescent="0.15"/>
    <row r="5253" customFormat="1" ht="13" x14ac:dyDescent="0.15"/>
    <row r="5254" customFormat="1" ht="13" x14ac:dyDescent="0.15"/>
    <row r="5255" customFormat="1" ht="13" x14ac:dyDescent="0.15"/>
    <row r="5256" customFormat="1" ht="13" x14ac:dyDescent="0.15"/>
    <row r="5257" customFormat="1" ht="13" x14ac:dyDescent="0.15"/>
    <row r="5258" customFormat="1" ht="13" x14ac:dyDescent="0.15"/>
    <row r="5259" customFormat="1" ht="13" x14ac:dyDescent="0.15"/>
    <row r="5260" customFormat="1" ht="13" x14ac:dyDescent="0.15"/>
    <row r="5261" customFormat="1" ht="13" x14ac:dyDescent="0.15"/>
    <row r="5262" customFormat="1" ht="13" x14ac:dyDescent="0.15"/>
    <row r="5263" customFormat="1" ht="13" x14ac:dyDescent="0.15"/>
    <row r="5264" customFormat="1" ht="13" x14ac:dyDescent="0.15"/>
    <row r="5265" customFormat="1" ht="13" x14ac:dyDescent="0.15"/>
    <row r="5266" customFormat="1" ht="13" x14ac:dyDescent="0.15"/>
    <row r="5267" customFormat="1" ht="13" x14ac:dyDescent="0.15"/>
    <row r="5268" customFormat="1" ht="13" x14ac:dyDescent="0.15"/>
    <row r="5269" customFormat="1" ht="13" x14ac:dyDescent="0.15"/>
    <row r="5270" customFormat="1" ht="13" x14ac:dyDescent="0.15"/>
    <row r="5271" customFormat="1" ht="13" x14ac:dyDescent="0.15"/>
    <row r="5272" customFormat="1" ht="13" x14ac:dyDescent="0.15"/>
    <row r="5273" customFormat="1" ht="13" x14ac:dyDescent="0.15"/>
    <row r="5274" customFormat="1" ht="13" x14ac:dyDescent="0.15"/>
    <row r="5275" customFormat="1" ht="13" x14ac:dyDescent="0.15"/>
    <row r="5276" customFormat="1" ht="13" x14ac:dyDescent="0.15"/>
    <row r="5277" customFormat="1" ht="13" x14ac:dyDescent="0.15"/>
    <row r="5278" customFormat="1" ht="13" x14ac:dyDescent="0.15"/>
    <row r="5279" customFormat="1" ht="13" x14ac:dyDescent="0.15"/>
    <row r="5280" customFormat="1" ht="13" x14ac:dyDescent="0.15"/>
    <row r="5281" customFormat="1" ht="13" x14ac:dyDescent="0.15"/>
    <row r="5282" customFormat="1" ht="13" x14ac:dyDescent="0.15"/>
    <row r="5283" customFormat="1" ht="13" x14ac:dyDescent="0.15"/>
    <row r="5284" customFormat="1" ht="13" x14ac:dyDescent="0.15"/>
    <row r="5285" customFormat="1" ht="13" x14ac:dyDescent="0.15"/>
    <row r="5286" customFormat="1" ht="13" x14ac:dyDescent="0.15"/>
    <row r="5287" customFormat="1" ht="13" x14ac:dyDescent="0.15"/>
    <row r="5288" customFormat="1" ht="13" x14ac:dyDescent="0.15"/>
    <row r="5289" customFormat="1" ht="13" x14ac:dyDescent="0.15"/>
    <row r="5290" customFormat="1" ht="13" x14ac:dyDescent="0.15"/>
    <row r="5291" customFormat="1" ht="13" x14ac:dyDescent="0.15"/>
    <row r="5292" customFormat="1" ht="13" x14ac:dyDescent="0.15"/>
    <row r="5293" customFormat="1" ht="13" x14ac:dyDescent="0.15"/>
    <row r="5294" customFormat="1" ht="13" x14ac:dyDescent="0.15"/>
    <row r="5295" customFormat="1" ht="13" x14ac:dyDescent="0.15"/>
    <row r="5296" customFormat="1" ht="13" x14ac:dyDescent="0.15"/>
    <row r="5297" customFormat="1" ht="13" x14ac:dyDescent="0.15"/>
    <row r="5298" customFormat="1" ht="13" x14ac:dyDescent="0.15"/>
    <row r="5299" customFormat="1" ht="13" x14ac:dyDescent="0.15"/>
    <row r="5300" customFormat="1" ht="13" x14ac:dyDescent="0.15"/>
    <row r="5301" customFormat="1" ht="13" x14ac:dyDescent="0.15"/>
    <row r="5302" customFormat="1" ht="13" x14ac:dyDescent="0.15"/>
    <row r="5303" customFormat="1" ht="13" x14ac:dyDescent="0.15"/>
    <row r="5304" customFormat="1" ht="13" x14ac:dyDescent="0.15"/>
    <row r="5305" customFormat="1" ht="13" x14ac:dyDescent="0.15"/>
    <row r="5306" customFormat="1" ht="13" x14ac:dyDescent="0.15"/>
    <row r="5307" customFormat="1" ht="13" x14ac:dyDescent="0.15"/>
    <row r="5308" customFormat="1" ht="13" x14ac:dyDescent="0.15"/>
    <row r="5309" customFormat="1" ht="13" x14ac:dyDescent="0.15"/>
    <row r="5310" customFormat="1" ht="13" x14ac:dyDescent="0.15"/>
    <row r="5311" customFormat="1" ht="13" x14ac:dyDescent="0.15"/>
    <row r="5312" customFormat="1" ht="13" x14ac:dyDescent="0.15"/>
    <row r="5313" customFormat="1" ht="13" x14ac:dyDescent="0.15"/>
    <row r="5314" customFormat="1" ht="13" x14ac:dyDescent="0.15"/>
    <row r="5315" customFormat="1" ht="13" x14ac:dyDescent="0.15"/>
    <row r="5316" customFormat="1" ht="13" x14ac:dyDescent="0.15"/>
    <row r="5317" customFormat="1" ht="13" x14ac:dyDescent="0.15"/>
    <row r="5318" customFormat="1" ht="13" x14ac:dyDescent="0.15"/>
    <row r="5319" customFormat="1" ht="13" x14ac:dyDescent="0.15"/>
    <row r="5320" customFormat="1" ht="13" x14ac:dyDescent="0.15"/>
    <row r="5321" customFormat="1" ht="13" x14ac:dyDescent="0.15"/>
    <row r="5322" customFormat="1" ht="13" x14ac:dyDescent="0.15"/>
    <row r="5323" customFormat="1" ht="13" x14ac:dyDescent="0.15"/>
    <row r="5324" customFormat="1" ht="13" x14ac:dyDescent="0.15"/>
    <row r="5325" customFormat="1" ht="13" x14ac:dyDescent="0.15"/>
    <row r="5326" customFormat="1" ht="13" x14ac:dyDescent="0.15"/>
    <row r="5327" customFormat="1" ht="13" x14ac:dyDescent="0.15"/>
    <row r="5328" customFormat="1" ht="13" x14ac:dyDescent="0.15"/>
    <row r="5329" customFormat="1" ht="13" x14ac:dyDescent="0.15"/>
    <row r="5330" customFormat="1" ht="13" x14ac:dyDescent="0.15"/>
    <row r="5331" customFormat="1" ht="13" x14ac:dyDescent="0.15"/>
    <row r="5332" customFormat="1" ht="13" x14ac:dyDescent="0.15"/>
    <row r="5333" customFormat="1" ht="13" x14ac:dyDescent="0.15"/>
    <row r="5334" customFormat="1" ht="13" x14ac:dyDescent="0.15"/>
    <row r="5335" customFormat="1" ht="13" x14ac:dyDescent="0.15"/>
    <row r="5336" customFormat="1" ht="13" x14ac:dyDescent="0.15"/>
    <row r="5337" customFormat="1" ht="13" x14ac:dyDescent="0.15"/>
    <row r="5338" customFormat="1" ht="13" x14ac:dyDescent="0.15"/>
    <row r="5339" customFormat="1" ht="13" x14ac:dyDescent="0.15"/>
    <row r="5340" customFormat="1" ht="13" x14ac:dyDescent="0.15"/>
    <row r="5341" customFormat="1" ht="13" x14ac:dyDescent="0.15"/>
    <row r="5342" customFormat="1" ht="13" x14ac:dyDescent="0.15"/>
    <row r="5343" customFormat="1" ht="13" x14ac:dyDescent="0.15"/>
    <row r="5344" customFormat="1" ht="13" x14ac:dyDescent="0.15"/>
    <row r="5345" customFormat="1" ht="13" x14ac:dyDescent="0.15"/>
    <row r="5346" customFormat="1" ht="13" x14ac:dyDescent="0.15"/>
    <row r="5347" customFormat="1" ht="13" x14ac:dyDescent="0.15"/>
    <row r="5348" customFormat="1" ht="13" x14ac:dyDescent="0.15"/>
    <row r="5349" customFormat="1" ht="13" x14ac:dyDescent="0.15"/>
    <row r="5350" customFormat="1" ht="13" x14ac:dyDescent="0.15"/>
    <row r="5351" customFormat="1" ht="13" x14ac:dyDescent="0.15"/>
    <row r="5352" customFormat="1" ht="13" x14ac:dyDescent="0.15"/>
    <row r="5353" customFormat="1" ht="13" x14ac:dyDescent="0.15"/>
    <row r="5354" customFormat="1" ht="13" x14ac:dyDescent="0.15"/>
    <row r="5355" customFormat="1" ht="13" x14ac:dyDescent="0.15"/>
    <row r="5356" customFormat="1" ht="13" x14ac:dyDescent="0.15"/>
    <row r="5357" customFormat="1" ht="13" x14ac:dyDescent="0.15"/>
    <row r="5358" customFormat="1" ht="13" x14ac:dyDescent="0.15"/>
    <row r="5359" customFormat="1" ht="13" x14ac:dyDescent="0.15"/>
    <row r="5360" customFormat="1" ht="13" x14ac:dyDescent="0.15"/>
    <row r="5361" customFormat="1" ht="13" x14ac:dyDescent="0.15"/>
    <row r="5362" customFormat="1" ht="13" x14ac:dyDescent="0.15"/>
    <row r="5363" customFormat="1" ht="13" x14ac:dyDescent="0.15"/>
    <row r="5364" customFormat="1" ht="13" x14ac:dyDescent="0.15"/>
    <row r="5365" customFormat="1" ht="13" x14ac:dyDescent="0.15"/>
    <row r="5366" customFormat="1" ht="13" x14ac:dyDescent="0.15"/>
    <row r="5367" customFormat="1" ht="13" x14ac:dyDescent="0.15"/>
    <row r="5368" customFormat="1" ht="13" x14ac:dyDescent="0.15"/>
    <row r="5369" customFormat="1" ht="13" x14ac:dyDescent="0.15"/>
    <row r="5370" customFormat="1" ht="13" x14ac:dyDescent="0.15"/>
    <row r="5371" customFormat="1" ht="13" x14ac:dyDescent="0.15"/>
    <row r="5372" customFormat="1" ht="13" x14ac:dyDescent="0.15"/>
    <row r="5373" customFormat="1" ht="13" x14ac:dyDescent="0.15"/>
    <row r="5374" customFormat="1" ht="13" x14ac:dyDescent="0.15"/>
    <row r="5375" customFormat="1" ht="13" x14ac:dyDescent="0.15"/>
    <row r="5376" customFormat="1" ht="13" x14ac:dyDescent="0.15"/>
    <row r="5377" customFormat="1" ht="13" x14ac:dyDescent="0.15"/>
    <row r="5378" customFormat="1" ht="13" x14ac:dyDescent="0.15"/>
    <row r="5379" customFormat="1" ht="13" x14ac:dyDescent="0.15"/>
    <row r="5380" customFormat="1" ht="13" x14ac:dyDescent="0.15"/>
    <row r="5381" customFormat="1" ht="13" x14ac:dyDescent="0.15"/>
    <row r="5382" customFormat="1" ht="13" x14ac:dyDescent="0.15"/>
    <row r="5383" customFormat="1" ht="13" x14ac:dyDescent="0.15"/>
    <row r="5384" customFormat="1" ht="13" x14ac:dyDescent="0.15"/>
    <row r="5385" customFormat="1" ht="13" x14ac:dyDescent="0.15"/>
    <row r="5386" customFormat="1" ht="13" x14ac:dyDescent="0.15"/>
    <row r="5387" customFormat="1" ht="13" x14ac:dyDescent="0.15"/>
    <row r="5388" customFormat="1" ht="13" x14ac:dyDescent="0.15"/>
    <row r="5389" customFormat="1" ht="13" x14ac:dyDescent="0.15"/>
    <row r="5390" customFormat="1" ht="13" x14ac:dyDescent="0.15"/>
    <row r="5391" customFormat="1" ht="13" x14ac:dyDescent="0.15"/>
    <row r="5392" customFormat="1" ht="13" x14ac:dyDescent="0.15"/>
    <row r="5393" customFormat="1" ht="13" x14ac:dyDescent="0.15"/>
    <row r="5394" customFormat="1" ht="13" x14ac:dyDescent="0.15"/>
    <row r="5395" customFormat="1" ht="13" x14ac:dyDescent="0.15"/>
    <row r="5396" customFormat="1" ht="13" x14ac:dyDescent="0.15"/>
    <row r="5397" customFormat="1" ht="13" x14ac:dyDescent="0.15"/>
    <row r="5398" customFormat="1" ht="13" x14ac:dyDescent="0.15"/>
    <row r="5399" customFormat="1" ht="13" x14ac:dyDescent="0.15"/>
    <row r="5400" customFormat="1" ht="13" x14ac:dyDescent="0.15"/>
    <row r="5401" customFormat="1" ht="13" x14ac:dyDescent="0.15"/>
    <row r="5402" customFormat="1" ht="13" x14ac:dyDescent="0.15"/>
    <row r="5403" customFormat="1" ht="13" x14ac:dyDescent="0.15"/>
    <row r="5404" customFormat="1" ht="13" x14ac:dyDescent="0.15"/>
    <row r="5405" customFormat="1" ht="13" x14ac:dyDescent="0.15"/>
    <row r="5406" customFormat="1" ht="13" x14ac:dyDescent="0.15"/>
    <row r="5407" customFormat="1" ht="13" x14ac:dyDescent="0.15"/>
    <row r="5408" customFormat="1" ht="13" x14ac:dyDescent="0.15"/>
    <row r="5409" customFormat="1" ht="13" x14ac:dyDescent="0.15"/>
    <row r="5410" customFormat="1" ht="13" x14ac:dyDescent="0.15"/>
    <row r="5411" customFormat="1" ht="13" x14ac:dyDescent="0.15"/>
    <row r="5412" customFormat="1" ht="13" x14ac:dyDescent="0.15"/>
    <row r="5413" customFormat="1" ht="13" x14ac:dyDescent="0.15"/>
    <row r="5414" customFormat="1" ht="13" x14ac:dyDescent="0.15"/>
    <row r="5415" customFormat="1" ht="13" x14ac:dyDescent="0.15"/>
    <row r="5416" customFormat="1" ht="13" x14ac:dyDescent="0.15"/>
    <row r="5417" customFormat="1" ht="13" x14ac:dyDescent="0.15"/>
    <row r="5418" customFormat="1" ht="13" x14ac:dyDescent="0.15"/>
    <row r="5419" customFormat="1" ht="13" x14ac:dyDescent="0.15"/>
    <row r="5420" customFormat="1" ht="13" x14ac:dyDescent="0.15"/>
    <row r="5421" customFormat="1" ht="13" x14ac:dyDescent="0.15"/>
    <row r="5422" customFormat="1" ht="13" x14ac:dyDescent="0.15"/>
    <row r="5423" customFormat="1" ht="13" x14ac:dyDescent="0.15"/>
    <row r="5424" customFormat="1" ht="13" x14ac:dyDescent="0.15"/>
    <row r="5425" customFormat="1" ht="13" x14ac:dyDescent="0.15"/>
    <row r="5426" customFormat="1" ht="13" x14ac:dyDescent="0.15"/>
    <row r="5427" customFormat="1" ht="13" x14ac:dyDescent="0.15"/>
    <row r="5428" customFormat="1" ht="13" x14ac:dyDescent="0.15"/>
    <row r="5429" customFormat="1" ht="13" x14ac:dyDescent="0.15"/>
    <row r="5430" customFormat="1" ht="13" x14ac:dyDescent="0.15"/>
    <row r="5431" customFormat="1" ht="13" x14ac:dyDescent="0.15"/>
    <row r="5432" customFormat="1" ht="13" x14ac:dyDescent="0.15"/>
    <row r="5433" customFormat="1" ht="13" x14ac:dyDescent="0.15"/>
    <row r="5434" customFormat="1" ht="13" x14ac:dyDescent="0.15"/>
    <row r="5435" customFormat="1" ht="13" x14ac:dyDescent="0.15"/>
    <row r="5436" customFormat="1" ht="13" x14ac:dyDescent="0.15"/>
    <row r="5437" customFormat="1" ht="13" x14ac:dyDescent="0.15"/>
    <row r="5438" customFormat="1" ht="13" x14ac:dyDescent="0.15"/>
    <row r="5439" customFormat="1" ht="13" x14ac:dyDescent="0.15"/>
    <row r="5440" customFormat="1" ht="13" x14ac:dyDescent="0.15"/>
    <row r="5441" customFormat="1" ht="13" x14ac:dyDescent="0.15"/>
    <row r="5442" customFormat="1" ht="13" x14ac:dyDescent="0.15"/>
    <row r="5443" customFormat="1" ht="13" x14ac:dyDescent="0.15"/>
    <row r="5444" customFormat="1" ht="13" x14ac:dyDescent="0.15"/>
    <row r="5445" customFormat="1" ht="13" x14ac:dyDescent="0.15"/>
    <row r="5446" customFormat="1" ht="13" x14ac:dyDescent="0.15"/>
    <row r="5447" customFormat="1" ht="13" x14ac:dyDescent="0.15"/>
    <row r="5448" customFormat="1" ht="13" x14ac:dyDescent="0.15"/>
    <row r="5449" customFormat="1" ht="13" x14ac:dyDescent="0.15"/>
    <row r="5450" customFormat="1" ht="13" x14ac:dyDescent="0.15"/>
    <row r="5451" customFormat="1" ht="13" x14ac:dyDescent="0.15"/>
    <row r="5452" customFormat="1" ht="13" x14ac:dyDescent="0.15"/>
    <row r="5453" customFormat="1" ht="13" x14ac:dyDescent="0.15"/>
    <row r="5454" customFormat="1" ht="13" x14ac:dyDescent="0.15"/>
    <row r="5455" customFormat="1" ht="13" x14ac:dyDescent="0.15"/>
    <row r="5456" customFormat="1" ht="13" x14ac:dyDescent="0.15"/>
    <row r="5457" customFormat="1" ht="13" x14ac:dyDescent="0.15"/>
    <row r="5458" customFormat="1" ht="13" x14ac:dyDescent="0.15"/>
    <row r="5459" customFormat="1" ht="13" x14ac:dyDescent="0.15"/>
    <row r="5460" customFormat="1" ht="13" x14ac:dyDescent="0.15"/>
    <row r="5461" customFormat="1" ht="13" x14ac:dyDescent="0.15"/>
    <row r="5462" customFormat="1" ht="13" x14ac:dyDescent="0.15"/>
    <row r="5463" customFormat="1" ht="13" x14ac:dyDescent="0.15"/>
    <row r="5464" customFormat="1" ht="13" x14ac:dyDescent="0.15"/>
    <row r="5465" customFormat="1" ht="13" x14ac:dyDescent="0.15"/>
    <row r="5466" customFormat="1" ht="13" x14ac:dyDescent="0.15"/>
    <row r="5467" customFormat="1" ht="13" x14ac:dyDescent="0.15"/>
    <row r="5468" customFormat="1" ht="13" x14ac:dyDescent="0.15"/>
    <row r="5469" customFormat="1" ht="13" x14ac:dyDescent="0.15"/>
    <row r="5470" customFormat="1" ht="13" x14ac:dyDescent="0.15"/>
    <row r="5471" customFormat="1" ht="13" x14ac:dyDescent="0.15"/>
    <row r="5472" customFormat="1" ht="13" x14ac:dyDescent="0.15"/>
    <row r="5473" customFormat="1" ht="13" x14ac:dyDescent="0.15"/>
    <row r="5474" customFormat="1" ht="13" x14ac:dyDescent="0.15"/>
    <row r="5475" customFormat="1" ht="13" x14ac:dyDescent="0.15"/>
    <row r="5476" customFormat="1" ht="13" x14ac:dyDescent="0.15"/>
    <row r="5477" customFormat="1" ht="13" x14ac:dyDescent="0.15"/>
    <row r="5478" customFormat="1" ht="13" x14ac:dyDescent="0.15"/>
    <row r="5479" customFormat="1" ht="13" x14ac:dyDescent="0.15"/>
    <row r="5480" customFormat="1" ht="13" x14ac:dyDescent="0.15"/>
    <row r="5481" customFormat="1" ht="13" x14ac:dyDescent="0.15"/>
    <row r="5482" customFormat="1" ht="13" x14ac:dyDescent="0.15"/>
    <row r="5483" customFormat="1" ht="13" x14ac:dyDescent="0.15"/>
    <row r="5484" customFormat="1" ht="13" x14ac:dyDescent="0.15"/>
    <row r="5485" customFormat="1" ht="13" x14ac:dyDescent="0.15"/>
    <row r="5486" customFormat="1" ht="13" x14ac:dyDescent="0.15"/>
    <row r="5487" customFormat="1" ht="13" x14ac:dyDescent="0.15"/>
    <row r="5488" customFormat="1" ht="13" x14ac:dyDescent="0.15"/>
    <row r="5489" customFormat="1" ht="13" x14ac:dyDescent="0.15"/>
    <row r="5490" customFormat="1" ht="13" x14ac:dyDescent="0.15"/>
    <row r="5491" customFormat="1" ht="13" x14ac:dyDescent="0.15"/>
    <row r="5492" customFormat="1" ht="13" x14ac:dyDescent="0.15"/>
    <row r="5493" customFormat="1" ht="13" x14ac:dyDescent="0.15"/>
    <row r="5494" customFormat="1" ht="13" x14ac:dyDescent="0.15"/>
    <row r="5495" customFormat="1" ht="13" x14ac:dyDescent="0.15"/>
    <row r="5496" customFormat="1" ht="13" x14ac:dyDescent="0.15"/>
    <row r="5497" customFormat="1" ht="13" x14ac:dyDescent="0.15"/>
    <row r="5498" customFormat="1" ht="13" x14ac:dyDescent="0.15"/>
    <row r="5499" customFormat="1" ht="13" x14ac:dyDescent="0.15"/>
    <row r="5500" customFormat="1" ht="13" x14ac:dyDescent="0.15"/>
    <row r="5501" customFormat="1" ht="13" x14ac:dyDescent="0.15"/>
    <row r="5502" customFormat="1" ht="13" x14ac:dyDescent="0.15"/>
    <row r="5503" customFormat="1" ht="13" x14ac:dyDescent="0.15"/>
    <row r="5504" customFormat="1" ht="13" x14ac:dyDescent="0.15"/>
    <row r="5505" customFormat="1" ht="13" x14ac:dyDescent="0.15"/>
    <row r="5506" customFormat="1" ht="13" x14ac:dyDescent="0.15"/>
    <row r="5507" customFormat="1" ht="13" x14ac:dyDescent="0.15"/>
    <row r="5508" customFormat="1" ht="13" x14ac:dyDescent="0.15"/>
    <row r="5509" customFormat="1" ht="13" x14ac:dyDescent="0.15"/>
    <row r="5510" customFormat="1" ht="13" x14ac:dyDescent="0.15"/>
    <row r="5511" customFormat="1" ht="13" x14ac:dyDescent="0.15"/>
    <row r="5512" customFormat="1" ht="13" x14ac:dyDescent="0.15"/>
    <row r="5513" customFormat="1" ht="13" x14ac:dyDescent="0.15"/>
    <row r="5514" customFormat="1" ht="13" x14ac:dyDescent="0.15"/>
    <row r="5515" customFormat="1" ht="13" x14ac:dyDescent="0.15"/>
    <row r="5516" customFormat="1" ht="13" x14ac:dyDescent="0.15"/>
    <row r="5517" customFormat="1" ht="13" x14ac:dyDescent="0.15"/>
    <row r="5518" customFormat="1" ht="13" x14ac:dyDescent="0.15"/>
    <row r="5519" customFormat="1" ht="13" x14ac:dyDescent="0.15"/>
    <row r="5520" customFormat="1" ht="13" x14ac:dyDescent="0.15"/>
    <row r="5521" customFormat="1" ht="13" x14ac:dyDescent="0.15"/>
    <row r="5522" customFormat="1" ht="13" x14ac:dyDescent="0.15"/>
    <row r="5523" customFormat="1" ht="13" x14ac:dyDescent="0.15"/>
    <row r="5524" customFormat="1" ht="13" x14ac:dyDescent="0.15"/>
    <row r="5525" customFormat="1" ht="13" x14ac:dyDescent="0.15"/>
    <row r="5526" customFormat="1" ht="13" x14ac:dyDescent="0.15"/>
    <row r="5527" customFormat="1" ht="13" x14ac:dyDescent="0.15"/>
    <row r="5528" customFormat="1" ht="13" x14ac:dyDescent="0.15"/>
    <row r="5529" customFormat="1" ht="13" x14ac:dyDescent="0.15"/>
    <row r="5530" customFormat="1" ht="13" x14ac:dyDescent="0.15"/>
    <row r="5531" customFormat="1" ht="13" x14ac:dyDescent="0.15"/>
    <row r="5532" customFormat="1" ht="13" x14ac:dyDescent="0.15"/>
    <row r="5533" customFormat="1" ht="13" x14ac:dyDescent="0.15"/>
    <row r="5534" customFormat="1" ht="13" x14ac:dyDescent="0.15"/>
    <row r="5535" customFormat="1" ht="13" x14ac:dyDescent="0.15"/>
    <row r="5536" customFormat="1" ht="13" x14ac:dyDescent="0.15"/>
    <row r="5537" customFormat="1" ht="13" x14ac:dyDescent="0.15"/>
    <row r="5538" customFormat="1" ht="13" x14ac:dyDescent="0.15"/>
    <row r="5539" customFormat="1" ht="13" x14ac:dyDescent="0.15"/>
    <row r="5540" customFormat="1" ht="13" x14ac:dyDescent="0.15"/>
    <row r="5541" customFormat="1" ht="13" x14ac:dyDescent="0.15"/>
    <row r="5542" customFormat="1" ht="13" x14ac:dyDescent="0.15"/>
    <row r="5543" customFormat="1" ht="13" x14ac:dyDescent="0.15"/>
    <row r="5544" customFormat="1" ht="13" x14ac:dyDescent="0.15"/>
    <row r="5545" customFormat="1" ht="13" x14ac:dyDescent="0.15"/>
    <row r="5546" customFormat="1" ht="13" x14ac:dyDescent="0.15"/>
    <row r="5547" customFormat="1" ht="13" x14ac:dyDescent="0.15"/>
    <row r="5548" customFormat="1" ht="13" x14ac:dyDescent="0.15"/>
    <row r="5549" customFormat="1" ht="13" x14ac:dyDescent="0.15"/>
    <row r="5550" customFormat="1" ht="13" x14ac:dyDescent="0.15"/>
    <row r="5551" customFormat="1" ht="13" x14ac:dyDescent="0.15"/>
    <row r="5552" customFormat="1" ht="13" x14ac:dyDescent="0.15"/>
    <row r="5553" customFormat="1" ht="13" x14ac:dyDescent="0.15"/>
    <row r="5554" customFormat="1" ht="13" x14ac:dyDescent="0.15"/>
    <row r="5555" customFormat="1" ht="13" x14ac:dyDescent="0.15"/>
    <row r="5556" customFormat="1" ht="13" x14ac:dyDescent="0.15"/>
    <row r="5557" customFormat="1" ht="13" x14ac:dyDescent="0.15"/>
    <row r="5558" customFormat="1" ht="13" x14ac:dyDescent="0.15"/>
    <row r="5559" customFormat="1" ht="13" x14ac:dyDescent="0.15"/>
    <row r="5560" customFormat="1" ht="13" x14ac:dyDescent="0.15"/>
    <row r="5561" customFormat="1" ht="13" x14ac:dyDescent="0.15"/>
    <row r="5562" customFormat="1" ht="13" x14ac:dyDescent="0.15"/>
    <row r="5563" customFormat="1" ht="13" x14ac:dyDescent="0.15"/>
    <row r="5564" customFormat="1" ht="13" x14ac:dyDescent="0.15"/>
    <row r="5565" customFormat="1" ht="13" x14ac:dyDescent="0.15"/>
    <row r="5566" customFormat="1" ht="13" x14ac:dyDescent="0.15"/>
    <row r="5567" customFormat="1" ht="13" x14ac:dyDescent="0.15"/>
    <row r="5568" customFormat="1" ht="13" x14ac:dyDescent="0.15"/>
    <row r="5569" customFormat="1" ht="13" x14ac:dyDescent="0.15"/>
    <row r="5570" customFormat="1" ht="13" x14ac:dyDescent="0.15"/>
    <row r="5571" customFormat="1" ht="13" x14ac:dyDescent="0.15"/>
    <row r="5572" customFormat="1" ht="13" x14ac:dyDescent="0.15"/>
    <row r="5573" customFormat="1" ht="13" x14ac:dyDescent="0.15"/>
    <row r="5574" customFormat="1" ht="13" x14ac:dyDescent="0.15"/>
    <row r="5575" customFormat="1" ht="13" x14ac:dyDescent="0.15"/>
    <row r="5576" customFormat="1" ht="13" x14ac:dyDescent="0.15"/>
    <row r="5577" customFormat="1" ht="13" x14ac:dyDescent="0.15"/>
    <row r="5578" customFormat="1" ht="13" x14ac:dyDescent="0.15"/>
    <row r="5579" customFormat="1" ht="13" x14ac:dyDescent="0.15"/>
    <row r="5580" customFormat="1" ht="13" x14ac:dyDescent="0.15"/>
    <row r="5581" customFormat="1" ht="13" x14ac:dyDescent="0.15"/>
    <row r="5582" customFormat="1" ht="13" x14ac:dyDescent="0.15"/>
    <row r="5583" customFormat="1" ht="13" x14ac:dyDescent="0.15"/>
    <row r="5584" customFormat="1" ht="13" x14ac:dyDescent="0.15"/>
    <row r="5585" customFormat="1" ht="13" x14ac:dyDescent="0.15"/>
    <row r="5586" customFormat="1" ht="13" x14ac:dyDescent="0.15"/>
    <row r="5587" customFormat="1" ht="13" x14ac:dyDescent="0.15"/>
    <row r="5588" customFormat="1" ht="13" x14ac:dyDescent="0.15"/>
    <row r="5589" customFormat="1" ht="13" x14ac:dyDescent="0.15"/>
    <row r="5590" customFormat="1" ht="13" x14ac:dyDescent="0.15"/>
    <row r="5591" customFormat="1" ht="13" x14ac:dyDescent="0.15"/>
    <row r="5592" customFormat="1" ht="13" x14ac:dyDescent="0.15"/>
    <row r="5593" customFormat="1" ht="13" x14ac:dyDescent="0.15"/>
    <row r="5594" customFormat="1" ht="13" x14ac:dyDescent="0.15"/>
    <row r="5595" customFormat="1" ht="13" x14ac:dyDescent="0.15"/>
    <row r="5596" customFormat="1" ht="13" x14ac:dyDescent="0.15"/>
    <row r="5597" customFormat="1" ht="13" x14ac:dyDescent="0.15"/>
    <row r="5598" customFormat="1" ht="13" x14ac:dyDescent="0.15"/>
    <row r="5599" customFormat="1" ht="13" x14ac:dyDescent="0.15"/>
    <row r="5600" customFormat="1" ht="13" x14ac:dyDescent="0.15"/>
    <row r="5601" customFormat="1" ht="13" x14ac:dyDescent="0.15"/>
    <row r="5602" customFormat="1" ht="13" x14ac:dyDescent="0.15"/>
    <row r="5603" customFormat="1" ht="13" x14ac:dyDescent="0.15"/>
    <row r="5604" customFormat="1" ht="13" x14ac:dyDescent="0.15"/>
    <row r="5605" customFormat="1" ht="13" x14ac:dyDescent="0.15"/>
    <row r="5606" customFormat="1" ht="13" x14ac:dyDescent="0.15"/>
    <row r="5607" customFormat="1" ht="13" x14ac:dyDescent="0.15"/>
    <row r="5608" customFormat="1" ht="13" x14ac:dyDescent="0.15"/>
    <row r="5609" customFormat="1" ht="13" x14ac:dyDescent="0.15"/>
    <row r="5610" customFormat="1" ht="13" x14ac:dyDescent="0.15"/>
    <row r="5611" customFormat="1" ht="13" x14ac:dyDescent="0.15"/>
    <row r="5612" customFormat="1" ht="13" x14ac:dyDescent="0.15"/>
    <row r="5613" customFormat="1" ht="13" x14ac:dyDescent="0.15"/>
    <row r="5614" customFormat="1" ht="13" x14ac:dyDescent="0.15"/>
    <row r="5615" customFormat="1" ht="13" x14ac:dyDescent="0.15"/>
    <row r="5616" customFormat="1" ht="13" x14ac:dyDescent="0.15"/>
    <row r="5617" customFormat="1" ht="13" x14ac:dyDescent="0.15"/>
    <row r="5618" customFormat="1" ht="13" x14ac:dyDescent="0.15"/>
    <row r="5619" customFormat="1" ht="13" x14ac:dyDescent="0.15"/>
    <row r="5620" customFormat="1" ht="13" x14ac:dyDescent="0.15"/>
    <row r="5621" customFormat="1" ht="13" x14ac:dyDescent="0.15"/>
    <row r="5622" customFormat="1" ht="13" x14ac:dyDescent="0.15"/>
    <row r="5623" customFormat="1" ht="13" x14ac:dyDescent="0.15"/>
    <row r="5624" customFormat="1" ht="13" x14ac:dyDescent="0.15"/>
    <row r="5625" customFormat="1" ht="13" x14ac:dyDescent="0.15"/>
    <row r="5626" customFormat="1" ht="13" x14ac:dyDescent="0.15"/>
    <row r="5627" customFormat="1" ht="13" x14ac:dyDescent="0.15"/>
    <row r="5628" customFormat="1" ht="13" x14ac:dyDescent="0.15"/>
    <row r="5629" customFormat="1" ht="13" x14ac:dyDescent="0.15"/>
    <row r="5630" customFormat="1" ht="13" x14ac:dyDescent="0.15"/>
    <row r="5631" customFormat="1" ht="13" x14ac:dyDescent="0.15"/>
    <row r="5632" customFormat="1" ht="13" x14ac:dyDescent="0.15"/>
    <row r="5633" customFormat="1" ht="13" x14ac:dyDescent="0.15"/>
    <row r="5634" customFormat="1" ht="13" x14ac:dyDescent="0.15"/>
    <row r="5635" customFormat="1" ht="13" x14ac:dyDescent="0.15"/>
    <row r="5636" customFormat="1" ht="13" x14ac:dyDescent="0.15"/>
    <row r="5637" customFormat="1" ht="13" x14ac:dyDescent="0.15"/>
    <row r="5638" customFormat="1" ht="13" x14ac:dyDescent="0.15"/>
    <row r="5639" customFormat="1" ht="13" x14ac:dyDescent="0.15"/>
    <row r="5640" customFormat="1" ht="13" x14ac:dyDescent="0.15"/>
    <row r="5641" customFormat="1" ht="13" x14ac:dyDescent="0.15"/>
    <row r="5642" customFormat="1" ht="13" x14ac:dyDescent="0.15"/>
    <row r="5643" customFormat="1" ht="13" x14ac:dyDescent="0.15"/>
    <row r="5644" customFormat="1" ht="13" x14ac:dyDescent="0.15"/>
    <row r="5645" customFormat="1" ht="13" x14ac:dyDescent="0.15"/>
    <row r="5646" customFormat="1" ht="13" x14ac:dyDescent="0.15"/>
    <row r="5647" customFormat="1" ht="13" x14ac:dyDescent="0.15"/>
    <row r="5648" customFormat="1" ht="13" x14ac:dyDescent="0.15"/>
    <row r="5649" customFormat="1" ht="13" x14ac:dyDescent="0.15"/>
    <row r="5650" customFormat="1" ht="13" x14ac:dyDescent="0.15"/>
    <row r="5651" customFormat="1" ht="13" x14ac:dyDescent="0.15"/>
    <row r="5652" customFormat="1" ht="13" x14ac:dyDescent="0.15"/>
    <row r="5653" customFormat="1" ht="13" x14ac:dyDescent="0.15"/>
    <row r="5654" customFormat="1" ht="13" x14ac:dyDescent="0.15"/>
    <row r="5655" customFormat="1" ht="13" x14ac:dyDescent="0.15"/>
    <row r="5656" customFormat="1" ht="13" x14ac:dyDescent="0.15"/>
    <row r="5657" customFormat="1" ht="13" x14ac:dyDescent="0.15"/>
    <row r="5658" customFormat="1" ht="13" x14ac:dyDescent="0.15"/>
    <row r="5659" customFormat="1" ht="13" x14ac:dyDescent="0.15"/>
    <row r="5660" customFormat="1" ht="13" x14ac:dyDescent="0.15"/>
    <row r="5661" customFormat="1" ht="13" x14ac:dyDescent="0.15"/>
    <row r="5662" customFormat="1" ht="13" x14ac:dyDescent="0.15"/>
    <row r="5663" customFormat="1" ht="13" x14ac:dyDescent="0.15"/>
    <row r="5664" customFormat="1" ht="13" x14ac:dyDescent="0.15"/>
    <row r="5665" customFormat="1" ht="13" x14ac:dyDescent="0.15"/>
    <row r="5666" customFormat="1" ht="13" x14ac:dyDescent="0.15"/>
    <row r="5667" customFormat="1" ht="13" x14ac:dyDescent="0.15"/>
    <row r="5668" customFormat="1" ht="13" x14ac:dyDescent="0.15"/>
    <row r="5669" customFormat="1" ht="13" x14ac:dyDescent="0.15"/>
    <row r="5670" customFormat="1" ht="13" x14ac:dyDescent="0.15"/>
    <row r="5671" customFormat="1" ht="13" x14ac:dyDescent="0.15"/>
    <row r="5672" customFormat="1" ht="13" x14ac:dyDescent="0.15"/>
    <row r="5673" customFormat="1" ht="13" x14ac:dyDescent="0.15"/>
    <row r="5674" customFormat="1" ht="13" x14ac:dyDescent="0.15"/>
    <row r="5675" customFormat="1" ht="13" x14ac:dyDescent="0.15"/>
    <row r="5676" customFormat="1" ht="13" x14ac:dyDescent="0.15"/>
    <row r="5677" customFormat="1" ht="13" x14ac:dyDescent="0.15"/>
    <row r="5678" customFormat="1" ht="13" x14ac:dyDescent="0.15"/>
    <row r="5679" customFormat="1" ht="13" x14ac:dyDescent="0.15"/>
    <row r="5680" customFormat="1" ht="13" x14ac:dyDescent="0.15"/>
    <row r="5681" customFormat="1" ht="13" x14ac:dyDescent="0.15"/>
    <row r="5682" customFormat="1" ht="13" x14ac:dyDescent="0.15"/>
    <row r="5683" customFormat="1" ht="13" x14ac:dyDescent="0.15"/>
    <row r="5684" customFormat="1" ht="13" x14ac:dyDescent="0.15"/>
    <row r="5685" customFormat="1" ht="13" x14ac:dyDescent="0.15"/>
    <row r="5686" customFormat="1" ht="13" x14ac:dyDescent="0.15"/>
    <row r="5687" customFormat="1" ht="13" x14ac:dyDescent="0.15"/>
    <row r="5688" customFormat="1" ht="13" x14ac:dyDescent="0.15"/>
    <row r="5689" customFormat="1" ht="13" x14ac:dyDescent="0.15"/>
    <row r="5690" customFormat="1" ht="13" x14ac:dyDescent="0.15"/>
    <row r="5691" customFormat="1" ht="13" x14ac:dyDescent="0.15"/>
    <row r="5692" customFormat="1" ht="13" x14ac:dyDescent="0.15"/>
    <row r="5693" customFormat="1" ht="13" x14ac:dyDescent="0.15"/>
    <row r="5694" customFormat="1" ht="13" x14ac:dyDescent="0.15"/>
    <row r="5695" customFormat="1" ht="13" x14ac:dyDescent="0.15"/>
    <row r="5696" customFormat="1" ht="13" x14ac:dyDescent="0.15"/>
    <row r="5697" customFormat="1" ht="13" x14ac:dyDescent="0.15"/>
    <row r="5698" customFormat="1" ht="13" x14ac:dyDescent="0.15"/>
    <row r="5699" customFormat="1" ht="13" x14ac:dyDescent="0.15"/>
    <row r="5700" customFormat="1" ht="13" x14ac:dyDescent="0.15"/>
    <row r="5701" customFormat="1" ht="13" x14ac:dyDescent="0.15"/>
    <row r="5702" customFormat="1" ht="13" x14ac:dyDescent="0.15"/>
    <row r="5703" customFormat="1" ht="13" x14ac:dyDescent="0.15"/>
    <row r="5704" customFormat="1" ht="13" x14ac:dyDescent="0.15"/>
    <row r="5705" customFormat="1" ht="13" x14ac:dyDescent="0.15"/>
    <row r="5706" customFormat="1" ht="13" x14ac:dyDescent="0.15"/>
    <row r="5707" customFormat="1" ht="13" x14ac:dyDescent="0.15"/>
    <row r="5708" customFormat="1" ht="13" x14ac:dyDescent="0.15"/>
    <row r="5709" customFormat="1" ht="13" x14ac:dyDescent="0.15"/>
    <row r="5710" customFormat="1" ht="13" x14ac:dyDescent="0.15"/>
    <row r="5711" customFormat="1" ht="13" x14ac:dyDescent="0.15"/>
    <row r="5712" customFormat="1" ht="13" x14ac:dyDescent="0.15"/>
    <row r="5713" customFormat="1" ht="13" x14ac:dyDescent="0.15"/>
    <row r="5714" customFormat="1" ht="13" x14ac:dyDescent="0.15"/>
    <row r="5715" customFormat="1" ht="13" x14ac:dyDescent="0.15"/>
    <row r="5716" customFormat="1" ht="13" x14ac:dyDescent="0.15"/>
    <row r="5717" customFormat="1" ht="13" x14ac:dyDescent="0.15"/>
    <row r="5718" customFormat="1" ht="13" x14ac:dyDescent="0.15"/>
    <row r="5719" customFormat="1" ht="13" x14ac:dyDescent="0.15"/>
    <row r="5720" customFormat="1" ht="13" x14ac:dyDescent="0.15"/>
    <row r="5721" customFormat="1" ht="13" x14ac:dyDescent="0.15"/>
    <row r="5722" customFormat="1" ht="13" x14ac:dyDescent="0.15"/>
    <row r="5723" customFormat="1" ht="13" x14ac:dyDescent="0.15"/>
    <row r="5724" customFormat="1" ht="13" x14ac:dyDescent="0.15"/>
    <row r="5725" customFormat="1" ht="13" x14ac:dyDescent="0.15"/>
    <row r="5726" customFormat="1" ht="13" x14ac:dyDescent="0.15"/>
    <row r="5727" customFormat="1" ht="13" x14ac:dyDescent="0.15"/>
    <row r="5728" customFormat="1" ht="13" x14ac:dyDescent="0.15"/>
    <row r="5729" customFormat="1" ht="13" x14ac:dyDescent="0.15"/>
    <row r="5730" customFormat="1" ht="13" x14ac:dyDescent="0.15"/>
    <row r="5731" customFormat="1" ht="13" x14ac:dyDescent="0.15"/>
    <row r="5732" customFormat="1" ht="13" x14ac:dyDescent="0.15"/>
    <row r="5733" customFormat="1" ht="13" x14ac:dyDescent="0.15"/>
    <row r="5734" customFormat="1" ht="13" x14ac:dyDescent="0.15"/>
    <row r="5735" customFormat="1" ht="13" x14ac:dyDescent="0.15"/>
    <row r="5736" customFormat="1" ht="13" x14ac:dyDescent="0.15"/>
    <row r="5737" customFormat="1" ht="13" x14ac:dyDescent="0.15"/>
    <row r="5738" customFormat="1" ht="13" x14ac:dyDescent="0.15"/>
    <row r="5739" customFormat="1" ht="13" x14ac:dyDescent="0.15"/>
    <row r="5740" customFormat="1" ht="13" x14ac:dyDescent="0.15"/>
    <row r="5741" customFormat="1" ht="13" x14ac:dyDescent="0.15"/>
    <row r="5742" customFormat="1" ht="13" x14ac:dyDescent="0.15"/>
    <row r="5743" customFormat="1" ht="13" x14ac:dyDescent="0.15"/>
    <row r="5744" customFormat="1" ht="13" x14ac:dyDescent="0.15"/>
    <row r="5745" customFormat="1" ht="13" x14ac:dyDescent="0.15"/>
    <row r="5746" customFormat="1" ht="13" x14ac:dyDescent="0.15"/>
    <row r="5747" customFormat="1" ht="13" x14ac:dyDescent="0.15"/>
    <row r="5748" customFormat="1" ht="13" x14ac:dyDescent="0.15"/>
    <row r="5749" customFormat="1" ht="13" x14ac:dyDescent="0.15"/>
    <row r="5750" customFormat="1" ht="13" x14ac:dyDescent="0.15"/>
    <row r="5751" customFormat="1" ht="13" x14ac:dyDescent="0.15"/>
    <row r="5752" customFormat="1" ht="13" x14ac:dyDescent="0.15"/>
    <row r="5753" customFormat="1" ht="13" x14ac:dyDescent="0.15"/>
    <row r="5754" customFormat="1" ht="13" x14ac:dyDescent="0.15"/>
    <row r="5755" customFormat="1" ht="13" x14ac:dyDescent="0.15"/>
    <row r="5756" customFormat="1" ht="13" x14ac:dyDescent="0.15"/>
    <row r="5757" customFormat="1" ht="13" x14ac:dyDescent="0.15"/>
    <row r="5758" customFormat="1" ht="13" x14ac:dyDescent="0.15"/>
    <row r="5759" customFormat="1" ht="13" x14ac:dyDescent="0.15"/>
    <row r="5760" customFormat="1" ht="13" x14ac:dyDescent="0.15"/>
    <row r="5761" customFormat="1" ht="13" x14ac:dyDescent="0.15"/>
    <row r="5762" customFormat="1" ht="13" x14ac:dyDescent="0.15"/>
    <row r="5763" customFormat="1" ht="13" x14ac:dyDescent="0.15"/>
    <row r="5764" customFormat="1" ht="13" x14ac:dyDescent="0.15"/>
    <row r="5765" customFormat="1" ht="13" x14ac:dyDescent="0.15"/>
    <row r="5766" customFormat="1" ht="13" x14ac:dyDescent="0.15"/>
    <row r="5767" customFormat="1" ht="13" x14ac:dyDescent="0.15"/>
    <row r="5768" customFormat="1" ht="13" x14ac:dyDescent="0.15"/>
    <row r="5769" customFormat="1" ht="13" x14ac:dyDescent="0.15"/>
    <row r="5770" customFormat="1" ht="13" x14ac:dyDescent="0.15"/>
    <row r="5771" customFormat="1" ht="13" x14ac:dyDescent="0.15"/>
    <row r="5772" customFormat="1" ht="13" x14ac:dyDescent="0.15"/>
    <row r="5773" customFormat="1" ht="13" x14ac:dyDescent="0.15"/>
    <row r="5774" customFormat="1" ht="13" x14ac:dyDescent="0.15"/>
    <row r="5775" customFormat="1" ht="13" x14ac:dyDescent="0.15"/>
    <row r="5776" customFormat="1" ht="13" x14ac:dyDescent="0.15"/>
    <row r="5777" customFormat="1" ht="13" x14ac:dyDescent="0.15"/>
    <row r="5778" customFormat="1" ht="13" x14ac:dyDescent="0.15"/>
    <row r="5779" customFormat="1" ht="13" x14ac:dyDescent="0.15"/>
    <row r="5780" customFormat="1" ht="13" x14ac:dyDescent="0.15"/>
    <row r="5781" customFormat="1" ht="13" x14ac:dyDescent="0.15"/>
    <row r="5782" customFormat="1" ht="13" x14ac:dyDescent="0.15"/>
    <row r="5783" customFormat="1" ht="13" x14ac:dyDescent="0.15"/>
    <row r="5784" customFormat="1" ht="13" x14ac:dyDescent="0.15"/>
    <row r="5785" customFormat="1" ht="13" x14ac:dyDescent="0.15"/>
    <row r="5786" customFormat="1" ht="13" x14ac:dyDescent="0.15"/>
    <row r="5787" customFormat="1" ht="13" x14ac:dyDescent="0.15"/>
    <row r="5788" customFormat="1" ht="13" x14ac:dyDescent="0.15"/>
    <row r="5789" customFormat="1" ht="13" x14ac:dyDescent="0.15"/>
    <row r="5790" customFormat="1" ht="13" x14ac:dyDescent="0.15"/>
    <row r="5791" customFormat="1" ht="13" x14ac:dyDescent="0.15"/>
    <row r="5792" customFormat="1" ht="13" x14ac:dyDescent="0.15"/>
    <row r="5793" customFormat="1" ht="13" x14ac:dyDescent="0.15"/>
    <row r="5794" customFormat="1" ht="13" x14ac:dyDescent="0.15"/>
    <row r="5795" customFormat="1" ht="13" x14ac:dyDescent="0.15"/>
    <row r="5796" customFormat="1" ht="13" x14ac:dyDescent="0.15"/>
    <row r="5797" customFormat="1" ht="13" x14ac:dyDescent="0.15"/>
    <row r="5798" customFormat="1" ht="13" x14ac:dyDescent="0.15"/>
    <row r="5799" customFormat="1" ht="13" x14ac:dyDescent="0.15"/>
    <row r="5800" customFormat="1" ht="13" x14ac:dyDescent="0.15"/>
    <row r="5801" customFormat="1" ht="13" x14ac:dyDescent="0.15"/>
    <row r="5802" customFormat="1" ht="13" x14ac:dyDescent="0.15"/>
    <row r="5803" customFormat="1" ht="13" x14ac:dyDescent="0.15"/>
    <row r="5804" customFormat="1" ht="13" x14ac:dyDescent="0.15"/>
    <row r="5805" customFormat="1" ht="13" x14ac:dyDescent="0.15"/>
    <row r="5806" customFormat="1" ht="13" x14ac:dyDescent="0.15"/>
    <row r="5807" customFormat="1" ht="13" x14ac:dyDescent="0.15"/>
    <row r="5808" customFormat="1" ht="13" x14ac:dyDescent="0.15"/>
    <row r="5809" customFormat="1" ht="13" x14ac:dyDescent="0.15"/>
    <row r="5810" customFormat="1" ht="13" x14ac:dyDescent="0.15"/>
    <row r="5811" customFormat="1" ht="13" x14ac:dyDescent="0.15"/>
    <row r="5812" customFormat="1" ht="13" x14ac:dyDescent="0.15"/>
    <row r="5813" customFormat="1" ht="13" x14ac:dyDescent="0.15"/>
    <row r="5814" customFormat="1" ht="13" x14ac:dyDescent="0.15"/>
    <row r="5815" customFormat="1" ht="13" x14ac:dyDescent="0.15"/>
    <row r="5816" customFormat="1" ht="13" x14ac:dyDescent="0.15"/>
    <row r="5817" customFormat="1" ht="13" x14ac:dyDescent="0.15"/>
    <row r="5818" customFormat="1" ht="13" x14ac:dyDescent="0.15"/>
    <row r="5819" customFormat="1" ht="13" x14ac:dyDescent="0.15"/>
    <row r="5820" customFormat="1" ht="13" x14ac:dyDescent="0.15"/>
    <row r="5821" customFormat="1" ht="13" x14ac:dyDescent="0.15"/>
    <row r="5822" customFormat="1" ht="13" x14ac:dyDescent="0.15"/>
    <row r="5823" customFormat="1" ht="13" x14ac:dyDescent="0.15"/>
    <row r="5824" customFormat="1" ht="13" x14ac:dyDescent="0.15"/>
    <row r="5825" customFormat="1" ht="13" x14ac:dyDescent="0.15"/>
    <row r="5826" customFormat="1" ht="13" x14ac:dyDescent="0.15"/>
    <row r="5827" customFormat="1" ht="13" x14ac:dyDescent="0.15"/>
    <row r="5828" customFormat="1" ht="13" x14ac:dyDescent="0.15"/>
    <row r="5829" customFormat="1" ht="13" x14ac:dyDescent="0.15"/>
    <row r="5830" customFormat="1" ht="13" x14ac:dyDescent="0.15"/>
    <row r="5831" customFormat="1" ht="13" x14ac:dyDescent="0.15"/>
    <row r="5832" customFormat="1" ht="13" x14ac:dyDescent="0.15"/>
    <row r="5833" customFormat="1" ht="13" x14ac:dyDescent="0.15"/>
    <row r="5834" customFormat="1" ht="13" x14ac:dyDescent="0.15"/>
    <row r="5835" customFormat="1" ht="13" x14ac:dyDescent="0.15"/>
    <row r="5836" customFormat="1" ht="13" x14ac:dyDescent="0.15"/>
    <row r="5837" customFormat="1" ht="13" x14ac:dyDescent="0.15"/>
    <row r="5838" customFormat="1" ht="13" x14ac:dyDescent="0.15"/>
    <row r="5839" customFormat="1" ht="13" x14ac:dyDescent="0.15"/>
    <row r="5840" customFormat="1" ht="13" x14ac:dyDescent="0.15"/>
    <row r="5841" customFormat="1" ht="13" x14ac:dyDescent="0.15"/>
    <row r="5842" customFormat="1" ht="13" x14ac:dyDescent="0.15"/>
    <row r="5843" customFormat="1" ht="13" x14ac:dyDescent="0.15"/>
    <row r="5844" customFormat="1" ht="13" x14ac:dyDescent="0.15"/>
    <row r="5845" customFormat="1" ht="13" x14ac:dyDescent="0.15"/>
    <row r="5846" customFormat="1" ht="13" x14ac:dyDescent="0.15"/>
    <row r="5847" customFormat="1" ht="13" x14ac:dyDescent="0.15"/>
    <row r="5848" customFormat="1" ht="13" x14ac:dyDescent="0.15"/>
    <row r="5849" customFormat="1" ht="13" x14ac:dyDescent="0.15"/>
    <row r="5850" customFormat="1" ht="13" x14ac:dyDescent="0.15"/>
    <row r="5851" customFormat="1" ht="13" x14ac:dyDescent="0.15"/>
    <row r="5852" customFormat="1" ht="13" x14ac:dyDescent="0.15"/>
    <row r="5853" customFormat="1" ht="13" x14ac:dyDescent="0.15"/>
    <row r="5854" customFormat="1" ht="13" x14ac:dyDescent="0.15"/>
    <row r="5855" customFormat="1" ht="13" x14ac:dyDescent="0.15"/>
    <row r="5856" customFormat="1" ht="13" x14ac:dyDescent="0.15"/>
    <row r="5857" customFormat="1" ht="13" x14ac:dyDescent="0.15"/>
    <row r="5858" customFormat="1" ht="13" x14ac:dyDescent="0.15"/>
    <row r="5859" customFormat="1" ht="13" x14ac:dyDescent="0.15"/>
    <row r="5860" customFormat="1" ht="13" x14ac:dyDescent="0.15"/>
    <row r="5861" customFormat="1" ht="13" x14ac:dyDescent="0.15"/>
    <row r="5862" customFormat="1" ht="13" x14ac:dyDescent="0.15"/>
    <row r="5863" customFormat="1" ht="13" x14ac:dyDescent="0.15"/>
    <row r="5864" customFormat="1" ht="13" x14ac:dyDescent="0.15"/>
    <row r="5865" customFormat="1" ht="13" x14ac:dyDescent="0.15"/>
    <row r="5866" customFormat="1" ht="13" x14ac:dyDescent="0.15"/>
    <row r="5867" customFormat="1" ht="13" x14ac:dyDescent="0.15"/>
    <row r="5868" customFormat="1" ht="13" x14ac:dyDescent="0.15"/>
    <row r="5869" customFormat="1" ht="13" x14ac:dyDescent="0.15"/>
    <row r="5870" customFormat="1" ht="13" x14ac:dyDescent="0.15"/>
    <row r="5871" customFormat="1" ht="13" x14ac:dyDescent="0.15"/>
    <row r="5872" customFormat="1" ht="13" x14ac:dyDescent="0.15"/>
    <row r="5873" customFormat="1" ht="13" x14ac:dyDescent="0.15"/>
    <row r="5874" customFormat="1" ht="13" x14ac:dyDescent="0.15"/>
    <row r="5875" customFormat="1" ht="13" x14ac:dyDescent="0.15"/>
    <row r="5876" customFormat="1" ht="13" x14ac:dyDescent="0.15"/>
    <row r="5877" customFormat="1" ht="13" x14ac:dyDescent="0.15"/>
    <row r="5878" customFormat="1" ht="13" x14ac:dyDescent="0.15"/>
    <row r="5879" customFormat="1" ht="13" x14ac:dyDescent="0.15"/>
    <row r="5880" customFormat="1" ht="13" x14ac:dyDescent="0.15"/>
    <row r="5881" customFormat="1" ht="13" x14ac:dyDescent="0.15"/>
    <row r="5882" customFormat="1" ht="13" x14ac:dyDescent="0.15"/>
    <row r="5883" customFormat="1" ht="13" x14ac:dyDescent="0.15"/>
    <row r="5884" customFormat="1" ht="13" x14ac:dyDescent="0.15"/>
    <row r="5885" customFormat="1" ht="13" x14ac:dyDescent="0.15"/>
    <row r="5886" customFormat="1" ht="13" x14ac:dyDescent="0.15"/>
    <row r="5887" customFormat="1" ht="13" x14ac:dyDescent="0.15"/>
    <row r="5888" customFormat="1" ht="13" x14ac:dyDescent="0.15"/>
    <row r="5889" customFormat="1" ht="13" x14ac:dyDescent="0.15"/>
    <row r="5890" customFormat="1" ht="13" x14ac:dyDescent="0.15"/>
    <row r="5891" customFormat="1" ht="13" x14ac:dyDescent="0.15"/>
    <row r="5892" customFormat="1" ht="13" x14ac:dyDescent="0.15"/>
    <row r="5893" customFormat="1" ht="13" x14ac:dyDescent="0.15"/>
    <row r="5894" customFormat="1" ht="13" x14ac:dyDescent="0.15"/>
    <row r="5895" customFormat="1" ht="13" x14ac:dyDescent="0.15"/>
    <row r="5896" customFormat="1" ht="13" x14ac:dyDescent="0.15"/>
    <row r="5897" customFormat="1" ht="13" x14ac:dyDescent="0.15"/>
    <row r="5898" customFormat="1" ht="13" x14ac:dyDescent="0.15"/>
    <row r="5899" customFormat="1" ht="13" x14ac:dyDescent="0.15"/>
    <row r="5900" customFormat="1" ht="13" x14ac:dyDescent="0.15"/>
    <row r="5901" customFormat="1" ht="13" x14ac:dyDescent="0.15"/>
    <row r="5902" customFormat="1" ht="13" x14ac:dyDescent="0.15"/>
    <row r="5903" customFormat="1" ht="13" x14ac:dyDescent="0.15"/>
    <row r="5904" customFormat="1" ht="13" x14ac:dyDescent="0.15"/>
    <row r="5905" customFormat="1" ht="13" x14ac:dyDescent="0.15"/>
    <row r="5906" customFormat="1" ht="13" x14ac:dyDescent="0.15"/>
    <row r="5907" customFormat="1" ht="13" x14ac:dyDescent="0.15"/>
    <row r="5908" customFormat="1" ht="13" x14ac:dyDescent="0.15"/>
    <row r="5909" customFormat="1" ht="13" x14ac:dyDescent="0.15"/>
    <row r="5910" customFormat="1" ht="13" x14ac:dyDescent="0.15"/>
    <row r="5911" customFormat="1" ht="13" x14ac:dyDescent="0.15"/>
    <row r="5912" customFormat="1" ht="13" x14ac:dyDescent="0.15"/>
    <row r="5913" customFormat="1" ht="13" x14ac:dyDescent="0.15"/>
    <row r="5914" customFormat="1" ht="13" x14ac:dyDescent="0.15"/>
    <row r="5915" customFormat="1" ht="13" x14ac:dyDescent="0.15"/>
    <row r="5916" customFormat="1" ht="13" x14ac:dyDescent="0.15"/>
    <row r="5917" customFormat="1" ht="13" x14ac:dyDescent="0.15"/>
    <row r="5918" customFormat="1" ht="13" x14ac:dyDescent="0.15"/>
    <row r="5919" customFormat="1" ht="13" x14ac:dyDescent="0.15"/>
    <row r="5920" customFormat="1" ht="13" x14ac:dyDescent="0.15"/>
    <row r="5921" customFormat="1" ht="13" x14ac:dyDescent="0.15"/>
    <row r="5922" customFormat="1" ht="13" x14ac:dyDescent="0.15"/>
    <row r="5923" customFormat="1" ht="13" x14ac:dyDescent="0.15"/>
    <row r="5924" customFormat="1" ht="13" x14ac:dyDescent="0.15"/>
    <row r="5925" customFormat="1" ht="13" x14ac:dyDescent="0.15"/>
    <row r="5926" customFormat="1" ht="13" x14ac:dyDescent="0.15"/>
    <row r="5927" customFormat="1" ht="13" x14ac:dyDescent="0.15"/>
    <row r="5928" customFormat="1" ht="13" x14ac:dyDescent="0.15"/>
    <row r="5929" customFormat="1" ht="13" x14ac:dyDescent="0.15"/>
    <row r="5930" customFormat="1" ht="13" x14ac:dyDescent="0.15"/>
    <row r="5931" customFormat="1" ht="13" x14ac:dyDescent="0.15"/>
    <row r="5932" customFormat="1" ht="13" x14ac:dyDescent="0.15"/>
    <row r="5933" customFormat="1" ht="13" x14ac:dyDescent="0.15"/>
    <row r="5934" customFormat="1" ht="13" x14ac:dyDescent="0.15"/>
    <row r="5935" customFormat="1" ht="13" x14ac:dyDescent="0.15"/>
    <row r="5936" customFormat="1" ht="13" x14ac:dyDescent="0.15"/>
    <row r="5937" customFormat="1" ht="13" x14ac:dyDescent="0.15"/>
    <row r="5938" customFormat="1" ht="13" x14ac:dyDescent="0.15"/>
    <row r="5939" customFormat="1" ht="13" x14ac:dyDescent="0.15"/>
    <row r="5940" customFormat="1" ht="13" x14ac:dyDescent="0.15"/>
    <row r="5941" customFormat="1" ht="13" x14ac:dyDescent="0.15"/>
    <row r="5942" customFormat="1" ht="13" x14ac:dyDescent="0.15"/>
    <row r="5943" customFormat="1" ht="13" x14ac:dyDescent="0.15"/>
    <row r="5944" customFormat="1" ht="13" x14ac:dyDescent="0.15"/>
    <row r="5945" customFormat="1" ht="13" x14ac:dyDescent="0.15"/>
    <row r="5946" customFormat="1" ht="13" x14ac:dyDescent="0.15"/>
    <row r="5947" customFormat="1" ht="13" x14ac:dyDescent="0.15"/>
    <row r="5948" customFormat="1" ht="13" x14ac:dyDescent="0.15"/>
    <row r="5949" customFormat="1" ht="13" x14ac:dyDescent="0.15"/>
    <row r="5950" customFormat="1" ht="13" x14ac:dyDescent="0.15"/>
    <row r="5951" customFormat="1" ht="13" x14ac:dyDescent="0.15"/>
    <row r="5952" customFormat="1" ht="13" x14ac:dyDescent="0.15"/>
    <row r="5953" customFormat="1" ht="13" x14ac:dyDescent="0.15"/>
    <row r="5954" customFormat="1" ht="13" x14ac:dyDescent="0.15"/>
    <row r="5955" customFormat="1" ht="13" x14ac:dyDescent="0.15"/>
    <row r="5956" customFormat="1" ht="13" x14ac:dyDescent="0.15"/>
    <row r="5957" customFormat="1" ht="13" x14ac:dyDescent="0.15"/>
    <row r="5958" customFormat="1" ht="13" x14ac:dyDescent="0.15"/>
    <row r="5959" customFormat="1" ht="13" x14ac:dyDescent="0.15"/>
    <row r="5960" customFormat="1" ht="13" x14ac:dyDescent="0.15"/>
    <row r="5961" customFormat="1" ht="13" x14ac:dyDescent="0.15"/>
    <row r="5962" customFormat="1" ht="13" x14ac:dyDescent="0.15"/>
    <row r="5963" customFormat="1" ht="13" x14ac:dyDescent="0.15"/>
    <row r="5964" customFormat="1" ht="13" x14ac:dyDescent="0.15"/>
    <row r="5965" customFormat="1" ht="13" x14ac:dyDescent="0.15"/>
    <row r="5966" customFormat="1" ht="13" x14ac:dyDescent="0.15"/>
    <row r="5967" customFormat="1" ht="13" x14ac:dyDescent="0.15"/>
    <row r="5968" customFormat="1" ht="13" x14ac:dyDescent="0.15"/>
    <row r="5969" customFormat="1" ht="13" x14ac:dyDescent="0.15"/>
    <row r="5970" customFormat="1" ht="13" x14ac:dyDescent="0.15"/>
    <row r="5971" customFormat="1" ht="13" x14ac:dyDescent="0.15"/>
    <row r="5972" customFormat="1" ht="13" x14ac:dyDescent="0.15"/>
    <row r="5973" customFormat="1" ht="13" x14ac:dyDescent="0.15"/>
    <row r="5974" customFormat="1" ht="13" x14ac:dyDescent="0.15"/>
    <row r="5975" customFormat="1" ht="13" x14ac:dyDescent="0.15"/>
    <row r="5976" customFormat="1" ht="13" x14ac:dyDescent="0.15"/>
    <row r="5977" customFormat="1" ht="13" x14ac:dyDescent="0.15"/>
    <row r="5978" customFormat="1" ht="13" x14ac:dyDescent="0.15"/>
    <row r="5979" customFormat="1" ht="13" x14ac:dyDescent="0.15"/>
    <row r="5980" customFormat="1" ht="13" x14ac:dyDescent="0.15"/>
    <row r="5981" customFormat="1" ht="13" x14ac:dyDescent="0.15"/>
    <row r="5982" customFormat="1" ht="13" x14ac:dyDescent="0.15"/>
    <row r="5983" customFormat="1" ht="13" x14ac:dyDescent="0.15"/>
    <row r="5984" customFormat="1" ht="13" x14ac:dyDescent="0.15"/>
    <row r="5985" customFormat="1" ht="13" x14ac:dyDescent="0.15"/>
    <row r="5986" customFormat="1" ht="13" x14ac:dyDescent="0.15"/>
    <row r="5987" customFormat="1" ht="13" x14ac:dyDescent="0.15"/>
    <row r="5988" customFormat="1" ht="13" x14ac:dyDescent="0.15"/>
    <row r="5989" customFormat="1" ht="13" x14ac:dyDescent="0.15"/>
    <row r="5990" customFormat="1" ht="13" x14ac:dyDescent="0.15"/>
    <row r="5991" customFormat="1" ht="13" x14ac:dyDescent="0.15"/>
    <row r="5992" customFormat="1" ht="13" x14ac:dyDescent="0.15"/>
    <row r="5993" customFormat="1" ht="13" x14ac:dyDescent="0.15"/>
    <row r="5994" customFormat="1" ht="13" x14ac:dyDescent="0.15"/>
    <row r="5995" customFormat="1" ht="13" x14ac:dyDescent="0.15"/>
    <row r="5996" customFormat="1" ht="13" x14ac:dyDescent="0.15"/>
    <row r="5997" customFormat="1" ht="13" x14ac:dyDescent="0.15"/>
    <row r="5998" customFormat="1" ht="13" x14ac:dyDescent="0.15"/>
    <row r="5999" customFormat="1" ht="13" x14ac:dyDescent="0.15"/>
    <row r="6000" customFormat="1" ht="13" x14ac:dyDescent="0.15"/>
    <row r="6001" customFormat="1" ht="13" x14ac:dyDescent="0.15"/>
    <row r="6002" customFormat="1" ht="13" x14ac:dyDescent="0.15"/>
    <row r="6003" customFormat="1" ht="13" x14ac:dyDescent="0.15"/>
    <row r="6004" customFormat="1" ht="13" x14ac:dyDescent="0.15"/>
    <row r="6005" customFormat="1" ht="13" x14ac:dyDescent="0.15"/>
    <row r="6006" customFormat="1" ht="13" x14ac:dyDescent="0.15"/>
    <row r="6007" customFormat="1" ht="13" x14ac:dyDescent="0.15"/>
    <row r="6008" customFormat="1" ht="13" x14ac:dyDescent="0.15"/>
    <row r="6009" customFormat="1" ht="13" x14ac:dyDescent="0.15"/>
    <row r="6010" customFormat="1" ht="13" x14ac:dyDescent="0.15"/>
    <row r="6011" customFormat="1" ht="13" x14ac:dyDescent="0.15"/>
    <row r="6012" customFormat="1" ht="13" x14ac:dyDescent="0.15"/>
    <row r="6013" customFormat="1" ht="13" x14ac:dyDescent="0.15"/>
    <row r="6014" customFormat="1" ht="13" x14ac:dyDescent="0.15"/>
    <row r="6015" customFormat="1" ht="13" x14ac:dyDescent="0.15"/>
    <row r="6016" customFormat="1" ht="13" x14ac:dyDescent="0.15"/>
    <row r="6017" customFormat="1" ht="13" x14ac:dyDescent="0.15"/>
    <row r="6018" customFormat="1" ht="13" x14ac:dyDescent="0.15"/>
    <row r="6019" customFormat="1" ht="13" x14ac:dyDescent="0.15"/>
    <row r="6020" customFormat="1" ht="13" x14ac:dyDescent="0.15"/>
    <row r="6021" customFormat="1" ht="13" x14ac:dyDescent="0.15"/>
    <row r="6022" customFormat="1" ht="13" x14ac:dyDescent="0.15"/>
    <row r="6023" customFormat="1" ht="13" x14ac:dyDescent="0.15"/>
    <row r="6024" customFormat="1" ht="13" x14ac:dyDescent="0.15"/>
    <row r="6025" customFormat="1" ht="13" x14ac:dyDescent="0.15"/>
    <row r="6026" customFormat="1" ht="13" x14ac:dyDescent="0.15"/>
    <row r="6027" customFormat="1" ht="13" x14ac:dyDescent="0.15"/>
    <row r="6028" customFormat="1" ht="13" x14ac:dyDescent="0.15"/>
    <row r="6029" customFormat="1" ht="13" x14ac:dyDescent="0.15"/>
    <row r="6030" customFormat="1" ht="13" x14ac:dyDescent="0.15"/>
    <row r="6031" customFormat="1" ht="13" x14ac:dyDescent="0.15"/>
    <row r="6032" customFormat="1" ht="13" x14ac:dyDescent="0.15"/>
    <row r="6033" customFormat="1" ht="13" x14ac:dyDescent="0.15"/>
    <row r="6034" customFormat="1" ht="13" x14ac:dyDescent="0.15"/>
    <row r="6035" customFormat="1" ht="13" x14ac:dyDescent="0.15"/>
    <row r="6036" customFormat="1" ht="13" x14ac:dyDescent="0.15"/>
    <row r="6037" customFormat="1" ht="13" x14ac:dyDescent="0.15"/>
    <row r="6038" customFormat="1" ht="13" x14ac:dyDescent="0.15"/>
    <row r="6039" customFormat="1" ht="13" x14ac:dyDescent="0.15"/>
    <row r="6040" customFormat="1" ht="13" x14ac:dyDescent="0.15"/>
    <row r="6041" customFormat="1" ht="13" x14ac:dyDescent="0.15"/>
    <row r="6042" customFormat="1" ht="13" x14ac:dyDescent="0.15"/>
    <row r="6043" customFormat="1" ht="13" x14ac:dyDescent="0.15"/>
    <row r="6044" customFormat="1" ht="13" x14ac:dyDescent="0.15"/>
    <row r="6045" customFormat="1" ht="13" x14ac:dyDescent="0.15"/>
    <row r="6046" customFormat="1" ht="13" x14ac:dyDescent="0.15"/>
    <row r="6047" customFormat="1" ht="13" x14ac:dyDescent="0.15"/>
    <row r="6048" customFormat="1" ht="13" x14ac:dyDescent="0.15"/>
    <row r="6049" customFormat="1" ht="13" x14ac:dyDescent="0.15"/>
    <row r="6050" customFormat="1" ht="13" x14ac:dyDescent="0.15"/>
    <row r="6051" customFormat="1" ht="13" x14ac:dyDescent="0.15"/>
    <row r="6052" customFormat="1" ht="13" x14ac:dyDescent="0.15"/>
    <row r="6053" customFormat="1" ht="13" x14ac:dyDescent="0.15"/>
    <row r="6054" customFormat="1" ht="13" x14ac:dyDescent="0.15"/>
    <row r="6055" customFormat="1" ht="13" x14ac:dyDescent="0.15"/>
    <row r="6056" customFormat="1" ht="13" x14ac:dyDescent="0.15"/>
    <row r="6057" customFormat="1" ht="13" x14ac:dyDescent="0.15"/>
    <row r="6058" customFormat="1" ht="13" x14ac:dyDescent="0.15"/>
    <row r="6059" customFormat="1" ht="13" x14ac:dyDescent="0.15"/>
    <row r="6060" customFormat="1" ht="13" x14ac:dyDescent="0.15"/>
    <row r="6061" customFormat="1" ht="13" x14ac:dyDescent="0.15"/>
    <row r="6062" customFormat="1" ht="13" x14ac:dyDescent="0.15"/>
    <row r="6063" customFormat="1" ht="13" x14ac:dyDescent="0.15"/>
    <row r="6064" customFormat="1" ht="13" x14ac:dyDescent="0.15"/>
    <row r="6065" customFormat="1" ht="13" x14ac:dyDescent="0.15"/>
    <row r="6066" customFormat="1" ht="13" x14ac:dyDescent="0.15"/>
    <row r="6067" customFormat="1" ht="13" x14ac:dyDescent="0.15"/>
    <row r="6068" customFormat="1" ht="13" x14ac:dyDescent="0.15"/>
    <row r="6069" customFormat="1" ht="13" x14ac:dyDescent="0.15"/>
    <row r="6070" customFormat="1" ht="13" x14ac:dyDescent="0.15"/>
    <row r="6071" customFormat="1" ht="13" x14ac:dyDescent="0.15"/>
    <row r="6072" customFormat="1" ht="13" x14ac:dyDescent="0.15"/>
    <row r="6073" customFormat="1" ht="13" x14ac:dyDescent="0.15"/>
    <row r="6074" customFormat="1" ht="13" x14ac:dyDescent="0.15"/>
    <row r="6075" customFormat="1" ht="13" x14ac:dyDescent="0.15"/>
    <row r="6076" customFormat="1" ht="13" x14ac:dyDescent="0.15"/>
    <row r="6077" customFormat="1" ht="13" x14ac:dyDescent="0.15"/>
    <row r="6078" customFormat="1" ht="13" x14ac:dyDescent="0.15"/>
    <row r="6079" customFormat="1" ht="13" x14ac:dyDescent="0.15"/>
    <row r="6080" customFormat="1" ht="13" x14ac:dyDescent="0.15"/>
    <row r="6081" customFormat="1" ht="13" x14ac:dyDescent="0.15"/>
    <row r="6082" customFormat="1" ht="13" x14ac:dyDescent="0.15"/>
    <row r="6083" customFormat="1" ht="13" x14ac:dyDescent="0.15"/>
    <row r="6084" customFormat="1" ht="13" x14ac:dyDescent="0.15"/>
    <row r="6085" customFormat="1" ht="13" x14ac:dyDescent="0.15"/>
    <row r="6086" customFormat="1" ht="13" x14ac:dyDescent="0.15"/>
    <row r="6087" customFormat="1" ht="13" x14ac:dyDescent="0.15"/>
    <row r="6088" customFormat="1" ht="13" x14ac:dyDescent="0.15"/>
    <row r="6089" customFormat="1" ht="13" x14ac:dyDescent="0.15"/>
    <row r="6090" customFormat="1" ht="13" x14ac:dyDescent="0.15"/>
    <row r="6091" customFormat="1" ht="13" x14ac:dyDescent="0.15"/>
    <row r="6092" customFormat="1" ht="13" x14ac:dyDescent="0.15"/>
    <row r="6093" customFormat="1" ht="13" x14ac:dyDescent="0.15"/>
    <row r="6094" customFormat="1" ht="13" x14ac:dyDescent="0.15"/>
    <row r="6095" customFormat="1" ht="13" x14ac:dyDescent="0.15"/>
    <row r="6096" customFormat="1" ht="13" x14ac:dyDescent="0.15"/>
    <row r="6097" customFormat="1" ht="13" x14ac:dyDescent="0.15"/>
    <row r="6098" customFormat="1" ht="13" x14ac:dyDescent="0.15"/>
    <row r="6099" customFormat="1" ht="13" x14ac:dyDescent="0.15"/>
    <row r="6100" customFormat="1" ht="13" x14ac:dyDescent="0.15"/>
    <row r="6101" customFormat="1" ht="13" x14ac:dyDescent="0.15"/>
    <row r="6102" customFormat="1" ht="13" x14ac:dyDescent="0.15"/>
    <row r="6103" customFormat="1" ht="13" x14ac:dyDescent="0.15"/>
    <row r="6104" customFormat="1" ht="13" x14ac:dyDescent="0.15"/>
    <row r="6105" customFormat="1" ht="13" x14ac:dyDescent="0.15"/>
    <row r="6106" customFormat="1" ht="13" x14ac:dyDescent="0.15"/>
    <row r="6107" customFormat="1" ht="13" x14ac:dyDescent="0.15"/>
    <row r="6108" customFormat="1" ht="13" x14ac:dyDescent="0.15"/>
    <row r="6109" customFormat="1" ht="13" x14ac:dyDescent="0.15"/>
    <row r="6110" customFormat="1" ht="13" x14ac:dyDescent="0.15"/>
    <row r="6111" customFormat="1" ht="13" x14ac:dyDescent="0.15"/>
    <row r="6112" customFormat="1" ht="13" x14ac:dyDescent="0.15"/>
    <row r="6113" customFormat="1" ht="13" x14ac:dyDescent="0.15"/>
    <row r="6114" customFormat="1" ht="13" x14ac:dyDescent="0.15"/>
    <row r="6115" customFormat="1" ht="13" x14ac:dyDescent="0.15"/>
    <row r="6116" customFormat="1" ht="13" x14ac:dyDescent="0.15"/>
    <row r="6117" customFormat="1" ht="13" x14ac:dyDescent="0.15"/>
    <row r="6118" customFormat="1" ht="13" x14ac:dyDescent="0.15"/>
    <row r="6119" customFormat="1" ht="13" x14ac:dyDescent="0.15"/>
    <row r="6120" customFormat="1" ht="13" x14ac:dyDescent="0.15"/>
    <row r="6121" customFormat="1" ht="13" x14ac:dyDescent="0.15"/>
    <row r="6122" customFormat="1" ht="13" x14ac:dyDescent="0.15"/>
    <row r="6123" customFormat="1" ht="13" x14ac:dyDescent="0.15"/>
    <row r="6124" customFormat="1" ht="13" x14ac:dyDescent="0.15"/>
    <row r="6125" customFormat="1" ht="13" x14ac:dyDescent="0.15"/>
    <row r="6126" customFormat="1" ht="13" x14ac:dyDescent="0.15"/>
    <row r="6127" customFormat="1" ht="13" x14ac:dyDescent="0.15"/>
    <row r="6128" customFormat="1" ht="13" x14ac:dyDescent="0.15"/>
    <row r="6129" customFormat="1" ht="13" x14ac:dyDescent="0.15"/>
    <row r="6130" customFormat="1" ht="13" x14ac:dyDescent="0.15"/>
    <row r="6131" customFormat="1" ht="13" x14ac:dyDescent="0.15"/>
    <row r="6132" customFormat="1" ht="13" x14ac:dyDescent="0.15"/>
    <row r="6133" customFormat="1" ht="13" x14ac:dyDescent="0.15"/>
    <row r="6134" customFormat="1" ht="13" x14ac:dyDescent="0.15"/>
    <row r="6135" customFormat="1" ht="13" x14ac:dyDescent="0.15"/>
    <row r="6136" customFormat="1" ht="13" x14ac:dyDescent="0.15"/>
    <row r="6137" customFormat="1" ht="13" x14ac:dyDescent="0.15"/>
    <row r="6138" customFormat="1" ht="13" x14ac:dyDescent="0.15"/>
    <row r="6139" customFormat="1" ht="13" x14ac:dyDescent="0.15"/>
    <row r="6140" customFormat="1" ht="13" x14ac:dyDescent="0.15"/>
    <row r="6141" customFormat="1" ht="13" x14ac:dyDescent="0.15"/>
    <row r="6142" customFormat="1" ht="13" x14ac:dyDescent="0.15"/>
    <row r="6143" customFormat="1" ht="13" x14ac:dyDescent="0.15"/>
    <row r="6144" customFormat="1" ht="13" x14ac:dyDescent="0.15"/>
    <row r="6145" customFormat="1" ht="13" x14ac:dyDescent="0.15"/>
    <row r="6146" customFormat="1" ht="13" x14ac:dyDescent="0.15"/>
    <row r="6147" customFormat="1" ht="13" x14ac:dyDescent="0.15"/>
    <row r="6148" customFormat="1" ht="13" x14ac:dyDescent="0.15"/>
    <row r="6149" customFormat="1" ht="13" x14ac:dyDescent="0.15"/>
    <row r="6150" customFormat="1" ht="13" x14ac:dyDescent="0.15"/>
    <row r="6151" customFormat="1" ht="13" x14ac:dyDescent="0.15"/>
    <row r="6152" customFormat="1" ht="13" x14ac:dyDescent="0.15"/>
    <row r="6153" customFormat="1" ht="13" x14ac:dyDescent="0.15"/>
    <row r="6154" customFormat="1" ht="13" x14ac:dyDescent="0.15"/>
    <row r="6155" customFormat="1" ht="13" x14ac:dyDescent="0.15"/>
    <row r="6156" customFormat="1" ht="13" x14ac:dyDescent="0.15"/>
    <row r="6157" customFormat="1" ht="13" x14ac:dyDescent="0.15"/>
    <row r="6158" customFormat="1" ht="13" x14ac:dyDescent="0.15"/>
    <row r="6159" customFormat="1" ht="13" x14ac:dyDescent="0.15"/>
    <row r="6160" customFormat="1" ht="13" x14ac:dyDescent="0.15"/>
    <row r="6161" customFormat="1" ht="13" x14ac:dyDescent="0.15"/>
    <row r="6162" customFormat="1" ht="13" x14ac:dyDescent="0.15"/>
    <row r="6163" customFormat="1" ht="13" x14ac:dyDescent="0.15"/>
    <row r="6164" customFormat="1" ht="13" x14ac:dyDescent="0.15"/>
    <row r="6165" customFormat="1" ht="13" x14ac:dyDescent="0.15"/>
    <row r="6166" customFormat="1" ht="13" x14ac:dyDescent="0.15"/>
    <row r="6167" customFormat="1" ht="13" x14ac:dyDescent="0.15"/>
    <row r="6168" customFormat="1" ht="13" x14ac:dyDescent="0.15"/>
    <row r="6169" customFormat="1" ht="13" x14ac:dyDescent="0.15"/>
    <row r="6170" customFormat="1" ht="13" x14ac:dyDescent="0.15"/>
    <row r="6171" customFormat="1" ht="13" x14ac:dyDescent="0.15"/>
    <row r="6172" customFormat="1" ht="13" x14ac:dyDescent="0.15"/>
    <row r="6173" customFormat="1" ht="13" x14ac:dyDescent="0.15"/>
    <row r="6174" customFormat="1" ht="13" x14ac:dyDescent="0.15"/>
    <row r="6175" customFormat="1" ht="13" x14ac:dyDescent="0.15"/>
    <row r="6176" customFormat="1" ht="13" x14ac:dyDescent="0.15"/>
    <row r="6177" customFormat="1" ht="13" x14ac:dyDescent="0.15"/>
    <row r="6178" customFormat="1" ht="13" x14ac:dyDescent="0.15"/>
    <row r="6179" customFormat="1" ht="13" x14ac:dyDescent="0.15"/>
    <row r="6180" customFormat="1" ht="13" x14ac:dyDescent="0.15"/>
    <row r="6181" customFormat="1" ht="13" x14ac:dyDescent="0.15"/>
    <row r="6182" customFormat="1" ht="13" x14ac:dyDescent="0.15"/>
    <row r="6183" customFormat="1" ht="13" x14ac:dyDescent="0.15"/>
    <row r="6184" customFormat="1" ht="13" x14ac:dyDescent="0.15"/>
    <row r="6185" customFormat="1" ht="13" x14ac:dyDescent="0.15"/>
    <row r="6186" customFormat="1" ht="13" x14ac:dyDescent="0.15"/>
    <row r="6187" customFormat="1" ht="13" x14ac:dyDescent="0.15"/>
    <row r="6188" customFormat="1" ht="13" x14ac:dyDescent="0.15"/>
    <row r="6189" customFormat="1" ht="13" x14ac:dyDescent="0.15"/>
    <row r="6190" customFormat="1" ht="13" x14ac:dyDescent="0.15"/>
    <row r="6191" customFormat="1" ht="13" x14ac:dyDescent="0.15"/>
    <row r="6192" customFormat="1" ht="13" x14ac:dyDescent="0.15"/>
    <row r="6193" customFormat="1" ht="13" x14ac:dyDescent="0.15"/>
    <row r="6194" customFormat="1" ht="13" x14ac:dyDescent="0.15"/>
    <row r="6195" customFormat="1" ht="13" x14ac:dyDescent="0.15"/>
    <row r="6196" customFormat="1" ht="13" x14ac:dyDescent="0.15"/>
    <row r="6197" customFormat="1" ht="13" x14ac:dyDescent="0.15"/>
    <row r="6198" customFormat="1" ht="13" x14ac:dyDescent="0.15"/>
    <row r="6199" customFormat="1" ht="13" x14ac:dyDescent="0.15"/>
    <row r="6200" customFormat="1" ht="13" x14ac:dyDescent="0.15"/>
    <row r="6201" customFormat="1" ht="13" x14ac:dyDescent="0.15"/>
    <row r="6202" customFormat="1" ht="13" x14ac:dyDescent="0.15"/>
    <row r="6203" customFormat="1" ht="13" x14ac:dyDescent="0.15"/>
    <row r="6204" customFormat="1" ht="13" x14ac:dyDescent="0.15"/>
    <row r="6205" customFormat="1" ht="13" x14ac:dyDescent="0.15"/>
    <row r="6206" customFormat="1" ht="13" x14ac:dyDescent="0.15"/>
    <row r="6207" customFormat="1" ht="13" x14ac:dyDescent="0.15"/>
    <row r="6208" customFormat="1" ht="13" x14ac:dyDescent="0.15"/>
    <row r="6209" customFormat="1" ht="13" x14ac:dyDescent="0.15"/>
    <row r="6210" customFormat="1" ht="13" x14ac:dyDescent="0.15"/>
    <row r="6211" customFormat="1" ht="13" x14ac:dyDescent="0.15"/>
    <row r="6212" customFormat="1" ht="13" x14ac:dyDescent="0.15"/>
    <row r="6213" customFormat="1" ht="13" x14ac:dyDescent="0.15"/>
    <row r="6214" customFormat="1" ht="13" x14ac:dyDescent="0.15"/>
    <row r="6215" customFormat="1" ht="13" x14ac:dyDescent="0.15"/>
    <row r="6216" customFormat="1" ht="13" x14ac:dyDescent="0.15"/>
    <row r="6217" customFormat="1" ht="13" x14ac:dyDescent="0.15"/>
    <row r="6218" customFormat="1" ht="13" x14ac:dyDescent="0.15"/>
    <row r="6219" customFormat="1" ht="13" x14ac:dyDescent="0.15"/>
    <row r="6220" customFormat="1" ht="13" x14ac:dyDescent="0.15"/>
    <row r="6221" customFormat="1" ht="13" x14ac:dyDescent="0.15"/>
    <row r="6222" customFormat="1" ht="13" x14ac:dyDescent="0.15"/>
    <row r="6223" customFormat="1" ht="13" x14ac:dyDescent="0.15"/>
    <row r="6224" customFormat="1" ht="13" x14ac:dyDescent="0.15"/>
    <row r="6225" customFormat="1" ht="13" x14ac:dyDescent="0.15"/>
    <row r="6226" customFormat="1" ht="13" x14ac:dyDescent="0.15"/>
    <row r="6227" customFormat="1" ht="13" x14ac:dyDescent="0.15"/>
    <row r="6228" customFormat="1" ht="13" x14ac:dyDescent="0.15"/>
    <row r="6229" customFormat="1" ht="13" x14ac:dyDescent="0.15"/>
    <row r="6230" customFormat="1" ht="13" x14ac:dyDescent="0.15"/>
    <row r="6231" customFormat="1" ht="13" x14ac:dyDescent="0.15"/>
    <row r="6232" customFormat="1" ht="13" x14ac:dyDescent="0.15"/>
    <row r="6233" customFormat="1" ht="13" x14ac:dyDescent="0.15"/>
    <row r="6234" customFormat="1" ht="13" x14ac:dyDescent="0.15"/>
    <row r="6235" customFormat="1" ht="13" x14ac:dyDescent="0.15"/>
    <row r="6236" customFormat="1" ht="13" x14ac:dyDescent="0.15"/>
    <row r="6237" customFormat="1" ht="13" x14ac:dyDescent="0.15"/>
    <row r="6238" customFormat="1" ht="13" x14ac:dyDescent="0.15"/>
    <row r="6239" customFormat="1" ht="13" x14ac:dyDescent="0.15"/>
    <row r="6240" customFormat="1" ht="13" x14ac:dyDescent="0.15"/>
    <row r="6241" customFormat="1" ht="13" x14ac:dyDescent="0.15"/>
    <row r="6242" customFormat="1" ht="13" x14ac:dyDescent="0.15"/>
    <row r="6243" customFormat="1" ht="13" x14ac:dyDescent="0.15"/>
    <row r="6244" customFormat="1" ht="13" x14ac:dyDescent="0.15"/>
    <row r="6245" customFormat="1" ht="13" x14ac:dyDescent="0.15"/>
    <row r="6246" customFormat="1" ht="13" x14ac:dyDescent="0.15"/>
    <row r="6247" customFormat="1" ht="13" x14ac:dyDescent="0.15"/>
    <row r="6248" customFormat="1" ht="13" x14ac:dyDescent="0.15"/>
    <row r="6249" customFormat="1" ht="13" x14ac:dyDescent="0.15"/>
    <row r="6250" customFormat="1" ht="13" x14ac:dyDescent="0.15"/>
    <row r="6251" customFormat="1" ht="13" x14ac:dyDescent="0.15"/>
    <row r="6252" customFormat="1" ht="13" x14ac:dyDescent="0.15"/>
    <row r="6253" customFormat="1" ht="13" x14ac:dyDescent="0.15"/>
    <row r="6254" customFormat="1" ht="13" x14ac:dyDescent="0.15"/>
    <row r="6255" customFormat="1" ht="13" x14ac:dyDescent="0.15"/>
    <row r="6256" customFormat="1" ht="13" x14ac:dyDescent="0.15"/>
    <row r="6257" customFormat="1" ht="13" x14ac:dyDescent="0.15"/>
    <row r="6258" customFormat="1" ht="13" x14ac:dyDescent="0.15"/>
    <row r="6259" customFormat="1" ht="13" x14ac:dyDescent="0.15"/>
    <row r="6260" customFormat="1" ht="13" x14ac:dyDescent="0.15"/>
    <row r="6261" customFormat="1" ht="13" x14ac:dyDescent="0.15"/>
    <row r="6262" customFormat="1" ht="13" x14ac:dyDescent="0.15"/>
    <row r="6263" customFormat="1" ht="13" x14ac:dyDescent="0.15"/>
    <row r="6264" customFormat="1" ht="13" x14ac:dyDescent="0.15"/>
    <row r="6265" customFormat="1" ht="13" x14ac:dyDescent="0.15"/>
    <row r="6266" customFormat="1" ht="13" x14ac:dyDescent="0.15"/>
    <row r="6267" customFormat="1" ht="13" x14ac:dyDescent="0.15"/>
    <row r="6268" customFormat="1" ht="13" x14ac:dyDescent="0.15"/>
    <row r="6269" customFormat="1" ht="13" x14ac:dyDescent="0.15"/>
    <row r="6270" customFormat="1" ht="13" x14ac:dyDescent="0.15"/>
    <row r="6271" customFormat="1" ht="13" x14ac:dyDescent="0.15"/>
    <row r="6272" customFormat="1" ht="13" x14ac:dyDescent="0.15"/>
    <row r="6273" customFormat="1" ht="13" x14ac:dyDescent="0.15"/>
    <row r="6274" customFormat="1" ht="13" x14ac:dyDescent="0.15"/>
    <row r="6275" customFormat="1" ht="13" x14ac:dyDescent="0.15"/>
    <row r="6276" customFormat="1" ht="13" x14ac:dyDescent="0.15"/>
    <row r="6277" customFormat="1" ht="13" x14ac:dyDescent="0.15"/>
    <row r="6278" customFormat="1" ht="13" x14ac:dyDescent="0.15"/>
    <row r="6279" customFormat="1" ht="13" x14ac:dyDescent="0.15"/>
    <row r="6280" customFormat="1" ht="13" x14ac:dyDescent="0.15"/>
    <row r="6281" customFormat="1" ht="13" x14ac:dyDescent="0.15"/>
    <row r="6282" customFormat="1" ht="13" x14ac:dyDescent="0.15"/>
    <row r="6283" customFormat="1" ht="13" x14ac:dyDescent="0.15"/>
    <row r="6284" customFormat="1" ht="13" x14ac:dyDescent="0.15"/>
    <row r="6285" customFormat="1" ht="13" x14ac:dyDescent="0.15"/>
    <row r="6286" customFormat="1" ht="13" x14ac:dyDescent="0.15"/>
    <row r="6287" customFormat="1" ht="13" x14ac:dyDescent="0.15"/>
    <row r="6288" customFormat="1" ht="13" x14ac:dyDescent="0.15"/>
    <row r="6289" customFormat="1" ht="13" x14ac:dyDescent="0.15"/>
    <row r="6290" customFormat="1" ht="13" x14ac:dyDescent="0.15"/>
    <row r="6291" customFormat="1" ht="13" x14ac:dyDescent="0.15"/>
    <row r="6292" customFormat="1" ht="13" x14ac:dyDescent="0.15"/>
    <row r="6293" customFormat="1" ht="13" x14ac:dyDescent="0.15"/>
    <row r="6294" customFormat="1" ht="13" x14ac:dyDescent="0.15"/>
    <row r="6295" customFormat="1" ht="13" x14ac:dyDescent="0.15"/>
    <row r="6296" customFormat="1" ht="13" x14ac:dyDescent="0.15"/>
    <row r="6297" customFormat="1" ht="13" x14ac:dyDescent="0.15"/>
    <row r="6298" customFormat="1" ht="13" x14ac:dyDescent="0.15"/>
    <row r="6299" customFormat="1" ht="13" x14ac:dyDescent="0.15"/>
    <row r="6300" customFormat="1" ht="13" x14ac:dyDescent="0.15"/>
    <row r="6301" customFormat="1" ht="13" x14ac:dyDescent="0.15"/>
    <row r="6302" customFormat="1" ht="13" x14ac:dyDescent="0.15"/>
    <row r="6303" customFormat="1" ht="13" x14ac:dyDescent="0.15"/>
    <row r="6304" customFormat="1" ht="13" x14ac:dyDescent="0.15"/>
    <row r="6305" customFormat="1" ht="13" x14ac:dyDescent="0.15"/>
    <row r="6306" customFormat="1" ht="13" x14ac:dyDescent="0.15"/>
    <row r="6307" customFormat="1" ht="13" x14ac:dyDescent="0.15"/>
    <row r="6308" customFormat="1" ht="13" x14ac:dyDescent="0.15"/>
    <row r="6309" customFormat="1" ht="13" x14ac:dyDescent="0.15"/>
    <row r="6310" customFormat="1" ht="13" x14ac:dyDescent="0.15"/>
    <row r="6311" customFormat="1" ht="13" x14ac:dyDescent="0.15"/>
    <row r="6312" customFormat="1" ht="13" x14ac:dyDescent="0.15"/>
    <row r="6313" customFormat="1" ht="13" x14ac:dyDescent="0.15"/>
    <row r="6314" customFormat="1" ht="13" x14ac:dyDescent="0.15"/>
    <row r="6315" customFormat="1" ht="13" x14ac:dyDescent="0.15"/>
    <row r="6316" customFormat="1" ht="13" x14ac:dyDescent="0.15"/>
    <row r="6317" customFormat="1" ht="13" x14ac:dyDescent="0.15"/>
    <row r="6318" customFormat="1" ht="13" x14ac:dyDescent="0.15"/>
    <row r="6319" customFormat="1" ht="13" x14ac:dyDescent="0.15"/>
    <row r="6320" customFormat="1" ht="13" x14ac:dyDescent="0.15"/>
    <row r="6321" customFormat="1" ht="13" x14ac:dyDescent="0.15"/>
    <row r="6322" customFormat="1" ht="13" x14ac:dyDescent="0.15"/>
    <row r="6323" customFormat="1" ht="13" x14ac:dyDescent="0.15"/>
    <row r="6324" customFormat="1" ht="13" x14ac:dyDescent="0.15"/>
    <row r="6325" customFormat="1" ht="13" x14ac:dyDescent="0.15"/>
    <row r="6326" customFormat="1" ht="13" x14ac:dyDescent="0.15"/>
    <row r="6327" customFormat="1" ht="13" x14ac:dyDescent="0.15"/>
    <row r="6328" customFormat="1" ht="13" x14ac:dyDescent="0.15"/>
    <row r="6329" customFormat="1" ht="13" x14ac:dyDescent="0.15"/>
    <row r="6330" customFormat="1" ht="13" x14ac:dyDescent="0.15"/>
    <row r="6331" customFormat="1" ht="13" x14ac:dyDescent="0.15"/>
    <row r="6332" customFormat="1" ht="13" x14ac:dyDescent="0.15"/>
    <row r="6333" customFormat="1" ht="13" x14ac:dyDescent="0.15"/>
    <row r="6334" customFormat="1" ht="13" x14ac:dyDescent="0.15"/>
    <row r="6335" customFormat="1" ht="13" x14ac:dyDescent="0.15"/>
    <row r="6336" customFormat="1" ht="13" x14ac:dyDescent="0.15"/>
    <row r="6337" customFormat="1" ht="13" x14ac:dyDescent="0.15"/>
    <row r="6338" customFormat="1" ht="13" x14ac:dyDescent="0.15"/>
    <row r="6339" customFormat="1" ht="13" x14ac:dyDescent="0.15"/>
    <row r="6340" customFormat="1" ht="13" x14ac:dyDescent="0.15"/>
    <row r="6341" customFormat="1" ht="13" x14ac:dyDescent="0.15"/>
    <row r="6342" customFormat="1" ht="13" x14ac:dyDescent="0.15"/>
    <row r="6343" customFormat="1" ht="13" x14ac:dyDescent="0.15"/>
    <row r="6344" customFormat="1" ht="13" x14ac:dyDescent="0.15"/>
    <row r="6345" customFormat="1" ht="13" x14ac:dyDescent="0.15"/>
    <row r="6346" customFormat="1" ht="13" x14ac:dyDescent="0.15"/>
    <row r="6347" customFormat="1" ht="13" x14ac:dyDescent="0.15"/>
    <row r="6348" customFormat="1" ht="13" x14ac:dyDescent="0.15"/>
    <row r="6349" customFormat="1" ht="13" x14ac:dyDescent="0.15"/>
    <row r="6350" customFormat="1" ht="13" x14ac:dyDescent="0.15"/>
    <row r="6351" customFormat="1" ht="13" x14ac:dyDescent="0.15"/>
    <row r="6352" customFormat="1" ht="13" x14ac:dyDescent="0.15"/>
    <row r="6353" customFormat="1" ht="13" x14ac:dyDescent="0.15"/>
    <row r="6354" customFormat="1" ht="13" x14ac:dyDescent="0.15"/>
    <row r="6355" customFormat="1" ht="13" x14ac:dyDescent="0.15"/>
    <row r="6356" customFormat="1" ht="13" x14ac:dyDescent="0.15"/>
    <row r="6357" customFormat="1" ht="13" x14ac:dyDescent="0.15"/>
    <row r="6358" customFormat="1" ht="13" x14ac:dyDescent="0.15"/>
    <row r="6359" customFormat="1" ht="13" x14ac:dyDescent="0.15"/>
    <row r="6360" customFormat="1" ht="13" x14ac:dyDescent="0.15"/>
    <row r="6361" customFormat="1" ht="13" x14ac:dyDescent="0.15"/>
    <row r="6362" customFormat="1" ht="13" x14ac:dyDescent="0.15"/>
    <row r="6363" customFormat="1" ht="13" x14ac:dyDescent="0.15"/>
    <row r="6364" customFormat="1" ht="13" x14ac:dyDescent="0.15"/>
    <row r="6365" customFormat="1" ht="13" x14ac:dyDescent="0.15"/>
    <row r="6366" customFormat="1" ht="13" x14ac:dyDescent="0.15"/>
    <row r="6367" customFormat="1" ht="13" x14ac:dyDescent="0.15"/>
    <row r="6368" customFormat="1" ht="13" x14ac:dyDescent="0.15"/>
    <row r="6369" customFormat="1" ht="13" x14ac:dyDescent="0.15"/>
    <row r="6370" customFormat="1" ht="13" x14ac:dyDescent="0.15"/>
    <row r="6371" customFormat="1" ht="13" x14ac:dyDescent="0.15"/>
    <row r="6372" customFormat="1" ht="13" x14ac:dyDescent="0.15"/>
    <row r="6373" customFormat="1" ht="13" x14ac:dyDescent="0.15"/>
    <row r="6374" customFormat="1" ht="13" x14ac:dyDescent="0.15"/>
    <row r="6375" customFormat="1" ht="13" x14ac:dyDescent="0.15"/>
    <row r="6376" customFormat="1" ht="13" x14ac:dyDescent="0.15"/>
    <row r="6377" customFormat="1" ht="13" x14ac:dyDescent="0.15"/>
    <row r="6378" customFormat="1" ht="13" x14ac:dyDescent="0.15"/>
    <row r="6379" customFormat="1" ht="13" x14ac:dyDescent="0.15"/>
    <row r="6380" customFormat="1" ht="13" x14ac:dyDescent="0.15"/>
    <row r="6381" customFormat="1" ht="13" x14ac:dyDescent="0.15"/>
    <row r="6382" customFormat="1" ht="13" x14ac:dyDescent="0.15"/>
    <row r="6383" customFormat="1" ht="13" x14ac:dyDescent="0.15"/>
    <row r="6384" customFormat="1" ht="13" x14ac:dyDescent="0.15"/>
    <row r="6385" customFormat="1" ht="13" x14ac:dyDescent="0.15"/>
    <row r="6386" customFormat="1" ht="13" x14ac:dyDescent="0.15"/>
    <row r="6387" customFormat="1" ht="13" x14ac:dyDescent="0.15"/>
    <row r="6388" customFormat="1" ht="13" x14ac:dyDescent="0.15"/>
    <row r="6389" customFormat="1" ht="13" x14ac:dyDescent="0.15"/>
    <row r="6390" customFormat="1" ht="13" x14ac:dyDescent="0.15"/>
    <row r="6391" customFormat="1" ht="13" x14ac:dyDescent="0.15"/>
    <row r="6392" customFormat="1" ht="13" x14ac:dyDescent="0.15"/>
    <row r="6393" customFormat="1" ht="13" x14ac:dyDescent="0.15"/>
    <row r="6394" customFormat="1" ht="13" x14ac:dyDescent="0.15"/>
    <row r="6395" customFormat="1" ht="13" x14ac:dyDescent="0.15"/>
    <row r="6396" customFormat="1" ht="13" x14ac:dyDescent="0.15"/>
    <row r="6397" customFormat="1" ht="13" x14ac:dyDescent="0.15"/>
    <row r="6398" customFormat="1" ht="13" x14ac:dyDescent="0.15"/>
    <row r="6399" customFormat="1" ht="13" x14ac:dyDescent="0.15"/>
    <row r="6400" customFormat="1" ht="13" x14ac:dyDescent="0.15"/>
    <row r="6401" customFormat="1" ht="13" x14ac:dyDescent="0.15"/>
    <row r="6402" customFormat="1" ht="13" x14ac:dyDescent="0.15"/>
    <row r="6403" customFormat="1" ht="13" x14ac:dyDescent="0.15"/>
    <row r="6404" customFormat="1" ht="13" x14ac:dyDescent="0.15"/>
    <row r="6405" customFormat="1" ht="13" x14ac:dyDescent="0.15"/>
    <row r="6406" customFormat="1" ht="13" x14ac:dyDescent="0.15"/>
    <row r="6407" customFormat="1" ht="13" x14ac:dyDescent="0.15"/>
    <row r="6408" customFormat="1" ht="13" x14ac:dyDescent="0.15"/>
    <row r="6409" customFormat="1" ht="13" x14ac:dyDescent="0.15"/>
    <row r="6410" customFormat="1" ht="13" x14ac:dyDescent="0.15"/>
    <row r="6411" customFormat="1" ht="13" x14ac:dyDescent="0.15"/>
    <row r="6412" customFormat="1" ht="13" x14ac:dyDescent="0.15"/>
    <row r="6413" customFormat="1" ht="13" x14ac:dyDescent="0.15"/>
    <row r="6414" customFormat="1" ht="13" x14ac:dyDescent="0.15"/>
    <row r="6415" customFormat="1" ht="13" x14ac:dyDescent="0.15"/>
    <row r="6416" customFormat="1" ht="13" x14ac:dyDescent="0.15"/>
    <row r="6417" customFormat="1" ht="13" x14ac:dyDescent="0.15"/>
    <row r="6418" customFormat="1" ht="13" x14ac:dyDescent="0.15"/>
    <row r="6419" customFormat="1" ht="13" x14ac:dyDescent="0.15"/>
    <row r="6420" customFormat="1" ht="13" x14ac:dyDescent="0.15"/>
    <row r="6421" customFormat="1" ht="13" x14ac:dyDescent="0.15"/>
    <row r="6422" customFormat="1" ht="13" x14ac:dyDescent="0.15"/>
    <row r="6423" customFormat="1" ht="13" x14ac:dyDescent="0.15"/>
    <row r="6424" customFormat="1" ht="13" x14ac:dyDescent="0.15"/>
    <row r="6425" customFormat="1" ht="13" x14ac:dyDescent="0.15"/>
    <row r="6426" customFormat="1" ht="13" x14ac:dyDescent="0.15"/>
    <row r="6427" customFormat="1" ht="13" x14ac:dyDescent="0.15"/>
    <row r="6428" customFormat="1" ht="13" x14ac:dyDescent="0.15"/>
    <row r="6429" customFormat="1" ht="13" x14ac:dyDescent="0.15"/>
    <row r="6430" customFormat="1" ht="13" x14ac:dyDescent="0.15"/>
    <row r="6431" customFormat="1" ht="13" x14ac:dyDescent="0.15"/>
    <row r="6432" customFormat="1" ht="13" x14ac:dyDescent="0.15"/>
    <row r="6433" customFormat="1" ht="13" x14ac:dyDescent="0.15"/>
    <row r="6434" customFormat="1" ht="13" x14ac:dyDescent="0.15"/>
    <row r="6435" customFormat="1" ht="13" x14ac:dyDescent="0.15"/>
    <row r="6436" customFormat="1" ht="13" x14ac:dyDescent="0.15"/>
    <row r="6437" customFormat="1" ht="13" x14ac:dyDescent="0.15"/>
    <row r="6438" customFormat="1" ht="13" x14ac:dyDescent="0.15"/>
    <row r="6439" customFormat="1" ht="13" x14ac:dyDescent="0.15"/>
    <row r="6440" customFormat="1" ht="13" x14ac:dyDescent="0.15"/>
    <row r="6441" customFormat="1" ht="13" x14ac:dyDescent="0.15"/>
    <row r="6442" customFormat="1" ht="13" x14ac:dyDescent="0.15"/>
    <row r="6443" customFormat="1" ht="13" x14ac:dyDescent="0.15"/>
    <row r="6444" customFormat="1" ht="13" x14ac:dyDescent="0.15"/>
    <row r="6445" customFormat="1" ht="13" x14ac:dyDescent="0.15"/>
    <row r="6446" customFormat="1" ht="13" x14ac:dyDescent="0.15"/>
    <row r="6447" customFormat="1" ht="13" x14ac:dyDescent="0.15"/>
    <row r="6448" customFormat="1" ht="13" x14ac:dyDescent="0.15"/>
    <row r="6449" customFormat="1" ht="13" x14ac:dyDescent="0.15"/>
    <row r="6450" customFormat="1" ht="13" x14ac:dyDescent="0.15"/>
    <row r="6451" customFormat="1" ht="13" x14ac:dyDescent="0.15"/>
    <row r="6452" customFormat="1" ht="13" x14ac:dyDescent="0.15"/>
    <row r="6453" customFormat="1" ht="13" x14ac:dyDescent="0.15"/>
    <row r="6454" customFormat="1" ht="13" x14ac:dyDescent="0.15"/>
    <row r="6455" customFormat="1" ht="13" x14ac:dyDescent="0.15"/>
    <row r="6456" customFormat="1" ht="13" x14ac:dyDescent="0.15"/>
    <row r="6457" customFormat="1" ht="13" x14ac:dyDescent="0.15"/>
    <row r="6458" customFormat="1" ht="13" x14ac:dyDescent="0.15"/>
    <row r="6459" customFormat="1" ht="13" x14ac:dyDescent="0.15"/>
    <row r="6460" customFormat="1" ht="13" x14ac:dyDescent="0.15"/>
    <row r="6461" customFormat="1" ht="13" x14ac:dyDescent="0.15"/>
    <row r="6462" customFormat="1" ht="13" x14ac:dyDescent="0.15"/>
    <row r="6463" customFormat="1" ht="13" x14ac:dyDescent="0.15"/>
    <row r="6464" customFormat="1" ht="13" x14ac:dyDescent="0.15"/>
    <row r="6465" customFormat="1" ht="13" x14ac:dyDescent="0.15"/>
    <row r="6466" customFormat="1" ht="13" x14ac:dyDescent="0.15"/>
    <row r="6467" customFormat="1" ht="13" x14ac:dyDescent="0.15"/>
    <row r="6468" customFormat="1" ht="13" x14ac:dyDescent="0.15"/>
    <row r="6469" customFormat="1" ht="13" x14ac:dyDescent="0.15"/>
    <row r="6470" customFormat="1" ht="13" x14ac:dyDescent="0.15"/>
    <row r="6471" customFormat="1" ht="13" x14ac:dyDescent="0.15"/>
    <row r="6472" customFormat="1" ht="13" x14ac:dyDescent="0.15"/>
    <row r="6473" customFormat="1" ht="13" x14ac:dyDescent="0.15"/>
    <row r="6474" customFormat="1" ht="13" x14ac:dyDescent="0.15"/>
    <row r="6475" customFormat="1" ht="13" x14ac:dyDescent="0.15"/>
    <row r="6476" customFormat="1" ht="13" x14ac:dyDescent="0.15"/>
    <row r="6477" customFormat="1" ht="13" x14ac:dyDescent="0.15"/>
    <row r="6478" customFormat="1" ht="13" x14ac:dyDescent="0.15"/>
    <row r="6479" customFormat="1" ht="13" x14ac:dyDescent="0.15"/>
    <row r="6480" customFormat="1" ht="13" x14ac:dyDescent="0.15"/>
    <row r="6481" customFormat="1" ht="13" x14ac:dyDescent="0.15"/>
    <row r="6482" customFormat="1" ht="13" x14ac:dyDescent="0.15"/>
    <row r="6483" customFormat="1" ht="13" x14ac:dyDescent="0.15"/>
    <row r="6484" customFormat="1" ht="13" x14ac:dyDescent="0.15"/>
    <row r="6485" customFormat="1" ht="13" x14ac:dyDescent="0.15"/>
    <row r="6486" customFormat="1" ht="13" x14ac:dyDescent="0.15"/>
    <row r="6487" customFormat="1" ht="13" x14ac:dyDescent="0.15"/>
    <row r="6488" customFormat="1" ht="13" x14ac:dyDescent="0.15"/>
    <row r="6489" customFormat="1" ht="13" x14ac:dyDescent="0.15"/>
    <row r="6490" customFormat="1" ht="13" x14ac:dyDescent="0.15"/>
    <row r="6491" customFormat="1" ht="13" x14ac:dyDescent="0.15"/>
    <row r="6492" customFormat="1" ht="13" x14ac:dyDescent="0.15"/>
    <row r="6493" customFormat="1" ht="13" x14ac:dyDescent="0.15"/>
    <row r="6494" customFormat="1" ht="13" x14ac:dyDescent="0.15"/>
    <row r="6495" customFormat="1" ht="13" x14ac:dyDescent="0.15"/>
    <row r="6496" customFormat="1" ht="13" x14ac:dyDescent="0.15"/>
    <row r="6497" customFormat="1" ht="13" x14ac:dyDescent="0.15"/>
    <row r="6498" customFormat="1" ht="13" x14ac:dyDescent="0.15"/>
    <row r="6499" customFormat="1" ht="13" x14ac:dyDescent="0.15"/>
    <row r="6500" customFormat="1" ht="13" x14ac:dyDescent="0.15"/>
    <row r="6501" customFormat="1" ht="13" x14ac:dyDescent="0.15"/>
    <row r="6502" customFormat="1" ht="13" x14ac:dyDescent="0.15"/>
    <row r="6503" customFormat="1" ht="13" x14ac:dyDescent="0.15"/>
    <row r="6504" customFormat="1" ht="13" x14ac:dyDescent="0.15"/>
    <row r="6505" customFormat="1" ht="13" x14ac:dyDescent="0.15"/>
    <row r="6506" customFormat="1" ht="13" x14ac:dyDescent="0.15"/>
    <row r="6507" customFormat="1" ht="13" x14ac:dyDescent="0.15"/>
    <row r="6508" customFormat="1" ht="13" x14ac:dyDescent="0.15"/>
    <row r="6509" customFormat="1" ht="13" x14ac:dyDescent="0.15"/>
    <row r="6510" customFormat="1" ht="13" x14ac:dyDescent="0.15"/>
    <row r="6511" customFormat="1" ht="13" x14ac:dyDescent="0.15"/>
    <row r="6512" customFormat="1" ht="13" x14ac:dyDescent="0.15"/>
    <row r="6513" customFormat="1" ht="13" x14ac:dyDescent="0.15"/>
    <row r="6514" customFormat="1" ht="13" x14ac:dyDescent="0.15"/>
    <row r="6515" customFormat="1" ht="13" x14ac:dyDescent="0.15"/>
    <row r="6516" customFormat="1" ht="13" x14ac:dyDescent="0.15"/>
    <row r="6517" customFormat="1" ht="13" x14ac:dyDescent="0.15"/>
    <row r="6518" customFormat="1" ht="13" x14ac:dyDescent="0.15"/>
    <row r="6519" customFormat="1" ht="13" x14ac:dyDescent="0.15"/>
    <row r="6520" customFormat="1" ht="13" x14ac:dyDescent="0.15"/>
    <row r="6521" customFormat="1" ht="13" x14ac:dyDescent="0.15"/>
    <row r="6522" customFormat="1" ht="13" x14ac:dyDescent="0.15"/>
    <row r="6523" customFormat="1" ht="13" x14ac:dyDescent="0.15"/>
    <row r="6524" customFormat="1" ht="13" x14ac:dyDescent="0.15"/>
    <row r="6525" customFormat="1" ht="13" x14ac:dyDescent="0.15"/>
    <row r="6526" customFormat="1" ht="13" x14ac:dyDescent="0.15"/>
    <row r="6527" customFormat="1" ht="13" x14ac:dyDescent="0.15"/>
    <row r="6528" customFormat="1" ht="13" x14ac:dyDescent="0.15"/>
    <row r="6529" customFormat="1" ht="13" x14ac:dyDescent="0.15"/>
    <row r="6530" customFormat="1" ht="13" x14ac:dyDescent="0.15"/>
    <row r="6531" customFormat="1" ht="13" x14ac:dyDescent="0.15"/>
    <row r="6532" customFormat="1" ht="13" x14ac:dyDescent="0.15"/>
    <row r="6533" customFormat="1" ht="13" x14ac:dyDescent="0.15"/>
    <row r="6534" customFormat="1" ht="13" x14ac:dyDescent="0.15"/>
    <row r="6535" customFormat="1" ht="13" x14ac:dyDescent="0.15"/>
    <row r="6536" customFormat="1" ht="13" x14ac:dyDescent="0.15"/>
    <row r="6537" customFormat="1" ht="13" x14ac:dyDescent="0.15"/>
    <row r="6538" customFormat="1" ht="13" x14ac:dyDescent="0.15"/>
    <row r="6539" customFormat="1" ht="13" x14ac:dyDescent="0.15"/>
    <row r="6540" customFormat="1" ht="13" x14ac:dyDescent="0.15"/>
    <row r="6541" customFormat="1" ht="13" x14ac:dyDescent="0.15"/>
    <row r="6542" customFormat="1" ht="13" x14ac:dyDescent="0.15"/>
    <row r="6543" customFormat="1" ht="13" x14ac:dyDescent="0.15"/>
    <row r="6544" customFormat="1" ht="13" x14ac:dyDescent="0.15"/>
    <row r="6545" customFormat="1" ht="13" x14ac:dyDescent="0.15"/>
    <row r="6546" customFormat="1" ht="13" x14ac:dyDescent="0.15"/>
    <row r="6547" customFormat="1" ht="13" x14ac:dyDescent="0.15"/>
    <row r="6548" customFormat="1" ht="13" x14ac:dyDescent="0.15"/>
    <row r="6549" customFormat="1" ht="13" x14ac:dyDescent="0.15"/>
    <row r="6550" customFormat="1" ht="13" x14ac:dyDescent="0.15"/>
    <row r="6551" customFormat="1" ht="13" x14ac:dyDescent="0.15"/>
    <row r="6552" customFormat="1" ht="13" x14ac:dyDescent="0.15"/>
    <row r="6553" customFormat="1" ht="13" x14ac:dyDescent="0.15"/>
    <row r="6554" customFormat="1" ht="13" x14ac:dyDescent="0.15"/>
    <row r="6555" customFormat="1" ht="13" x14ac:dyDescent="0.15"/>
    <row r="6556" customFormat="1" ht="13" x14ac:dyDescent="0.15"/>
    <row r="6557" customFormat="1" ht="13" x14ac:dyDescent="0.15"/>
    <row r="6558" customFormat="1" ht="13" x14ac:dyDescent="0.15"/>
    <row r="6559" customFormat="1" ht="13" x14ac:dyDescent="0.15"/>
    <row r="6560" customFormat="1" ht="13" x14ac:dyDescent="0.15"/>
    <row r="6561" customFormat="1" ht="13" x14ac:dyDescent="0.15"/>
    <row r="6562" customFormat="1" ht="13" x14ac:dyDescent="0.15"/>
    <row r="6563" customFormat="1" ht="13" x14ac:dyDescent="0.15"/>
    <row r="6564" customFormat="1" ht="13" x14ac:dyDescent="0.15"/>
    <row r="6565" customFormat="1" ht="13" x14ac:dyDescent="0.15"/>
    <row r="6566" customFormat="1" ht="13" x14ac:dyDescent="0.15"/>
    <row r="6567" customFormat="1" ht="13" x14ac:dyDescent="0.15"/>
    <row r="6568" customFormat="1" ht="13" x14ac:dyDescent="0.15"/>
    <row r="6569" customFormat="1" ht="13" x14ac:dyDescent="0.15"/>
    <row r="6570" customFormat="1" ht="13" x14ac:dyDescent="0.15"/>
    <row r="6571" customFormat="1" ht="13" x14ac:dyDescent="0.15"/>
    <row r="6572" customFormat="1" ht="13" x14ac:dyDescent="0.15"/>
    <row r="6573" customFormat="1" ht="13" x14ac:dyDescent="0.15"/>
    <row r="6574" customFormat="1" ht="13" x14ac:dyDescent="0.15"/>
    <row r="6575" customFormat="1" ht="13" x14ac:dyDescent="0.15"/>
    <row r="6576" customFormat="1" ht="13" x14ac:dyDescent="0.15"/>
    <row r="6577" customFormat="1" ht="13" x14ac:dyDescent="0.15"/>
    <row r="6578" customFormat="1" ht="13" x14ac:dyDescent="0.15"/>
    <row r="6579" customFormat="1" ht="13" x14ac:dyDescent="0.15"/>
    <row r="6580" customFormat="1" ht="13" x14ac:dyDescent="0.15"/>
    <row r="6581" customFormat="1" ht="13" x14ac:dyDescent="0.15"/>
    <row r="6582" customFormat="1" ht="13" x14ac:dyDescent="0.15"/>
    <row r="6583" customFormat="1" ht="13" x14ac:dyDescent="0.15"/>
    <row r="6584" customFormat="1" ht="13" x14ac:dyDescent="0.15"/>
    <row r="6585" customFormat="1" ht="13" x14ac:dyDescent="0.15"/>
    <row r="6586" customFormat="1" ht="13" x14ac:dyDescent="0.15"/>
    <row r="6587" customFormat="1" ht="13" x14ac:dyDescent="0.15"/>
    <row r="6588" customFormat="1" ht="13" x14ac:dyDescent="0.15"/>
    <row r="6589" customFormat="1" ht="13" x14ac:dyDescent="0.15"/>
    <row r="6590" customFormat="1" ht="13" x14ac:dyDescent="0.15"/>
    <row r="6591" customFormat="1" ht="13" x14ac:dyDescent="0.15"/>
    <row r="6592" customFormat="1" ht="13" x14ac:dyDescent="0.15"/>
    <row r="6593" customFormat="1" ht="13" x14ac:dyDescent="0.15"/>
    <row r="6594" customFormat="1" ht="13" x14ac:dyDescent="0.15"/>
    <row r="6595" customFormat="1" ht="13" x14ac:dyDescent="0.15"/>
    <row r="6596" customFormat="1" ht="13" x14ac:dyDescent="0.15"/>
    <row r="6597" customFormat="1" ht="13" x14ac:dyDescent="0.15"/>
    <row r="6598" customFormat="1" ht="13" x14ac:dyDescent="0.15"/>
    <row r="6599" customFormat="1" ht="13" x14ac:dyDescent="0.15"/>
    <row r="6600" customFormat="1" ht="13" x14ac:dyDescent="0.15"/>
    <row r="6601" customFormat="1" ht="13" x14ac:dyDescent="0.15"/>
    <row r="6602" customFormat="1" ht="13" x14ac:dyDescent="0.15"/>
    <row r="6603" customFormat="1" ht="13" x14ac:dyDescent="0.15"/>
    <row r="6604" customFormat="1" ht="13" x14ac:dyDescent="0.15"/>
    <row r="6605" customFormat="1" ht="13" x14ac:dyDescent="0.15"/>
    <row r="6606" customFormat="1" ht="13" x14ac:dyDescent="0.15"/>
    <row r="6607" customFormat="1" ht="13" x14ac:dyDescent="0.15"/>
    <row r="6608" customFormat="1" ht="13" x14ac:dyDescent="0.15"/>
    <row r="6609" customFormat="1" ht="13" x14ac:dyDescent="0.15"/>
    <row r="6610" customFormat="1" ht="13" x14ac:dyDescent="0.15"/>
    <row r="6611" customFormat="1" ht="13" x14ac:dyDescent="0.15"/>
    <row r="6612" customFormat="1" ht="13" x14ac:dyDescent="0.15"/>
    <row r="6613" customFormat="1" ht="13" x14ac:dyDescent="0.15"/>
    <row r="6614" customFormat="1" ht="13" x14ac:dyDescent="0.15"/>
    <row r="6615" customFormat="1" ht="13" x14ac:dyDescent="0.15"/>
    <row r="6616" customFormat="1" ht="13" x14ac:dyDescent="0.15"/>
    <row r="6617" customFormat="1" ht="13" x14ac:dyDescent="0.15"/>
    <row r="6618" customFormat="1" ht="13" x14ac:dyDescent="0.15"/>
    <row r="6619" customFormat="1" ht="13" x14ac:dyDescent="0.15"/>
    <row r="6620" customFormat="1" ht="13" x14ac:dyDescent="0.15"/>
    <row r="6621" customFormat="1" ht="13" x14ac:dyDescent="0.15"/>
    <row r="6622" customFormat="1" ht="13" x14ac:dyDescent="0.15"/>
    <row r="6623" customFormat="1" ht="13" x14ac:dyDescent="0.15"/>
    <row r="6624" customFormat="1" ht="13" x14ac:dyDescent="0.15"/>
    <row r="6625" customFormat="1" ht="13" x14ac:dyDescent="0.15"/>
    <row r="6626" customFormat="1" ht="13" x14ac:dyDescent="0.15"/>
    <row r="6627" customFormat="1" ht="13" x14ac:dyDescent="0.15"/>
    <row r="6628" customFormat="1" ht="13" x14ac:dyDescent="0.15"/>
    <row r="6629" customFormat="1" ht="13" x14ac:dyDescent="0.15"/>
    <row r="6630" customFormat="1" ht="13" x14ac:dyDescent="0.15"/>
    <row r="6631" customFormat="1" ht="13" x14ac:dyDescent="0.15"/>
    <row r="6632" customFormat="1" ht="13" x14ac:dyDescent="0.15"/>
    <row r="6633" customFormat="1" ht="13" x14ac:dyDescent="0.15"/>
    <row r="6634" customFormat="1" ht="13" x14ac:dyDescent="0.15"/>
    <row r="6635" customFormat="1" ht="13" x14ac:dyDescent="0.15"/>
    <row r="6636" customFormat="1" ht="13" x14ac:dyDescent="0.15"/>
    <row r="6637" customFormat="1" ht="13" x14ac:dyDescent="0.15"/>
    <row r="6638" customFormat="1" ht="13" x14ac:dyDescent="0.15"/>
    <row r="6639" customFormat="1" ht="13" x14ac:dyDescent="0.15"/>
    <row r="6640" customFormat="1" ht="13" x14ac:dyDescent="0.15"/>
    <row r="6641" customFormat="1" ht="13" x14ac:dyDescent="0.15"/>
    <row r="6642" customFormat="1" ht="13" x14ac:dyDescent="0.15"/>
    <row r="6643" customFormat="1" ht="13" x14ac:dyDescent="0.15"/>
    <row r="6644" customFormat="1" ht="13" x14ac:dyDescent="0.15"/>
    <row r="6645" customFormat="1" ht="13" x14ac:dyDescent="0.15"/>
    <row r="6646" customFormat="1" ht="13" x14ac:dyDescent="0.15"/>
    <row r="6647" customFormat="1" ht="13" x14ac:dyDescent="0.15"/>
    <row r="6648" customFormat="1" ht="13" x14ac:dyDescent="0.15"/>
    <row r="6649" customFormat="1" ht="13" x14ac:dyDescent="0.15"/>
    <row r="6650" customFormat="1" ht="13" x14ac:dyDescent="0.15"/>
    <row r="6651" customFormat="1" ht="13" x14ac:dyDescent="0.15"/>
    <row r="6652" customFormat="1" ht="13" x14ac:dyDescent="0.15"/>
    <row r="6653" customFormat="1" ht="13" x14ac:dyDescent="0.15"/>
    <row r="6654" customFormat="1" ht="13" x14ac:dyDescent="0.15"/>
    <row r="6655" customFormat="1" ht="13" x14ac:dyDescent="0.15"/>
    <row r="6656" customFormat="1" ht="13" x14ac:dyDescent="0.15"/>
    <row r="6657" customFormat="1" ht="13" x14ac:dyDescent="0.15"/>
    <row r="6658" customFormat="1" ht="13" x14ac:dyDescent="0.15"/>
    <row r="6659" customFormat="1" ht="13" x14ac:dyDescent="0.15"/>
    <row r="6660" customFormat="1" ht="13" x14ac:dyDescent="0.15"/>
    <row r="6661" customFormat="1" ht="13" x14ac:dyDescent="0.15"/>
    <row r="6662" customFormat="1" ht="13" x14ac:dyDescent="0.15"/>
    <row r="6663" customFormat="1" ht="13" x14ac:dyDescent="0.15"/>
    <row r="6664" customFormat="1" ht="13" x14ac:dyDescent="0.15"/>
    <row r="6665" customFormat="1" ht="13" x14ac:dyDescent="0.15"/>
    <row r="6666" customFormat="1" ht="13" x14ac:dyDescent="0.15"/>
    <row r="6667" customFormat="1" ht="13" x14ac:dyDescent="0.15"/>
    <row r="6668" customFormat="1" ht="13" x14ac:dyDescent="0.15"/>
    <row r="6669" customFormat="1" ht="13" x14ac:dyDescent="0.15"/>
    <row r="6670" customFormat="1" ht="13" x14ac:dyDescent="0.15"/>
    <row r="6671" customFormat="1" ht="13" x14ac:dyDescent="0.15"/>
    <row r="6672" customFormat="1" ht="13" x14ac:dyDescent="0.15"/>
    <row r="6673" customFormat="1" ht="13" x14ac:dyDescent="0.15"/>
    <row r="6674" customFormat="1" ht="13" x14ac:dyDescent="0.15"/>
    <row r="6675" customFormat="1" ht="13" x14ac:dyDescent="0.15"/>
    <row r="6676" customFormat="1" ht="13" x14ac:dyDescent="0.15"/>
    <row r="6677" customFormat="1" ht="13" x14ac:dyDescent="0.15"/>
    <row r="6678" customFormat="1" ht="13" x14ac:dyDescent="0.15"/>
    <row r="6679" customFormat="1" ht="13" x14ac:dyDescent="0.15"/>
    <row r="6680" customFormat="1" ht="13" x14ac:dyDescent="0.15"/>
    <row r="6681" customFormat="1" ht="13" x14ac:dyDescent="0.15"/>
    <row r="6682" customFormat="1" ht="13" x14ac:dyDescent="0.15"/>
    <row r="6683" customFormat="1" ht="13" x14ac:dyDescent="0.15"/>
    <row r="6684" customFormat="1" ht="13" x14ac:dyDescent="0.15"/>
    <row r="6685" customFormat="1" ht="13" x14ac:dyDescent="0.15"/>
    <row r="6686" customFormat="1" ht="13" x14ac:dyDescent="0.15"/>
    <row r="6687" customFormat="1" ht="13" x14ac:dyDescent="0.15"/>
    <row r="6688" customFormat="1" ht="13" x14ac:dyDescent="0.15"/>
    <row r="6689" customFormat="1" ht="13" x14ac:dyDescent="0.15"/>
    <row r="6690" customFormat="1" ht="13" x14ac:dyDescent="0.15"/>
    <row r="6691" customFormat="1" ht="13" x14ac:dyDescent="0.15"/>
    <row r="6692" customFormat="1" ht="13" x14ac:dyDescent="0.15"/>
    <row r="6693" customFormat="1" ht="13" x14ac:dyDescent="0.15"/>
    <row r="6694" customFormat="1" ht="13" x14ac:dyDescent="0.15"/>
    <row r="6695" customFormat="1" ht="13" x14ac:dyDescent="0.15"/>
    <row r="6696" customFormat="1" ht="13" x14ac:dyDescent="0.15"/>
    <row r="6697" customFormat="1" ht="13" x14ac:dyDescent="0.15"/>
    <row r="6698" customFormat="1" ht="13" x14ac:dyDescent="0.15"/>
    <row r="6699" customFormat="1" ht="13" x14ac:dyDescent="0.15"/>
    <row r="6700" customFormat="1" ht="13" x14ac:dyDescent="0.15"/>
    <row r="6701" customFormat="1" ht="13" x14ac:dyDescent="0.15"/>
    <row r="6702" customFormat="1" ht="13" x14ac:dyDescent="0.15"/>
    <row r="6703" customFormat="1" ht="13" x14ac:dyDescent="0.15"/>
    <row r="6704" customFormat="1" ht="13" x14ac:dyDescent="0.15"/>
    <row r="6705" customFormat="1" ht="13" x14ac:dyDescent="0.15"/>
    <row r="6706" customFormat="1" ht="13" x14ac:dyDescent="0.15"/>
    <row r="6707" customFormat="1" ht="13" x14ac:dyDescent="0.15"/>
    <row r="6708" customFormat="1" ht="13" x14ac:dyDescent="0.15"/>
    <row r="6709" customFormat="1" ht="13" x14ac:dyDescent="0.15"/>
    <row r="6710" customFormat="1" ht="13" x14ac:dyDescent="0.15"/>
    <row r="6711" customFormat="1" ht="13" x14ac:dyDescent="0.15"/>
    <row r="6712" customFormat="1" ht="13" x14ac:dyDescent="0.15"/>
    <row r="6713" customFormat="1" ht="13" x14ac:dyDescent="0.15"/>
    <row r="6714" customFormat="1" ht="13" x14ac:dyDescent="0.15"/>
    <row r="6715" customFormat="1" ht="13" x14ac:dyDescent="0.15"/>
    <row r="6716" customFormat="1" ht="13" x14ac:dyDescent="0.15"/>
    <row r="6717" customFormat="1" ht="13" x14ac:dyDescent="0.15"/>
    <row r="6718" customFormat="1" ht="13" x14ac:dyDescent="0.15"/>
    <row r="6719" customFormat="1" ht="13" x14ac:dyDescent="0.15"/>
    <row r="6720" customFormat="1" ht="13" x14ac:dyDescent="0.15"/>
    <row r="6721" customFormat="1" ht="13" x14ac:dyDescent="0.15"/>
    <row r="6722" customFormat="1" ht="13" x14ac:dyDescent="0.15"/>
    <row r="6723" customFormat="1" ht="13" x14ac:dyDescent="0.15"/>
    <row r="6724" customFormat="1" ht="13" x14ac:dyDescent="0.15"/>
    <row r="6725" customFormat="1" ht="13" x14ac:dyDescent="0.15"/>
    <row r="6726" customFormat="1" ht="13" x14ac:dyDescent="0.15"/>
    <row r="6727" customFormat="1" ht="13" x14ac:dyDescent="0.15"/>
    <row r="6728" customFormat="1" ht="13" x14ac:dyDescent="0.15"/>
    <row r="6729" customFormat="1" ht="13" x14ac:dyDescent="0.15"/>
    <row r="6730" customFormat="1" ht="13" x14ac:dyDescent="0.15"/>
    <row r="6731" customFormat="1" ht="13" x14ac:dyDescent="0.15"/>
    <row r="6732" customFormat="1" ht="13" x14ac:dyDescent="0.15"/>
    <row r="6733" customFormat="1" ht="13" x14ac:dyDescent="0.15"/>
    <row r="6734" customFormat="1" ht="13" x14ac:dyDescent="0.15"/>
    <row r="6735" customFormat="1" ht="13" x14ac:dyDescent="0.15"/>
    <row r="6736" customFormat="1" ht="13" x14ac:dyDescent="0.15"/>
    <row r="6737" customFormat="1" ht="13" x14ac:dyDescent="0.15"/>
    <row r="6738" customFormat="1" ht="13" x14ac:dyDescent="0.15"/>
    <row r="6739" customFormat="1" ht="13" x14ac:dyDescent="0.15"/>
    <row r="6740" customFormat="1" ht="13" x14ac:dyDescent="0.15"/>
    <row r="6741" customFormat="1" ht="13" x14ac:dyDescent="0.15"/>
    <row r="6742" customFormat="1" ht="13" x14ac:dyDescent="0.15"/>
    <row r="6743" customFormat="1" ht="13" x14ac:dyDescent="0.15"/>
    <row r="6744" customFormat="1" ht="13" x14ac:dyDescent="0.15"/>
    <row r="6745" customFormat="1" ht="13" x14ac:dyDescent="0.15"/>
    <row r="6746" customFormat="1" ht="13" x14ac:dyDescent="0.15"/>
    <row r="6747" customFormat="1" ht="13" x14ac:dyDescent="0.15"/>
    <row r="6748" customFormat="1" ht="13" x14ac:dyDescent="0.15"/>
    <row r="6749" customFormat="1" ht="13" x14ac:dyDescent="0.15"/>
    <row r="6750" customFormat="1" ht="13" x14ac:dyDescent="0.15"/>
    <row r="6751" customFormat="1" ht="13" x14ac:dyDescent="0.15"/>
    <row r="6752" customFormat="1" ht="13" x14ac:dyDescent="0.15"/>
    <row r="6753" customFormat="1" ht="13" x14ac:dyDescent="0.15"/>
    <row r="6754" customFormat="1" ht="13" x14ac:dyDescent="0.15"/>
    <row r="6755" customFormat="1" ht="13" x14ac:dyDescent="0.15"/>
    <row r="6756" customFormat="1" ht="13" x14ac:dyDescent="0.15"/>
    <row r="6757" customFormat="1" ht="13" x14ac:dyDescent="0.15"/>
    <row r="6758" customFormat="1" ht="13" x14ac:dyDescent="0.15"/>
    <row r="6759" customFormat="1" ht="13" x14ac:dyDescent="0.15"/>
    <row r="6760" customFormat="1" ht="13" x14ac:dyDescent="0.15"/>
    <row r="6761" customFormat="1" ht="13" x14ac:dyDescent="0.15"/>
    <row r="6762" customFormat="1" ht="13" x14ac:dyDescent="0.15"/>
    <row r="6763" customFormat="1" ht="13" x14ac:dyDescent="0.15"/>
    <row r="6764" customFormat="1" ht="13" x14ac:dyDescent="0.15"/>
    <row r="6765" customFormat="1" ht="13" x14ac:dyDescent="0.15"/>
    <row r="6766" customFormat="1" ht="13" x14ac:dyDescent="0.15"/>
    <row r="6767" customFormat="1" ht="13" x14ac:dyDescent="0.15"/>
    <row r="6768" customFormat="1" ht="13" x14ac:dyDescent="0.15"/>
    <row r="6769" customFormat="1" ht="13" x14ac:dyDescent="0.15"/>
    <row r="6770" customFormat="1" ht="13" x14ac:dyDescent="0.15"/>
    <row r="6771" customFormat="1" ht="13" x14ac:dyDescent="0.15"/>
    <row r="6772" customFormat="1" ht="13" x14ac:dyDescent="0.15"/>
    <row r="6773" customFormat="1" ht="13" x14ac:dyDescent="0.15"/>
    <row r="6774" customFormat="1" ht="13" x14ac:dyDescent="0.15"/>
    <row r="6775" customFormat="1" ht="13" x14ac:dyDescent="0.15"/>
    <row r="6776" customFormat="1" ht="13" x14ac:dyDescent="0.15"/>
    <row r="6777" customFormat="1" ht="13" x14ac:dyDescent="0.15"/>
    <row r="6778" customFormat="1" ht="13" x14ac:dyDescent="0.15"/>
    <row r="6779" customFormat="1" ht="13" x14ac:dyDescent="0.15"/>
    <row r="6780" customFormat="1" ht="13" x14ac:dyDescent="0.15"/>
    <row r="6781" customFormat="1" ht="13" x14ac:dyDescent="0.15"/>
    <row r="6782" customFormat="1" ht="13" x14ac:dyDescent="0.15"/>
    <row r="6783" customFormat="1" ht="13" x14ac:dyDescent="0.15"/>
    <row r="6784" customFormat="1" ht="13" x14ac:dyDescent="0.15"/>
    <row r="6785" customFormat="1" ht="13" x14ac:dyDescent="0.15"/>
    <row r="6786" customFormat="1" ht="13" x14ac:dyDescent="0.15"/>
    <row r="6787" customFormat="1" ht="13" x14ac:dyDescent="0.15"/>
    <row r="6788" customFormat="1" ht="13" x14ac:dyDescent="0.15"/>
    <row r="6789" customFormat="1" ht="13" x14ac:dyDescent="0.15"/>
    <row r="6790" customFormat="1" ht="13" x14ac:dyDescent="0.15"/>
    <row r="6791" customFormat="1" ht="13" x14ac:dyDescent="0.15"/>
    <row r="6792" customFormat="1" ht="13" x14ac:dyDescent="0.15"/>
    <row r="6793" customFormat="1" ht="13" x14ac:dyDescent="0.15"/>
    <row r="6794" customFormat="1" ht="13" x14ac:dyDescent="0.15"/>
    <row r="6795" customFormat="1" ht="13" x14ac:dyDescent="0.15"/>
    <row r="6796" customFormat="1" ht="13" x14ac:dyDescent="0.15"/>
    <row r="6797" customFormat="1" ht="13" x14ac:dyDescent="0.15"/>
    <row r="6798" customFormat="1" ht="13" x14ac:dyDescent="0.15"/>
    <row r="6799" customFormat="1" ht="13" x14ac:dyDescent="0.15"/>
    <row r="6800" customFormat="1" ht="13" x14ac:dyDescent="0.15"/>
    <row r="6801" customFormat="1" ht="13" x14ac:dyDescent="0.15"/>
    <row r="6802" customFormat="1" ht="13" x14ac:dyDescent="0.15"/>
    <row r="6803" customFormat="1" ht="13" x14ac:dyDescent="0.15"/>
    <row r="6804" customFormat="1" ht="13" x14ac:dyDescent="0.15"/>
    <row r="6805" customFormat="1" ht="13" x14ac:dyDescent="0.15"/>
    <row r="6806" customFormat="1" ht="13" x14ac:dyDescent="0.15"/>
    <row r="6807" customFormat="1" ht="13" x14ac:dyDescent="0.15"/>
    <row r="6808" customFormat="1" ht="13" x14ac:dyDescent="0.15"/>
    <row r="6809" customFormat="1" ht="13" x14ac:dyDescent="0.15"/>
    <row r="6810" customFormat="1" ht="13" x14ac:dyDescent="0.15"/>
    <row r="6811" customFormat="1" ht="13" x14ac:dyDescent="0.15"/>
    <row r="6812" customFormat="1" ht="13" x14ac:dyDescent="0.15"/>
    <row r="6813" customFormat="1" ht="13" x14ac:dyDescent="0.15"/>
    <row r="6814" customFormat="1" ht="13" x14ac:dyDescent="0.15"/>
    <row r="6815" customFormat="1" ht="13" x14ac:dyDescent="0.15"/>
    <row r="6816" customFormat="1" ht="13" x14ac:dyDescent="0.15"/>
    <row r="6817" customFormat="1" ht="13" x14ac:dyDescent="0.15"/>
    <row r="6818" customFormat="1" ht="13" x14ac:dyDescent="0.15"/>
    <row r="6819" customFormat="1" ht="13" x14ac:dyDescent="0.15"/>
    <row r="6820" customFormat="1" ht="13" x14ac:dyDescent="0.15"/>
    <row r="6821" customFormat="1" ht="13" x14ac:dyDescent="0.15"/>
    <row r="6822" customFormat="1" ht="13" x14ac:dyDescent="0.15"/>
    <row r="6823" customFormat="1" ht="13" x14ac:dyDescent="0.15"/>
    <row r="6824" customFormat="1" ht="13" x14ac:dyDescent="0.15"/>
    <row r="6825" customFormat="1" ht="13" x14ac:dyDescent="0.15"/>
    <row r="6826" customFormat="1" ht="13" x14ac:dyDescent="0.15"/>
    <row r="6827" customFormat="1" ht="13" x14ac:dyDescent="0.15"/>
    <row r="6828" customFormat="1" ht="13" x14ac:dyDescent="0.15"/>
    <row r="6829" customFormat="1" ht="13" x14ac:dyDescent="0.15"/>
    <row r="6830" customFormat="1" ht="13" x14ac:dyDescent="0.15"/>
    <row r="6831" customFormat="1" ht="13" x14ac:dyDescent="0.15"/>
    <row r="6832" customFormat="1" ht="13" x14ac:dyDescent="0.15"/>
    <row r="6833" customFormat="1" ht="13" x14ac:dyDescent="0.15"/>
    <row r="6834" customFormat="1" ht="13" x14ac:dyDescent="0.15"/>
    <row r="6835" customFormat="1" ht="13" x14ac:dyDescent="0.15"/>
    <row r="6836" customFormat="1" ht="13" x14ac:dyDescent="0.15"/>
    <row r="6837" customFormat="1" ht="13" x14ac:dyDescent="0.15"/>
    <row r="6838" customFormat="1" ht="13" x14ac:dyDescent="0.15"/>
    <row r="6839" customFormat="1" ht="13" x14ac:dyDescent="0.15"/>
    <row r="6840" customFormat="1" ht="13" x14ac:dyDescent="0.15"/>
    <row r="6841" customFormat="1" ht="13" x14ac:dyDescent="0.15"/>
    <row r="6842" customFormat="1" ht="13" x14ac:dyDescent="0.15"/>
    <row r="6843" customFormat="1" ht="13" x14ac:dyDescent="0.15"/>
    <row r="6844" customFormat="1" ht="13" x14ac:dyDescent="0.15"/>
    <row r="6845" customFormat="1" ht="13" x14ac:dyDescent="0.15"/>
    <row r="6846" customFormat="1" ht="13" x14ac:dyDescent="0.15"/>
    <row r="6847" customFormat="1" ht="13" x14ac:dyDescent="0.15"/>
    <row r="6848" customFormat="1" ht="13" x14ac:dyDescent="0.15"/>
    <row r="6849" customFormat="1" ht="13" x14ac:dyDescent="0.15"/>
    <row r="6850" customFormat="1" ht="13" x14ac:dyDescent="0.15"/>
    <row r="6851" customFormat="1" ht="13" x14ac:dyDescent="0.15"/>
    <row r="6852" customFormat="1" ht="13" x14ac:dyDescent="0.15"/>
    <row r="6853" customFormat="1" ht="13" x14ac:dyDescent="0.15"/>
    <row r="6854" customFormat="1" ht="13" x14ac:dyDescent="0.15"/>
    <row r="6855" customFormat="1" ht="13" x14ac:dyDescent="0.15"/>
    <row r="6856" customFormat="1" ht="13" x14ac:dyDescent="0.15"/>
    <row r="6857" customFormat="1" ht="13" x14ac:dyDescent="0.15"/>
    <row r="6858" customFormat="1" ht="13" x14ac:dyDescent="0.15"/>
    <row r="6859" customFormat="1" ht="13" x14ac:dyDescent="0.15"/>
    <row r="6860" customFormat="1" ht="13" x14ac:dyDescent="0.15"/>
    <row r="6861" customFormat="1" ht="13" x14ac:dyDescent="0.15"/>
    <row r="6862" customFormat="1" ht="13" x14ac:dyDescent="0.15"/>
    <row r="6863" customFormat="1" ht="13" x14ac:dyDescent="0.15"/>
    <row r="6864" customFormat="1" ht="13" x14ac:dyDescent="0.15"/>
    <row r="6865" customFormat="1" ht="13" x14ac:dyDescent="0.15"/>
    <row r="6866" customFormat="1" ht="13" x14ac:dyDescent="0.15"/>
    <row r="6867" customFormat="1" ht="13" x14ac:dyDescent="0.15"/>
    <row r="6868" customFormat="1" ht="13" x14ac:dyDescent="0.15"/>
    <row r="6869" customFormat="1" ht="13" x14ac:dyDescent="0.15"/>
    <row r="6870" customFormat="1" ht="13" x14ac:dyDescent="0.15"/>
    <row r="6871" customFormat="1" ht="13" x14ac:dyDescent="0.15"/>
    <row r="6872" customFormat="1" ht="13" x14ac:dyDescent="0.15"/>
    <row r="6873" customFormat="1" ht="13" x14ac:dyDescent="0.15"/>
    <row r="6874" customFormat="1" ht="13" x14ac:dyDescent="0.15"/>
    <row r="6875" customFormat="1" ht="13" x14ac:dyDescent="0.15"/>
    <row r="6876" customFormat="1" ht="13" x14ac:dyDescent="0.15"/>
    <row r="6877" customFormat="1" ht="13" x14ac:dyDescent="0.15"/>
    <row r="6878" customFormat="1" ht="13" x14ac:dyDescent="0.15"/>
    <row r="6879" customFormat="1" ht="13" x14ac:dyDescent="0.15"/>
    <row r="6880" customFormat="1" ht="13" x14ac:dyDescent="0.15"/>
    <row r="6881" customFormat="1" ht="13" x14ac:dyDescent="0.15"/>
    <row r="6882" customFormat="1" ht="13" x14ac:dyDescent="0.15"/>
    <row r="6883" customFormat="1" ht="13" x14ac:dyDescent="0.15"/>
    <row r="6884" customFormat="1" ht="13" x14ac:dyDescent="0.15"/>
    <row r="6885" customFormat="1" ht="13" x14ac:dyDescent="0.15"/>
    <row r="6886" customFormat="1" ht="13" x14ac:dyDescent="0.15"/>
    <row r="6887" customFormat="1" ht="13" x14ac:dyDescent="0.15"/>
    <row r="6888" customFormat="1" ht="13" x14ac:dyDescent="0.15"/>
    <row r="6889" customFormat="1" ht="13" x14ac:dyDescent="0.15"/>
    <row r="6890" customFormat="1" ht="13" x14ac:dyDescent="0.15"/>
    <row r="6891" customFormat="1" ht="13" x14ac:dyDescent="0.15"/>
    <row r="6892" customFormat="1" ht="13" x14ac:dyDescent="0.15"/>
    <row r="6893" customFormat="1" ht="13" x14ac:dyDescent="0.15"/>
    <row r="6894" customFormat="1" ht="13" x14ac:dyDescent="0.15"/>
    <row r="6895" customFormat="1" ht="13" x14ac:dyDescent="0.15"/>
    <row r="6896" customFormat="1" ht="13" x14ac:dyDescent="0.15"/>
    <row r="6897" customFormat="1" ht="13" x14ac:dyDescent="0.15"/>
    <row r="6898" customFormat="1" ht="13" x14ac:dyDescent="0.15"/>
    <row r="6899" customFormat="1" ht="13" x14ac:dyDescent="0.15"/>
    <row r="6900" customFormat="1" ht="13" x14ac:dyDescent="0.15"/>
    <row r="6901" customFormat="1" ht="13" x14ac:dyDescent="0.15"/>
    <row r="6902" customFormat="1" ht="13" x14ac:dyDescent="0.15"/>
    <row r="6903" customFormat="1" ht="13" x14ac:dyDescent="0.15"/>
    <row r="6904" customFormat="1" ht="13" x14ac:dyDescent="0.15"/>
    <row r="6905" customFormat="1" ht="13" x14ac:dyDescent="0.15"/>
    <row r="6906" customFormat="1" ht="13" x14ac:dyDescent="0.15"/>
    <row r="6907" customFormat="1" ht="13" x14ac:dyDescent="0.15"/>
    <row r="6908" customFormat="1" ht="13" x14ac:dyDescent="0.15"/>
    <row r="6909" customFormat="1" ht="13" x14ac:dyDescent="0.15"/>
    <row r="6910" customFormat="1" ht="13" x14ac:dyDescent="0.15"/>
    <row r="6911" customFormat="1" ht="13" x14ac:dyDescent="0.15"/>
    <row r="6912" customFormat="1" ht="13" x14ac:dyDescent="0.15"/>
    <row r="6913" customFormat="1" ht="13" x14ac:dyDescent="0.15"/>
    <row r="6914" customFormat="1" ht="13" x14ac:dyDescent="0.15"/>
    <row r="6915" customFormat="1" ht="13" x14ac:dyDescent="0.15"/>
    <row r="6916" customFormat="1" ht="13" x14ac:dyDescent="0.15"/>
    <row r="6917" customFormat="1" ht="13" x14ac:dyDescent="0.15"/>
    <row r="6918" customFormat="1" ht="13" x14ac:dyDescent="0.15"/>
    <row r="6919" customFormat="1" ht="13" x14ac:dyDescent="0.15"/>
    <row r="6920" customFormat="1" ht="13" x14ac:dyDescent="0.15"/>
    <row r="6921" customFormat="1" ht="13" x14ac:dyDescent="0.15"/>
    <row r="6922" customFormat="1" ht="13" x14ac:dyDescent="0.15"/>
    <row r="6923" customFormat="1" ht="13" x14ac:dyDescent="0.15"/>
    <row r="6924" customFormat="1" ht="13" x14ac:dyDescent="0.15"/>
    <row r="6925" customFormat="1" ht="13" x14ac:dyDescent="0.15"/>
    <row r="6926" customFormat="1" ht="13" x14ac:dyDescent="0.15"/>
    <row r="6927" customFormat="1" ht="13" x14ac:dyDescent="0.15"/>
    <row r="6928" customFormat="1" ht="13" x14ac:dyDescent="0.15"/>
    <row r="6929" customFormat="1" ht="13" x14ac:dyDescent="0.15"/>
    <row r="6930" customFormat="1" ht="13" x14ac:dyDescent="0.15"/>
    <row r="6931" customFormat="1" ht="13" x14ac:dyDescent="0.15"/>
    <row r="6932" customFormat="1" ht="13" x14ac:dyDescent="0.15"/>
    <row r="6933" customFormat="1" ht="13" x14ac:dyDescent="0.15"/>
    <row r="6934" customFormat="1" ht="13" x14ac:dyDescent="0.15"/>
    <row r="6935" customFormat="1" ht="13" x14ac:dyDescent="0.15"/>
    <row r="6936" customFormat="1" ht="13" x14ac:dyDescent="0.15"/>
    <row r="6937" customFormat="1" ht="13" x14ac:dyDescent="0.15"/>
    <row r="6938" customFormat="1" ht="13" x14ac:dyDescent="0.15"/>
    <row r="6939" customFormat="1" ht="13" x14ac:dyDescent="0.15"/>
    <row r="6940" customFormat="1" ht="13" x14ac:dyDescent="0.15"/>
    <row r="6941" customFormat="1" ht="13" x14ac:dyDescent="0.15"/>
    <row r="6942" customFormat="1" ht="13" x14ac:dyDescent="0.15"/>
    <row r="6943" customFormat="1" ht="13" x14ac:dyDescent="0.15"/>
    <row r="6944" customFormat="1" ht="13" x14ac:dyDescent="0.15"/>
    <row r="6945" customFormat="1" ht="13" x14ac:dyDescent="0.15"/>
    <row r="6946" customFormat="1" ht="13" x14ac:dyDescent="0.15"/>
    <row r="6947" customFormat="1" ht="13" x14ac:dyDescent="0.15"/>
    <row r="6948" customFormat="1" ht="13" x14ac:dyDescent="0.15"/>
    <row r="6949" customFormat="1" ht="13" x14ac:dyDescent="0.15"/>
    <row r="6950" customFormat="1" ht="13" x14ac:dyDescent="0.15"/>
    <row r="6951" customFormat="1" ht="13" x14ac:dyDescent="0.15"/>
    <row r="6952" customFormat="1" ht="13" x14ac:dyDescent="0.15"/>
    <row r="6953" customFormat="1" ht="13" x14ac:dyDescent="0.15"/>
    <row r="6954" customFormat="1" ht="13" x14ac:dyDescent="0.15"/>
    <row r="6955" customFormat="1" ht="13" x14ac:dyDescent="0.15"/>
    <row r="6956" customFormat="1" ht="13" x14ac:dyDescent="0.15"/>
    <row r="6957" customFormat="1" ht="13" x14ac:dyDescent="0.15"/>
    <row r="6958" customFormat="1" ht="13" x14ac:dyDescent="0.15"/>
    <row r="6959" customFormat="1" ht="13" x14ac:dyDescent="0.15"/>
    <row r="6960" customFormat="1" ht="13" x14ac:dyDescent="0.15"/>
    <row r="6961" customFormat="1" ht="13" x14ac:dyDescent="0.15"/>
    <row r="6962" customFormat="1" ht="13" x14ac:dyDescent="0.15"/>
    <row r="6963" customFormat="1" ht="13" x14ac:dyDescent="0.15"/>
    <row r="6964" customFormat="1" ht="13" x14ac:dyDescent="0.15"/>
    <row r="6965" customFormat="1" ht="13" x14ac:dyDescent="0.15"/>
    <row r="6966" customFormat="1" ht="13" x14ac:dyDescent="0.15"/>
    <row r="6967" customFormat="1" ht="13" x14ac:dyDescent="0.15"/>
    <row r="6968" customFormat="1" ht="13" x14ac:dyDescent="0.15"/>
    <row r="6969" customFormat="1" ht="13" x14ac:dyDescent="0.15"/>
    <row r="6970" customFormat="1" ht="13" x14ac:dyDescent="0.15"/>
    <row r="6971" customFormat="1" ht="13" x14ac:dyDescent="0.15"/>
    <row r="6972" customFormat="1" ht="13" x14ac:dyDescent="0.15"/>
    <row r="6973" customFormat="1" ht="13" x14ac:dyDescent="0.15"/>
    <row r="6974" customFormat="1" ht="13" x14ac:dyDescent="0.15"/>
    <row r="6975" customFormat="1" ht="13" x14ac:dyDescent="0.15"/>
    <row r="6976" customFormat="1" ht="13" x14ac:dyDescent="0.15"/>
    <row r="6977" customFormat="1" ht="13" x14ac:dyDescent="0.15"/>
    <row r="6978" customFormat="1" ht="13" x14ac:dyDescent="0.15"/>
    <row r="6979" customFormat="1" ht="13" x14ac:dyDescent="0.15"/>
    <row r="6980" customFormat="1" ht="13" x14ac:dyDescent="0.15"/>
    <row r="6981" customFormat="1" ht="13" x14ac:dyDescent="0.15"/>
    <row r="6982" customFormat="1" ht="13" x14ac:dyDescent="0.15"/>
    <row r="6983" customFormat="1" ht="13" x14ac:dyDescent="0.15"/>
    <row r="6984" customFormat="1" ht="13" x14ac:dyDescent="0.15"/>
    <row r="6985" customFormat="1" ht="13" x14ac:dyDescent="0.15"/>
    <row r="6986" customFormat="1" ht="13" x14ac:dyDescent="0.15"/>
    <row r="6987" customFormat="1" ht="13" x14ac:dyDescent="0.15"/>
    <row r="6988" customFormat="1" ht="13" x14ac:dyDescent="0.15"/>
    <row r="6989" customFormat="1" ht="13" x14ac:dyDescent="0.15"/>
    <row r="6990" customFormat="1" ht="13" x14ac:dyDescent="0.15"/>
    <row r="6991" customFormat="1" ht="13" x14ac:dyDescent="0.15"/>
    <row r="6992" customFormat="1" ht="13" x14ac:dyDescent="0.15"/>
    <row r="6993" customFormat="1" ht="13" x14ac:dyDescent="0.15"/>
    <row r="6994" customFormat="1" ht="13" x14ac:dyDescent="0.15"/>
    <row r="6995" customFormat="1" ht="13" x14ac:dyDescent="0.15"/>
    <row r="6996" customFormat="1" ht="13" x14ac:dyDescent="0.15"/>
    <row r="6997" customFormat="1" ht="13" x14ac:dyDescent="0.15"/>
    <row r="6998" customFormat="1" ht="13" x14ac:dyDescent="0.15"/>
    <row r="6999" customFormat="1" ht="13" x14ac:dyDescent="0.15"/>
    <row r="7000" customFormat="1" ht="13" x14ac:dyDescent="0.15"/>
    <row r="7001" customFormat="1" ht="13" x14ac:dyDescent="0.15"/>
    <row r="7002" customFormat="1" ht="13" x14ac:dyDescent="0.15"/>
    <row r="7003" customFormat="1" ht="13" x14ac:dyDescent="0.15"/>
    <row r="7004" customFormat="1" ht="13" x14ac:dyDescent="0.15"/>
    <row r="7005" customFormat="1" ht="13" x14ac:dyDescent="0.15"/>
    <row r="7006" customFormat="1" ht="13" x14ac:dyDescent="0.15"/>
    <row r="7007" customFormat="1" ht="13" x14ac:dyDescent="0.15"/>
    <row r="7008" customFormat="1" ht="13" x14ac:dyDescent="0.15"/>
    <row r="7009" customFormat="1" ht="13" x14ac:dyDescent="0.15"/>
    <row r="7010" customFormat="1" ht="13" x14ac:dyDescent="0.15"/>
    <row r="7011" customFormat="1" ht="13" x14ac:dyDescent="0.15"/>
    <row r="7012" customFormat="1" ht="13" x14ac:dyDescent="0.15"/>
    <row r="7013" customFormat="1" ht="13" x14ac:dyDescent="0.15"/>
    <row r="7014" customFormat="1" ht="13" x14ac:dyDescent="0.15"/>
    <row r="7015" customFormat="1" ht="13" x14ac:dyDescent="0.15"/>
    <row r="7016" customFormat="1" ht="13" x14ac:dyDescent="0.15"/>
    <row r="7017" customFormat="1" ht="13" x14ac:dyDescent="0.15"/>
    <row r="7018" customFormat="1" ht="13" x14ac:dyDescent="0.15"/>
    <row r="7019" customFormat="1" ht="13" x14ac:dyDescent="0.15"/>
    <row r="7020" customFormat="1" ht="13" x14ac:dyDescent="0.15"/>
    <row r="7021" customFormat="1" ht="13" x14ac:dyDescent="0.15"/>
    <row r="7022" customFormat="1" ht="13" x14ac:dyDescent="0.15"/>
    <row r="7023" customFormat="1" ht="13" x14ac:dyDescent="0.15"/>
    <row r="7024" customFormat="1" ht="13" x14ac:dyDescent="0.15"/>
    <row r="7025" customFormat="1" ht="13" x14ac:dyDescent="0.15"/>
    <row r="7026" customFormat="1" ht="13" x14ac:dyDescent="0.15"/>
    <row r="7027" customFormat="1" ht="13" x14ac:dyDescent="0.15"/>
    <row r="7028" customFormat="1" ht="13" x14ac:dyDescent="0.15"/>
    <row r="7029" customFormat="1" ht="13" x14ac:dyDescent="0.15"/>
    <row r="7030" customFormat="1" ht="13" x14ac:dyDescent="0.15"/>
    <row r="7031" customFormat="1" ht="13" x14ac:dyDescent="0.15"/>
    <row r="7032" customFormat="1" ht="13" x14ac:dyDescent="0.15"/>
    <row r="7033" customFormat="1" ht="13" x14ac:dyDescent="0.15"/>
    <row r="7034" customFormat="1" ht="13" x14ac:dyDescent="0.15"/>
    <row r="7035" customFormat="1" ht="13" x14ac:dyDescent="0.15"/>
    <row r="7036" customFormat="1" ht="13" x14ac:dyDescent="0.15"/>
    <row r="7037" customFormat="1" ht="13" x14ac:dyDescent="0.15"/>
    <row r="7038" customFormat="1" ht="13" x14ac:dyDescent="0.15"/>
    <row r="7039" customFormat="1" ht="13" x14ac:dyDescent="0.15"/>
    <row r="7040" customFormat="1" ht="13" x14ac:dyDescent="0.15"/>
    <row r="7041" customFormat="1" ht="13" x14ac:dyDescent="0.15"/>
    <row r="7042" customFormat="1" ht="13" x14ac:dyDescent="0.15"/>
    <row r="7043" customFormat="1" ht="13" x14ac:dyDescent="0.15"/>
    <row r="7044" customFormat="1" ht="13" x14ac:dyDescent="0.15"/>
    <row r="7045" customFormat="1" ht="13" x14ac:dyDescent="0.15"/>
    <row r="7046" customFormat="1" ht="13" x14ac:dyDescent="0.15"/>
    <row r="7047" customFormat="1" ht="13" x14ac:dyDescent="0.15"/>
    <row r="7048" customFormat="1" ht="13" x14ac:dyDescent="0.15"/>
    <row r="7049" customFormat="1" ht="13" x14ac:dyDescent="0.15"/>
    <row r="7050" customFormat="1" ht="13" x14ac:dyDescent="0.15"/>
    <row r="7051" customFormat="1" ht="13" x14ac:dyDescent="0.15"/>
    <row r="7052" customFormat="1" ht="13" x14ac:dyDescent="0.15"/>
    <row r="7053" customFormat="1" ht="13" x14ac:dyDescent="0.15"/>
    <row r="7054" customFormat="1" ht="13" x14ac:dyDescent="0.15"/>
    <row r="7055" customFormat="1" ht="13" x14ac:dyDescent="0.15"/>
    <row r="7056" customFormat="1" ht="13" x14ac:dyDescent="0.15"/>
    <row r="7057" customFormat="1" ht="13" x14ac:dyDescent="0.15"/>
    <row r="7058" customFormat="1" ht="13" x14ac:dyDescent="0.15"/>
    <row r="7059" customFormat="1" ht="13" x14ac:dyDescent="0.15"/>
    <row r="7060" customFormat="1" ht="13" x14ac:dyDescent="0.15"/>
    <row r="7061" customFormat="1" ht="13" x14ac:dyDescent="0.15"/>
    <row r="7062" customFormat="1" ht="13" x14ac:dyDescent="0.15"/>
    <row r="7063" customFormat="1" ht="13" x14ac:dyDescent="0.15"/>
    <row r="7064" customFormat="1" ht="13" x14ac:dyDescent="0.15"/>
    <row r="7065" customFormat="1" ht="13" x14ac:dyDescent="0.15"/>
    <row r="7066" customFormat="1" ht="13" x14ac:dyDescent="0.15"/>
    <row r="7067" customFormat="1" ht="13" x14ac:dyDescent="0.15"/>
    <row r="7068" customFormat="1" ht="13" x14ac:dyDescent="0.15"/>
    <row r="7069" customFormat="1" ht="13" x14ac:dyDescent="0.15"/>
    <row r="7070" customFormat="1" ht="13" x14ac:dyDescent="0.15"/>
    <row r="7071" customFormat="1" ht="13" x14ac:dyDescent="0.15"/>
    <row r="7072" customFormat="1" ht="13" x14ac:dyDescent="0.15"/>
    <row r="7073" customFormat="1" ht="13" x14ac:dyDescent="0.15"/>
    <row r="7074" customFormat="1" ht="13" x14ac:dyDescent="0.15"/>
    <row r="7075" customFormat="1" ht="13" x14ac:dyDescent="0.15"/>
    <row r="7076" customFormat="1" ht="13" x14ac:dyDescent="0.15"/>
    <row r="7077" customFormat="1" ht="13" x14ac:dyDescent="0.15"/>
    <row r="7078" customFormat="1" ht="13" x14ac:dyDescent="0.15"/>
    <row r="7079" customFormat="1" ht="13" x14ac:dyDescent="0.15"/>
    <row r="7080" customFormat="1" ht="13" x14ac:dyDescent="0.15"/>
    <row r="7081" customFormat="1" ht="13" x14ac:dyDescent="0.15"/>
    <row r="7082" customFormat="1" ht="13" x14ac:dyDescent="0.15"/>
    <row r="7083" customFormat="1" ht="13" x14ac:dyDescent="0.15"/>
    <row r="7084" customFormat="1" ht="13" x14ac:dyDescent="0.15"/>
    <row r="7085" customFormat="1" ht="13" x14ac:dyDescent="0.15"/>
    <row r="7086" customFormat="1" ht="13" x14ac:dyDescent="0.15"/>
    <row r="7087" customFormat="1" ht="13" x14ac:dyDescent="0.15"/>
    <row r="7088" customFormat="1" ht="13" x14ac:dyDescent="0.15"/>
    <row r="7089" customFormat="1" ht="13" x14ac:dyDescent="0.15"/>
    <row r="7090" customFormat="1" ht="13" x14ac:dyDescent="0.15"/>
    <row r="7091" customFormat="1" ht="13" x14ac:dyDescent="0.15"/>
    <row r="7092" customFormat="1" ht="13" x14ac:dyDescent="0.15"/>
    <row r="7093" customFormat="1" ht="13" x14ac:dyDescent="0.15"/>
    <row r="7094" customFormat="1" ht="13" x14ac:dyDescent="0.15"/>
    <row r="7095" customFormat="1" ht="13" x14ac:dyDescent="0.15"/>
    <row r="7096" customFormat="1" ht="13" x14ac:dyDescent="0.15"/>
    <row r="7097" customFormat="1" ht="13" x14ac:dyDescent="0.15"/>
    <row r="7098" customFormat="1" ht="13" x14ac:dyDescent="0.15"/>
    <row r="7099" customFormat="1" ht="13" x14ac:dyDescent="0.15"/>
    <row r="7100" customFormat="1" ht="13" x14ac:dyDescent="0.15"/>
    <row r="7101" customFormat="1" ht="13" x14ac:dyDescent="0.15"/>
    <row r="7102" customFormat="1" ht="13" x14ac:dyDescent="0.15"/>
    <row r="7103" customFormat="1" ht="13" x14ac:dyDescent="0.15"/>
    <row r="7104" customFormat="1" ht="13" x14ac:dyDescent="0.15"/>
    <row r="7105" customFormat="1" ht="13" x14ac:dyDescent="0.15"/>
    <row r="7106" customFormat="1" ht="13" x14ac:dyDescent="0.15"/>
    <row r="7107" customFormat="1" ht="13" x14ac:dyDescent="0.15"/>
    <row r="7108" customFormat="1" ht="13" x14ac:dyDescent="0.15"/>
    <row r="7109" customFormat="1" ht="13" x14ac:dyDescent="0.15"/>
    <row r="7110" customFormat="1" ht="13" x14ac:dyDescent="0.15"/>
    <row r="7111" customFormat="1" ht="13" x14ac:dyDescent="0.15"/>
    <row r="7112" customFormat="1" ht="13" x14ac:dyDescent="0.15"/>
    <row r="7113" customFormat="1" ht="13" x14ac:dyDescent="0.15"/>
    <row r="7114" customFormat="1" ht="13" x14ac:dyDescent="0.15"/>
    <row r="7115" customFormat="1" ht="13" x14ac:dyDescent="0.15"/>
    <row r="7116" customFormat="1" ht="13" x14ac:dyDescent="0.15"/>
    <row r="7117" customFormat="1" ht="13" x14ac:dyDescent="0.15"/>
    <row r="7118" customFormat="1" ht="13" x14ac:dyDescent="0.15"/>
    <row r="7119" customFormat="1" ht="13" x14ac:dyDescent="0.15"/>
    <row r="7120" customFormat="1" ht="13" x14ac:dyDescent="0.15"/>
    <row r="7121" customFormat="1" ht="13" x14ac:dyDescent="0.15"/>
    <row r="7122" customFormat="1" ht="13" x14ac:dyDescent="0.15"/>
    <row r="7123" customFormat="1" ht="13" x14ac:dyDescent="0.15"/>
    <row r="7124" customFormat="1" ht="13" x14ac:dyDescent="0.15"/>
    <row r="7125" customFormat="1" ht="13" x14ac:dyDescent="0.15"/>
    <row r="7126" customFormat="1" ht="13" x14ac:dyDescent="0.15"/>
    <row r="7127" customFormat="1" ht="13" x14ac:dyDescent="0.15"/>
    <row r="7128" customFormat="1" ht="13" x14ac:dyDescent="0.15"/>
    <row r="7129" customFormat="1" ht="13" x14ac:dyDescent="0.15"/>
    <row r="7130" customFormat="1" ht="13" x14ac:dyDescent="0.15"/>
    <row r="7131" customFormat="1" ht="13" x14ac:dyDescent="0.15"/>
    <row r="7132" customFormat="1" ht="13" x14ac:dyDescent="0.15"/>
    <row r="7133" customFormat="1" ht="13" x14ac:dyDescent="0.15"/>
    <row r="7134" customFormat="1" ht="13" x14ac:dyDescent="0.15"/>
    <row r="7135" customFormat="1" ht="13" x14ac:dyDescent="0.15"/>
    <row r="7136" customFormat="1" ht="13" x14ac:dyDescent="0.15"/>
    <row r="7137" customFormat="1" ht="13" x14ac:dyDescent="0.15"/>
    <row r="7138" customFormat="1" ht="13" x14ac:dyDescent="0.15"/>
    <row r="7139" customFormat="1" ht="13" x14ac:dyDescent="0.15"/>
    <row r="7140" customFormat="1" ht="13" x14ac:dyDescent="0.15"/>
    <row r="7141" customFormat="1" ht="13" x14ac:dyDescent="0.15"/>
    <row r="7142" customFormat="1" ht="13" x14ac:dyDescent="0.15"/>
    <row r="7143" customFormat="1" ht="13" x14ac:dyDescent="0.15"/>
    <row r="7144" customFormat="1" ht="13" x14ac:dyDescent="0.15"/>
    <row r="7145" customFormat="1" ht="13" x14ac:dyDescent="0.15"/>
    <row r="7146" customFormat="1" ht="13" x14ac:dyDescent="0.15"/>
    <row r="7147" customFormat="1" ht="13" x14ac:dyDescent="0.15"/>
    <row r="7148" customFormat="1" ht="13" x14ac:dyDescent="0.15"/>
    <row r="7149" customFormat="1" ht="13" x14ac:dyDescent="0.15"/>
    <row r="7150" customFormat="1" ht="13" x14ac:dyDescent="0.15"/>
    <row r="7151" customFormat="1" ht="13" x14ac:dyDescent="0.15"/>
    <row r="7152" customFormat="1" ht="13" x14ac:dyDescent="0.15"/>
    <row r="7153" customFormat="1" ht="13" x14ac:dyDescent="0.15"/>
    <row r="7154" customFormat="1" ht="13" x14ac:dyDescent="0.15"/>
    <row r="7155" customFormat="1" ht="13" x14ac:dyDescent="0.15"/>
    <row r="7156" customFormat="1" ht="13" x14ac:dyDescent="0.15"/>
    <row r="7157" customFormat="1" ht="13" x14ac:dyDescent="0.15"/>
    <row r="7158" customFormat="1" ht="13" x14ac:dyDescent="0.15"/>
    <row r="7159" customFormat="1" ht="13" x14ac:dyDescent="0.15"/>
    <row r="7160" customFormat="1" ht="13" x14ac:dyDescent="0.15"/>
    <row r="7161" customFormat="1" ht="13" x14ac:dyDescent="0.15"/>
    <row r="7162" customFormat="1" ht="13" x14ac:dyDescent="0.15"/>
    <row r="7163" customFormat="1" ht="13" x14ac:dyDescent="0.15"/>
    <row r="7164" customFormat="1" ht="13" x14ac:dyDescent="0.15"/>
    <row r="7165" customFormat="1" ht="13" x14ac:dyDescent="0.15"/>
    <row r="7166" customFormat="1" ht="13" x14ac:dyDescent="0.15"/>
    <row r="7167" customFormat="1" ht="13" x14ac:dyDescent="0.15"/>
    <row r="7168" customFormat="1" ht="13" x14ac:dyDescent="0.15"/>
    <row r="7169" customFormat="1" ht="13" x14ac:dyDescent="0.15"/>
    <row r="7170" customFormat="1" ht="13" x14ac:dyDescent="0.15"/>
    <row r="7171" customFormat="1" ht="13" x14ac:dyDescent="0.15"/>
    <row r="7172" customFormat="1" ht="13" x14ac:dyDescent="0.15"/>
    <row r="7173" customFormat="1" ht="13" x14ac:dyDescent="0.15"/>
    <row r="7174" customFormat="1" ht="13" x14ac:dyDescent="0.15"/>
    <row r="7175" customFormat="1" ht="13" x14ac:dyDescent="0.15"/>
    <row r="7176" customFormat="1" ht="13" x14ac:dyDescent="0.15"/>
    <row r="7177" customFormat="1" ht="13" x14ac:dyDescent="0.15"/>
    <row r="7178" customFormat="1" ht="13" x14ac:dyDescent="0.15"/>
    <row r="7179" customFormat="1" ht="13" x14ac:dyDescent="0.15"/>
    <row r="7180" customFormat="1" ht="13" x14ac:dyDescent="0.15"/>
    <row r="7181" customFormat="1" ht="13" x14ac:dyDescent="0.15"/>
    <row r="7182" customFormat="1" ht="13" x14ac:dyDescent="0.15"/>
    <row r="7183" customFormat="1" ht="13" x14ac:dyDescent="0.15"/>
    <row r="7184" customFormat="1" ht="13" x14ac:dyDescent="0.15"/>
    <row r="7185" customFormat="1" ht="13" x14ac:dyDescent="0.15"/>
    <row r="7186" customFormat="1" ht="13" x14ac:dyDescent="0.15"/>
    <row r="7187" customFormat="1" ht="13" x14ac:dyDescent="0.15"/>
    <row r="7188" customFormat="1" ht="13" x14ac:dyDescent="0.15"/>
    <row r="7189" customFormat="1" ht="13" x14ac:dyDescent="0.15"/>
    <row r="7190" customFormat="1" ht="13" x14ac:dyDescent="0.15"/>
    <row r="7191" customFormat="1" ht="13" x14ac:dyDescent="0.15"/>
    <row r="7192" customFormat="1" ht="13" x14ac:dyDescent="0.15"/>
    <row r="7193" customFormat="1" ht="13" x14ac:dyDescent="0.15"/>
    <row r="7194" customFormat="1" ht="13" x14ac:dyDescent="0.15"/>
    <row r="7195" customFormat="1" ht="13" x14ac:dyDescent="0.15"/>
    <row r="7196" customFormat="1" ht="13" x14ac:dyDescent="0.15"/>
    <row r="7197" customFormat="1" ht="13" x14ac:dyDescent="0.15"/>
    <row r="7198" customFormat="1" ht="13" x14ac:dyDescent="0.15"/>
    <row r="7199" customFormat="1" ht="13" x14ac:dyDescent="0.15"/>
    <row r="7200" customFormat="1" ht="13" x14ac:dyDescent="0.15"/>
    <row r="7201" customFormat="1" ht="13" x14ac:dyDescent="0.15"/>
    <row r="7202" customFormat="1" ht="13" x14ac:dyDescent="0.15"/>
    <row r="7203" customFormat="1" ht="13" x14ac:dyDescent="0.15"/>
    <row r="7204" customFormat="1" ht="13" x14ac:dyDescent="0.15"/>
    <row r="7205" customFormat="1" ht="13" x14ac:dyDescent="0.15"/>
    <row r="7206" customFormat="1" ht="13" x14ac:dyDescent="0.15"/>
    <row r="7207" customFormat="1" ht="13" x14ac:dyDescent="0.15"/>
    <row r="7208" customFormat="1" ht="13" x14ac:dyDescent="0.15"/>
    <row r="7209" customFormat="1" ht="13" x14ac:dyDescent="0.15"/>
    <row r="7210" customFormat="1" ht="13" x14ac:dyDescent="0.15"/>
    <row r="7211" customFormat="1" ht="13" x14ac:dyDescent="0.15"/>
    <row r="7212" customFormat="1" ht="13" x14ac:dyDescent="0.15"/>
    <row r="7213" customFormat="1" ht="13" x14ac:dyDescent="0.15"/>
    <row r="7214" customFormat="1" ht="13" x14ac:dyDescent="0.15"/>
    <row r="7215" customFormat="1" ht="13" x14ac:dyDescent="0.15"/>
    <row r="7216" customFormat="1" ht="13" x14ac:dyDescent="0.15"/>
    <row r="7217" customFormat="1" ht="13" x14ac:dyDescent="0.15"/>
    <row r="7218" customFormat="1" ht="13" x14ac:dyDescent="0.15"/>
    <row r="7219" customFormat="1" ht="13" x14ac:dyDescent="0.15"/>
    <row r="7220" customFormat="1" ht="13" x14ac:dyDescent="0.15"/>
    <row r="7221" customFormat="1" ht="13" x14ac:dyDescent="0.15"/>
    <row r="7222" customFormat="1" ht="13" x14ac:dyDescent="0.15"/>
    <row r="7223" customFormat="1" ht="13" x14ac:dyDescent="0.15"/>
    <row r="7224" customFormat="1" ht="13" x14ac:dyDescent="0.15"/>
    <row r="7225" customFormat="1" ht="13" x14ac:dyDescent="0.15"/>
    <row r="7226" customFormat="1" ht="13" x14ac:dyDescent="0.15"/>
    <row r="7227" customFormat="1" ht="13" x14ac:dyDescent="0.15"/>
    <row r="7228" customFormat="1" ht="13" x14ac:dyDescent="0.15"/>
    <row r="7229" customFormat="1" ht="13" x14ac:dyDescent="0.15"/>
    <row r="7230" customFormat="1" ht="13" x14ac:dyDescent="0.15"/>
    <row r="7231" customFormat="1" ht="13" x14ac:dyDescent="0.15"/>
    <row r="7232" customFormat="1" ht="13" x14ac:dyDescent="0.15"/>
    <row r="7233" customFormat="1" ht="13" x14ac:dyDescent="0.15"/>
    <row r="7234" customFormat="1" ht="13" x14ac:dyDescent="0.15"/>
    <row r="7235" customFormat="1" ht="13" x14ac:dyDescent="0.15"/>
    <row r="7236" customFormat="1" ht="13" x14ac:dyDescent="0.15"/>
    <row r="7237" customFormat="1" ht="13" x14ac:dyDescent="0.15"/>
    <row r="7238" customFormat="1" ht="13" x14ac:dyDescent="0.15"/>
    <row r="7239" customFormat="1" ht="13" x14ac:dyDescent="0.15"/>
    <row r="7240" customFormat="1" ht="13" x14ac:dyDescent="0.15"/>
    <row r="7241" customFormat="1" ht="13" x14ac:dyDescent="0.15"/>
    <row r="7242" customFormat="1" ht="13" x14ac:dyDescent="0.15"/>
    <row r="7243" customFormat="1" ht="13" x14ac:dyDescent="0.15"/>
    <row r="7244" customFormat="1" ht="13" x14ac:dyDescent="0.15"/>
    <row r="7245" customFormat="1" ht="13" x14ac:dyDescent="0.15"/>
    <row r="7246" customFormat="1" ht="13" x14ac:dyDescent="0.15"/>
    <row r="7247" customFormat="1" ht="13" x14ac:dyDescent="0.15"/>
    <row r="7248" customFormat="1" ht="13" x14ac:dyDescent="0.15"/>
    <row r="7249" customFormat="1" ht="13" x14ac:dyDescent="0.15"/>
    <row r="7250" customFormat="1" ht="13" x14ac:dyDescent="0.15"/>
    <row r="7251" customFormat="1" ht="13" x14ac:dyDescent="0.15"/>
    <row r="7252" customFormat="1" ht="13" x14ac:dyDescent="0.15"/>
    <row r="7253" customFormat="1" ht="13" x14ac:dyDescent="0.15"/>
    <row r="7254" customFormat="1" ht="13" x14ac:dyDescent="0.15"/>
    <row r="7255" customFormat="1" ht="13" x14ac:dyDescent="0.15"/>
    <row r="7256" customFormat="1" ht="13" x14ac:dyDescent="0.15"/>
    <row r="7257" customFormat="1" ht="13" x14ac:dyDescent="0.15"/>
    <row r="7258" customFormat="1" ht="13" x14ac:dyDescent="0.15"/>
    <row r="7259" customFormat="1" ht="13" x14ac:dyDescent="0.15"/>
    <row r="7260" customFormat="1" ht="13" x14ac:dyDescent="0.15"/>
    <row r="7261" customFormat="1" ht="13" x14ac:dyDescent="0.15"/>
    <row r="7262" customFormat="1" ht="13" x14ac:dyDescent="0.15"/>
    <row r="7263" customFormat="1" ht="13" x14ac:dyDescent="0.15"/>
    <row r="7264" customFormat="1" ht="13" x14ac:dyDescent="0.15"/>
    <row r="7265" customFormat="1" ht="13" x14ac:dyDescent="0.15"/>
    <row r="7266" customFormat="1" ht="13" x14ac:dyDescent="0.15"/>
    <row r="7267" customFormat="1" ht="13" x14ac:dyDescent="0.15"/>
    <row r="7268" customFormat="1" ht="13" x14ac:dyDescent="0.15"/>
    <row r="7269" customFormat="1" ht="13" x14ac:dyDescent="0.15"/>
    <row r="7270" customFormat="1" ht="13" x14ac:dyDescent="0.15"/>
    <row r="7271" customFormat="1" ht="13" x14ac:dyDescent="0.15"/>
    <row r="7272" customFormat="1" ht="13" x14ac:dyDescent="0.15"/>
    <row r="7273" customFormat="1" ht="13" x14ac:dyDescent="0.15"/>
    <row r="7274" customFormat="1" ht="13" x14ac:dyDescent="0.15"/>
    <row r="7275" customFormat="1" ht="13" x14ac:dyDescent="0.15"/>
    <row r="7276" customFormat="1" ht="13" x14ac:dyDescent="0.15"/>
    <row r="7277" customFormat="1" ht="13" x14ac:dyDescent="0.15"/>
    <row r="7278" customFormat="1" ht="13" x14ac:dyDescent="0.15"/>
    <row r="7279" customFormat="1" ht="13" x14ac:dyDescent="0.15"/>
    <row r="7280" customFormat="1" ht="13" x14ac:dyDescent="0.15"/>
    <row r="7281" customFormat="1" ht="13" x14ac:dyDescent="0.15"/>
    <row r="7282" customFormat="1" ht="13" x14ac:dyDescent="0.15"/>
    <row r="7283" customFormat="1" ht="13" x14ac:dyDescent="0.15"/>
    <row r="7284" customFormat="1" ht="13" x14ac:dyDescent="0.15"/>
    <row r="7285" customFormat="1" ht="13" x14ac:dyDescent="0.15"/>
    <row r="7286" customFormat="1" ht="13" x14ac:dyDescent="0.15"/>
    <row r="7287" customFormat="1" ht="13" x14ac:dyDescent="0.15"/>
    <row r="7288" customFormat="1" ht="13" x14ac:dyDescent="0.15"/>
    <row r="7289" customFormat="1" ht="13" x14ac:dyDescent="0.15"/>
    <row r="7290" customFormat="1" ht="13" x14ac:dyDescent="0.15"/>
    <row r="7291" customFormat="1" ht="13" x14ac:dyDescent="0.15"/>
    <row r="7292" customFormat="1" ht="13" x14ac:dyDescent="0.15"/>
    <row r="7293" customFormat="1" ht="13" x14ac:dyDescent="0.15"/>
    <row r="7294" customFormat="1" ht="13" x14ac:dyDescent="0.15"/>
    <row r="7295" customFormat="1" ht="13" x14ac:dyDescent="0.15"/>
    <row r="7296" customFormat="1" ht="13" x14ac:dyDescent="0.15"/>
    <row r="7297" customFormat="1" ht="13" x14ac:dyDescent="0.15"/>
    <row r="7298" customFormat="1" ht="13" x14ac:dyDescent="0.15"/>
    <row r="7299" customFormat="1" ht="13" x14ac:dyDescent="0.15"/>
    <row r="7300" customFormat="1" ht="13" x14ac:dyDescent="0.15"/>
    <row r="7301" customFormat="1" ht="13" x14ac:dyDescent="0.15"/>
    <row r="7302" customFormat="1" ht="13" x14ac:dyDescent="0.15"/>
    <row r="7303" customFormat="1" ht="13" x14ac:dyDescent="0.15"/>
    <row r="7304" customFormat="1" ht="13" x14ac:dyDescent="0.15"/>
    <row r="7305" customFormat="1" ht="13" x14ac:dyDescent="0.15"/>
    <row r="7306" customFormat="1" ht="13" x14ac:dyDescent="0.15"/>
    <row r="7307" customFormat="1" ht="13" x14ac:dyDescent="0.15"/>
    <row r="7308" customFormat="1" ht="13" x14ac:dyDescent="0.15"/>
    <row r="7309" customFormat="1" ht="13" x14ac:dyDescent="0.15"/>
    <row r="7310" customFormat="1" ht="13" x14ac:dyDescent="0.15"/>
    <row r="7311" customFormat="1" ht="13" x14ac:dyDescent="0.15"/>
    <row r="7312" customFormat="1" ht="13" x14ac:dyDescent="0.15"/>
    <row r="7313" customFormat="1" ht="13" x14ac:dyDescent="0.15"/>
    <row r="7314" customFormat="1" ht="13" x14ac:dyDescent="0.15"/>
    <row r="7315" customFormat="1" ht="13" x14ac:dyDescent="0.15"/>
    <row r="7316" customFormat="1" ht="13" x14ac:dyDescent="0.15"/>
    <row r="7317" customFormat="1" ht="13" x14ac:dyDescent="0.15"/>
    <row r="7318" customFormat="1" ht="13" x14ac:dyDescent="0.15"/>
    <row r="7319" customFormat="1" ht="13" x14ac:dyDescent="0.15"/>
    <row r="7320" customFormat="1" ht="13" x14ac:dyDescent="0.15"/>
    <row r="7321" customFormat="1" ht="13" x14ac:dyDescent="0.15"/>
    <row r="7322" customFormat="1" ht="13" x14ac:dyDescent="0.15"/>
    <row r="7323" customFormat="1" ht="13" x14ac:dyDescent="0.15"/>
    <row r="7324" customFormat="1" ht="13" x14ac:dyDescent="0.15"/>
    <row r="7325" customFormat="1" ht="13" x14ac:dyDescent="0.15"/>
    <row r="7326" customFormat="1" ht="13" x14ac:dyDescent="0.15"/>
    <row r="7327" customFormat="1" ht="13" x14ac:dyDescent="0.15"/>
    <row r="7328" customFormat="1" ht="13" x14ac:dyDescent="0.15"/>
    <row r="7329" customFormat="1" ht="13" x14ac:dyDescent="0.15"/>
    <row r="7330" customFormat="1" ht="13" x14ac:dyDescent="0.15"/>
    <row r="7331" customFormat="1" ht="13" x14ac:dyDescent="0.15"/>
    <row r="7332" customFormat="1" ht="13" x14ac:dyDescent="0.15"/>
    <row r="7333" customFormat="1" ht="13" x14ac:dyDescent="0.15"/>
    <row r="7334" customFormat="1" ht="13" x14ac:dyDescent="0.15"/>
    <row r="7335" customFormat="1" ht="13" x14ac:dyDescent="0.15"/>
    <row r="7336" customFormat="1" ht="13" x14ac:dyDescent="0.15"/>
    <row r="7337" customFormat="1" ht="13" x14ac:dyDescent="0.15"/>
    <row r="7338" customFormat="1" ht="13" x14ac:dyDescent="0.15"/>
    <row r="7339" customFormat="1" ht="13" x14ac:dyDescent="0.15"/>
    <row r="7340" customFormat="1" ht="13" x14ac:dyDescent="0.15"/>
    <row r="7341" customFormat="1" ht="13" x14ac:dyDescent="0.15"/>
    <row r="7342" customFormat="1" ht="13" x14ac:dyDescent="0.15"/>
    <row r="7343" customFormat="1" ht="13" x14ac:dyDescent="0.15"/>
    <row r="7344" customFormat="1" ht="13" x14ac:dyDescent="0.15"/>
    <row r="7345" customFormat="1" ht="13" x14ac:dyDescent="0.15"/>
    <row r="7346" customFormat="1" ht="13" x14ac:dyDescent="0.15"/>
    <row r="7347" customFormat="1" ht="13" x14ac:dyDescent="0.15"/>
    <row r="7348" customFormat="1" ht="13" x14ac:dyDescent="0.15"/>
    <row r="7349" customFormat="1" ht="13" x14ac:dyDescent="0.15"/>
    <row r="7350" customFormat="1" ht="13" x14ac:dyDescent="0.15"/>
    <row r="7351" customFormat="1" ht="13" x14ac:dyDescent="0.15"/>
    <row r="7352" customFormat="1" ht="13" x14ac:dyDescent="0.15"/>
    <row r="7353" customFormat="1" ht="13" x14ac:dyDescent="0.15"/>
    <row r="7354" customFormat="1" ht="13" x14ac:dyDescent="0.15"/>
    <row r="7355" customFormat="1" ht="13" x14ac:dyDescent="0.15"/>
    <row r="7356" customFormat="1" ht="13" x14ac:dyDescent="0.15"/>
    <row r="7357" customFormat="1" ht="13" x14ac:dyDescent="0.15"/>
    <row r="7358" customFormat="1" ht="13" x14ac:dyDescent="0.15"/>
    <row r="7359" customFormat="1" ht="13" x14ac:dyDescent="0.15"/>
    <row r="7360" customFormat="1" ht="13" x14ac:dyDescent="0.15"/>
    <row r="7361" customFormat="1" ht="13" x14ac:dyDescent="0.15"/>
    <row r="7362" customFormat="1" ht="13" x14ac:dyDescent="0.15"/>
    <row r="7363" customFormat="1" ht="13" x14ac:dyDescent="0.15"/>
    <row r="7364" customFormat="1" ht="13" x14ac:dyDescent="0.15"/>
    <row r="7365" customFormat="1" ht="13" x14ac:dyDescent="0.15"/>
    <row r="7366" customFormat="1" ht="13" x14ac:dyDescent="0.15"/>
    <row r="7367" customFormat="1" ht="13" x14ac:dyDescent="0.15"/>
    <row r="7368" customFormat="1" ht="13" x14ac:dyDescent="0.15"/>
    <row r="7369" customFormat="1" ht="13" x14ac:dyDescent="0.15"/>
    <row r="7370" customFormat="1" ht="13" x14ac:dyDescent="0.15"/>
    <row r="7371" customFormat="1" ht="13" x14ac:dyDescent="0.15"/>
    <row r="7372" customFormat="1" ht="13" x14ac:dyDescent="0.15"/>
    <row r="7373" customFormat="1" ht="13" x14ac:dyDescent="0.15"/>
    <row r="7374" customFormat="1" ht="13" x14ac:dyDescent="0.15"/>
    <row r="7375" customFormat="1" ht="13" x14ac:dyDescent="0.15"/>
    <row r="7376" customFormat="1" ht="13" x14ac:dyDescent="0.15"/>
    <row r="7377" customFormat="1" ht="13" x14ac:dyDescent="0.15"/>
    <row r="7378" customFormat="1" ht="13" x14ac:dyDescent="0.15"/>
    <row r="7379" customFormat="1" ht="13" x14ac:dyDescent="0.15"/>
    <row r="7380" customFormat="1" ht="13" x14ac:dyDescent="0.15"/>
    <row r="7381" customFormat="1" ht="13" x14ac:dyDescent="0.15"/>
    <row r="7382" customFormat="1" ht="13" x14ac:dyDescent="0.15"/>
    <row r="7383" customFormat="1" ht="13" x14ac:dyDescent="0.15"/>
    <row r="7384" customFormat="1" ht="13" x14ac:dyDescent="0.15"/>
    <row r="7385" customFormat="1" ht="13" x14ac:dyDescent="0.15"/>
    <row r="7386" customFormat="1" ht="13" x14ac:dyDescent="0.15"/>
    <row r="7387" customFormat="1" ht="13" x14ac:dyDescent="0.15"/>
    <row r="7388" customFormat="1" ht="13" x14ac:dyDescent="0.15"/>
    <row r="7389" customFormat="1" ht="13" x14ac:dyDescent="0.15"/>
    <row r="7390" customFormat="1" ht="13" x14ac:dyDescent="0.15"/>
    <row r="7391" customFormat="1" ht="13" x14ac:dyDescent="0.15"/>
    <row r="7392" customFormat="1" ht="13" x14ac:dyDescent="0.15"/>
    <row r="7393" customFormat="1" ht="13" x14ac:dyDescent="0.15"/>
    <row r="7394" customFormat="1" ht="13" x14ac:dyDescent="0.15"/>
    <row r="7395" customFormat="1" ht="13" x14ac:dyDescent="0.15"/>
    <row r="7396" customFormat="1" ht="13" x14ac:dyDescent="0.15"/>
    <row r="7397" customFormat="1" ht="13" x14ac:dyDescent="0.15"/>
    <row r="7398" customFormat="1" ht="13" x14ac:dyDescent="0.15"/>
    <row r="7399" customFormat="1" ht="13" x14ac:dyDescent="0.15"/>
    <row r="7400" customFormat="1" ht="13" x14ac:dyDescent="0.15"/>
    <row r="7401" customFormat="1" ht="13" x14ac:dyDescent="0.15"/>
    <row r="7402" customFormat="1" ht="13" x14ac:dyDescent="0.15"/>
    <row r="7403" customFormat="1" ht="13" x14ac:dyDescent="0.15"/>
    <row r="7404" customFormat="1" ht="13" x14ac:dyDescent="0.15"/>
    <row r="7405" customFormat="1" ht="13" x14ac:dyDescent="0.15"/>
    <row r="7406" customFormat="1" ht="13" x14ac:dyDescent="0.15"/>
    <row r="7407" customFormat="1" ht="13" x14ac:dyDescent="0.15"/>
    <row r="7408" customFormat="1" ht="13" x14ac:dyDescent="0.15"/>
    <row r="7409" customFormat="1" ht="13" x14ac:dyDescent="0.15"/>
    <row r="7410" customFormat="1" ht="13" x14ac:dyDescent="0.15"/>
    <row r="7411" customFormat="1" ht="13" x14ac:dyDescent="0.15"/>
    <row r="7412" customFormat="1" ht="13" x14ac:dyDescent="0.15"/>
    <row r="7413" customFormat="1" ht="13" x14ac:dyDescent="0.15"/>
    <row r="7414" customFormat="1" ht="13" x14ac:dyDescent="0.15"/>
    <row r="7415" customFormat="1" ht="13" x14ac:dyDescent="0.15"/>
    <row r="7416" customFormat="1" ht="13" x14ac:dyDescent="0.15"/>
    <row r="7417" customFormat="1" ht="13" x14ac:dyDescent="0.15"/>
    <row r="7418" customFormat="1" ht="13" x14ac:dyDescent="0.15"/>
    <row r="7419" customFormat="1" ht="13" x14ac:dyDescent="0.15"/>
    <row r="7420" customFormat="1" ht="13" x14ac:dyDescent="0.15"/>
    <row r="7421" customFormat="1" ht="13" x14ac:dyDescent="0.15"/>
    <row r="7422" customFormat="1" ht="13" x14ac:dyDescent="0.15"/>
    <row r="7423" customFormat="1" ht="13" x14ac:dyDescent="0.15"/>
    <row r="7424" customFormat="1" ht="13" x14ac:dyDescent="0.15"/>
    <row r="7425" customFormat="1" ht="13" x14ac:dyDescent="0.15"/>
    <row r="7426" customFormat="1" ht="13" x14ac:dyDescent="0.15"/>
    <row r="7427" customFormat="1" ht="13" x14ac:dyDescent="0.15"/>
    <row r="7428" customFormat="1" ht="13" x14ac:dyDescent="0.15"/>
    <row r="7429" customFormat="1" ht="13" x14ac:dyDescent="0.15"/>
    <row r="7430" customFormat="1" ht="13" x14ac:dyDescent="0.15"/>
    <row r="7431" customFormat="1" ht="13" x14ac:dyDescent="0.15"/>
    <row r="7432" customFormat="1" ht="13" x14ac:dyDescent="0.15"/>
    <row r="7433" customFormat="1" ht="13" x14ac:dyDescent="0.15"/>
    <row r="7434" customFormat="1" ht="13" x14ac:dyDescent="0.15"/>
    <row r="7435" customFormat="1" ht="13" x14ac:dyDescent="0.15"/>
    <row r="7436" customFormat="1" ht="13" x14ac:dyDescent="0.15"/>
    <row r="7437" customFormat="1" ht="13" x14ac:dyDescent="0.15"/>
    <row r="7438" customFormat="1" ht="13" x14ac:dyDescent="0.15"/>
    <row r="7439" customFormat="1" ht="13" x14ac:dyDescent="0.15"/>
    <row r="7440" customFormat="1" ht="13" x14ac:dyDescent="0.15"/>
    <row r="7441" customFormat="1" ht="13" x14ac:dyDescent="0.15"/>
    <row r="7442" customFormat="1" ht="13" x14ac:dyDescent="0.15"/>
    <row r="7443" customFormat="1" ht="13" x14ac:dyDescent="0.15"/>
    <row r="7444" customFormat="1" ht="13" x14ac:dyDescent="0.15"/>
    <row r="7445" customFormat="1" ht="13" x14ac:dyDescent="0.15"/>
    <row r="7446" customFormat="1" ht="13" x14ac:dyDescent="0.15"/>
    <row r="7447" customFormat="1" ht="13" x14ac:dyDescent="0.15"/>
    <row r="7448" customFormat="1" ht="13" x14ac:dyDescent="0.15"/>
    <row r="7449" customFormat="1" ht="13" x14ac:dyDescent="0.15"/>
    <row r="7450" customFormat="1" ht="13" x14ac:dyDescent="0.15"/>
    <row r="7451" customFormat="1" ht="13" x14ac:dyDescent="0.15"/>
    <row r="7452" customFormat="1" ht="13" x14ac:dyDescent="0.15"/>
    <row r="7453" customFormat="1" ht="13" x14ac:dyDescent="0.15"/>
    <row r="7454" customFormat="1" ht="13" x14ac:dyDescent="0.15"/>
    <row r="7455" customFormat="1" ht="13" x14ac:dyDescent="0.15"/>
    <row r="7456" customFormat="1" ht="13" x14ac:dyDescent="0.15"/>
    <row r="7457" customFormat="1" ht="13" x14ac:dyDescent="0.15"/>
    <row r="7458" customFormat="1" ht="13" x14ac:dyDescent="0.15"/>
    <row r="7459" customFormat="1" ht="13" x14ac:dyDescent="0.15"/>
    <row r="7460" customFormat="1" ht="13" x14ac:dyDescent="0.15"/>
    <row r="7461" customFormat="1" ht="13" x14ac:dyDescent="0.15"/>
    <row r="7462" customFormat="1" ht="13" x14ac:dyDescent="0.15"/>
    <row r="7463" customFormat="1" ht="13" x14ac:dyDescent="0.15"/>
    <row r="7464" customFormat="1" ht="13" x14ac:dyDescent="0.15"/>
    <row r="7465" customFormat="1" ht="13" x14ac:dyDescent="0.15"/>
    <row r="7466" customFormat="1" ht="13" x14ac:dyDescent="0.15"/>
    <row r="7467" customFormat="1" ht="13" x14ac:dyDescent="0.15"/>
    <row r="7468" customFormat="1" ht="13" x14ac:dyDescent="0.15"/>
    <row r="7469" customFormat="1" ht="13" x14ac:dyDescent="0.15"/>
    <row r="7470" customFormat="1" ht="13" x14ac:dyDescent="0.15"/>
    <row r="7471" customFormat="1" ht="13" x14ac:dyDescent="0.15"/>
    <row r="7472" customFormat="1" ht="13" x14ac:dyDescent="0.15"/>
    <row r="7473" customFormat="1" ht="13" x14ac:dyDescent="0.15"/>
    <row r="7474" customFormat="1" ht="13" x14ac:dyDescent="0.15"/>
    <row r="7475" customFormat="1" ht="13" x14ac:dyDescent="0.15"/>
    <row r="7476" customFormat="1" ht="13" x14ac:dyDescent="0.15"/>
    <row r="7477" customFormat="1" ht="13" x14ac:dyDescent="0.15"/>
    <row r="7478" customFormat="1" ht="13" x14ac:dyDescent="0.15"/>
    <row r="7479" customFormat="1" ht="13" x14ac:dyDescent="0.15"/>
    <row r="7480" customFormat="1" ht="13" x14ac:dyDescent="0.15"/>
    <row r="7481" customFormat="1" ht="13" x14ac:dyDescent="0.15"/>
    <row r="7482" customFormat="1" ht="13" x14ac:dyDescent="0.15"/>
    <row r="7483" customFormat="1" ht="13" x14ac:dyDescent="0.15"/>
    <row r="7484" customFormat="1" ht="13" x14ac:dyDescent="0.15"/>
    <row r="7485" customFormat="1" ht="13" x14ac:dyDescent="0.15"/>
    <row r="7486" customFormat="1" ht="13" x14ac:dyDescent="0.15"/>
    <row r="7487" customFormat="1" ht="13" x14ac:dyDescent="0.15"/>
    <row r="7488" customFormat="1" ht="13" x14ac:dyDescent="0.15"/>
    <row r="7489" customFormat="1" ht="13" x14ac:dyDescent="0.15"/>
    <row r="7490" customFormat="1" ht="13" x14ac:dyDescent="0.15"/>
    <row r="7491" customFormat="1" ht="13" x14ac:dyDescent="0.15"/>
    <row r="7492" customFormat="1" ht="13" x14ac:dyDescent="0.15"/>
    <row r="7493" customFormat="1" ht="13" x14ac:dyDescent="0.15"/>
    <row r="7494" customFormat="1" ht="13" x14ac:dyDescent="0.15"/>
    <row r="7495" customFormat="1" ht="13" x14ac:dyDescent="0.15"/>
    <row r="7496" customFormat="1" ht="13" x14ac:dyDescent="0.15"/>
    <row r="7497" customFormat="1" ht="13" x14ac:dyDescent="0.15"/>
    <row r="7498" customFormat="1" ht="13" x14ac:dyDescent="0.15"/>
    <row r="7499" customFormat="1" ht="13" x14ac:dyDescent="0.15"/>
    <row r="7500" customFormat="1" ht="13" x14ac:dyDescent="0.15"/>
    <row r="7501" customFormat="1" ht="13" x14ac:dyDescent="0.15"/>
    <row r="7502" customFormat="1" ht="13" x14ac:dyDescent="0.15"/>
    <row r="7503" customFormat="1" ht="13" x14ac:dyDescent="0.15"/>
    <row r="7504" customFormat="1" ht="13" x14ac:dyDescent="0.15"/>
    <row r="7505" customFormat="1" ht="13" x14ac:dyDescent="0.15"/>
    <row r="7506" customFormat="1" ht="13" x14ac:dyDescent="0.15"/>
    <row r="7507" customFormat="1" ht="13" x14ac:dyDescent="0.15"/>
    <row r="7508" customFormat="1" ht="13" x14ac:dyDescent="0.15"/>
    <row r="7509" customFormat="1" ht="13" x14ac:dyDescent="0.15"/>
    <row r="7510" customFormat="1" ht="13" x14ac:dyDescent="0.15"/>
    <row r="7511" customFormat="1" ht="13" x14ac:dyDescent="0.15"/>
    <row r="7512" customFormat="1" ht="13" x14ac:dyDescent="0.15"/>
    <row r="7513" customFormat="1" ht="13" x14ac:dyDescent="0.15"/>
    <row r="7514" customFormat="1" ht="13" x14ac:dyDescent="0.15"/>
    <row r="7515" customFormat="1" ht="13" x14ac:dyDescent="0.15"/>
    <row r="7516" customFormat="1" ht="13" x14ac:dyDescent="0.15"/>
    <row r="7517" customFormat="1" ht="13" x14ac:dyDescent="0.15"/>
    <row r="7518" customFormat="1" ht="13" x14ac:dyDescent="0.15"/>
    <row r="7519" customFormat="1" ht="13" x14ac:dyDescent="0.15"/>
    <row r="7520" customFormat="1" ht="13" x14ac:dyDescent="0.15"/>
    <row r="7521" customFormat="1" ht="13" x14ac:dyDescent="0.15"/>
    <row r="7522" customFormat="1" ht="13" x14ac:dyDescent="0.15"/>
    <row r="7523" customFormat="1" ht="13" x14ac:dyDescent="0.15"/>
    <row r="7524" customFormat="1" ht="13" x14ac:dyDescent="0.15"/>
    <row r="7525" customFormat="1" ht="13" x14ac:dyDescent="0.15"/>
    <row r="7526" customFormat="1" ht="13" x14ac:dyDescent="0.15"/>
    <row r="7527" customFormat="1" ht="13" x14ac:dyDescent="0.15"/>
    <row r="7528" customFormat="1" ht="13" x14ac:dyDescent="0.15"/>
    <row r="7529" customFormat="1" ht="13" x14ac:dyDescent="0.15"/>
    <row r="7530" customFormat="1" ht="13" x14ac:dyDescent="0.15"/>
    <row r="7531" customFormat="1" ht="13" x14ac:dyDescent="0.15"/>
    <row r="7532" customFormat="1" ht="13" x14ac:dyDescent="0.15"/>
    <row r="7533" customFormat="1" ht="13" x14ac:dyDescent="0.15"/>
    <row r="7534" customFormat="1" ht="13" x14ac:dyDescent="0.15"/>
    <row r="7535" customFormat="1" ht="13" x14ac:dyDescent="0.15"/>
    <row r="7536" customFormat="1" ht="13" x14ac:dyDescent="0.15"/>
    <row r="7537" customFormat="1" ht="13" x14ac:dyDescent="0.15"/>
    <row r="7538" customFormat="1" ht="13" x14ac:dyDescent="0.15"/>
    <row r="7539" customFormat="1" ht="13" x14ac:dyDescent="0.15"/>
    <row r="7540" customFormat="1" ht="13" x14ac:dyDescent="0.15"/>
    <row r="7541" customFormat="1" ht="13" x14ac:dyDescent="0.15"/>
    <row r="7542" customFormat="1" ht="13" x14ac:dyDescent="0.15"/>
    <row r="7543" customFormat="1" ht="13" x14ac:dyDescent="0.15"/>
    <row r="7544" customFormat="1" ht="13" x14ac:dyDescent="0.15"/>
    <row r="7545" customFormat="1" ht="13" x14ac:dyDescent="0.15"/>
    <row r="7546" customFormat="1" ht="13" x14ac:dyDescent="0.15"/>
    <row r="7547" customFormat="1" ht="13" x14ac:dyDescent="0.15"/>
    <row r="7548" customFormat="1" ht="13" x14ac:dyDescent="0.15"/>
    <row r="7549" customFormat="1" ht="13" x14ac:dyDescent="0.15"/>
    <row r="7550" customFormat="1" ht="13" x14ac:dyDescent="0.15"/>
    <row r="7551" customFormat="1" ht="13" x14ac:dyDescent="0.15"/>
    <row r="7552" customFormat="1" ht="13" x14ac:dyDescent="0.15"/>
    <row r="7553" customFormat="1" ht="13" x14ac:dyDescent="0.15"/>
    <row r="7554" customFormat="1" ht="13" x14ac:dyDescent="0.15"/>
    <row r="7555" customFormat="1" ht="13" x14ac:dyDescent="0.15"/>
    <row r="7556" customFormat="1" ht="13" x14ac:dyDescent="0.15"/>
    <row r="7557" customFormat="1" ht="13" x14ac:dyDescent="0.15"/>
    <row r="7558" customFormat="1" ht="13" x14ac:dyDescent="0.15"/>
    <row r="7559" customFormat="1" ht="13" x14ac:dyDescent="0.15"/>
    <row r="7560" customFormat="1" ht="13" x14ac:dyDescent="0.15"/>
    <row r="7561" customFormat="1" ht="13" x14ac:dyDescent="0.15"/>
    <row r="7562" customFormat="1" ht="13" x14ac:dyDescent="0.15"/>
    <row r="7563" customFormat="1" ht="13" x14ac:dyDescent="0.15"/>
    <row r="7564" customFormat="1" ht="13" x14ac:dyDescent="0.15"/>
    <row r="7565" customFormat="1" ht="13" x14ac:dyDescent="0.15"/>
    <row r="7566" customFormat="1" ht="13" x14ac:dyDescent="0.15"/>
    <row r="7567" customFormat="1" ht="13" x14ac:dyDescent="0.15"/>
    <row r="7568" customFormat="1" ht="13" x14ac:dyDescent="0.15"/>
    <row r="7569" customFormat="1" ht="13" x14ac:dyDescent="0.15"/>
    <row r="7570" customFormat="1" ht="13" x14ac:dyDescent="0.15"/>
    <row r="7571" customFormat="1" ht="13" x14ac:dyDescent="0.15"/>
    <row r="7572" customFormat="1" ht="13" x14ac:dyDescent="0.15"/>
    <row r="7573" customFormat="1" ht="13" x14ac:dyDescent="0.15"/>
    <row r="7574" customFormat="1" ht="13" x14ac:dyDescent="0.15"/>
    <row r="7575" customFormat="1" ht="13" x14ac:dyDescent="0.15"/>
    <row r="7576" customFormat="1" ht="13" x14ac:dyDescent="0.15"/>
    <row r="7577" customFormat="1" ht="13" x14ac:dyDescent="0.15"/>
    <row r="7578" customFormat="1" ht="13" x14ac:dyDescent="0.15"/>
    <row r="7579" customFormat="1" ht="13" x14ac:dyDescent="0.15"/>
    <row r="7580" customFormat="1" ht="13" x14ac:dyDescent="0.15"/>
    <row r="7581" customFormat="1" ht="13" x14ac:dyDescent="0.15"/>
    <row r="7582" customFormat="1" ht="13" x14ac:dyDescent="0.15"/>
    <row r="7583" customFormat="1" ht="13" x14ac:dyDescent="0.15"/>
    <row r="7584" customFormat="1" ht="13" x14ac:dyDescent="0.15"/>
    <row r="7585" customFormat="1" ht="13" x14ac:dyDescent="0.15"/>
    <row r="7586" customFormat="1" ht="13" x14ac:dyDescent="0.15"/>
    <row r="7587" customFormat="1" ht="13" x14ac:dyDescent="0.15"/>
    <row r="7588" customFormat="1" ht="13" x14ac:dyDescent="0.15"/>
    <row r="7589" customFormat="1" ht="13" x14ac:dyDescent="0.15"/>
    <row r="7590" customFormat="1" ht="13" x14ac:dyDescent="0.15"/>
    <row r="7591" customFormat="1" ht="13" x14ac:dyDescent="0.15"/>
    <row r="7592" customFormat="1" ht="13" x14ac:dyDescent="0.15"/>
    <row r="7593" customFormat="1" ht="13" x14ac:dyDescent="0.15"/>
    <row r="7594" customFormat="1" ht="13" x14ac:dyDescent="0.15"/>
    <row r="7595" customFormat="1" ht="13" x14ac:dyDescent="0.15"/>
    <row r="7596" customFormat="1" ht="13" x14ac:dyDescent="0.15"/>
    <row r="7597" customFormat="1" ht="13" x14ac:dyDescent="0.15"/>
    <row r="7598" customFormat="1" ht="13" x14ac:dyDescent="0.15"/>
    <row r="7599" customFormat="1" ht="13" x14ac:dyDescent="0.15"/>
    <row r="7600" customFormat="1" ht="13" x14ac:dyDescent="0.15"/>
    <row r="7601" customFormat="1" ht="13" x14ac:dyDescent="0.15"/>
    <row r="7602" customFormat="1" ht="13" x14ac:dyDescent="0.15"/>
    <row r="7603" customFormat="1" ht="13" x14ac:dyDescent="0.15"/>
    <row r="7604" customFormat="1" ht="13" x14ac:dyDescent="0.15"/>
    <row r="7605" customFormat="1" ht="13" x14ac:dyDescent="0.15"/>
    <row r="7606" customFormat="1" ht="13" x14ac:dyDescent="0.15"/>
    <row r="7607" customFormat="1" ht="13" x14ac:dyDescent="0.15"/>
    <row r="7608" customFormat="1" ht="13" x14ac:dyDescent="0.15"/>
    <row r="7609" customFormat="1" ht="13" x14ac:dyDescent="0.15"/>
    <row r="7610" customFormat="1" ht="13" x14ac:dyDescent="0.15"/>
    <row r="7611" customFormat="1" ht="13" x14ac:dyDescent="0.15"/>
    <row r="7612" customFormat="1" ht="13" x14ac:dyDescent="0.15"/>
    <row r="7613" customFormat="1" ht="13" x14ac:dyDescent="0.15"/>
    <row r="7614" customFormat="1" ht="13" x14ac:dyDescent="0.15"/>
    <row r="7615" customFormat="1" ht="13" x14ac:dyDescent="0.15"/>
    <row r="7616" customFormat="1" ht="13" x14ac:dyDescent="0.15"/>
    <row r="7617" customFormat="1" ht="13" x14ac:dyDescent="0.15"/>
    <row r="7618" customFormat="1" ht="13" x14ac:dyDescent="0.15"/>
    <row r="7619" customFormat="1" ht="13" x14ac:dyDescent="0.15"/>
    <row r="7620" customFormat="1" ht="13" x14ac:dyDescent="0.15"/>
    <row r="7621" customFormat="1" ht="13" x14ac:dyDescent="0.15"/>
    <row r="7622" customFormat="1" ht="13" x14ac:dyDescent="0.15"/>
    <row r="7623" customFormat="1" ht="13" x14ac:dyDescent="0.15"/>
    <row r="7624" customFormat="1" ht="13" x14ac:dyDescent="0.15"/>
    <row r="7625" customFormat="1" ht="13" x14ac:dyDescent="0.15"/>
    <row r="7626" customFormat="1" ht="13" x14ac:dyDescent="0.15"/>
    <row r="7627" customFormat="1" ht="13" x14ac:dyDescent="0.15"/>
    <row r="7628" customFormat="1" ht="13" x14ac:dyDescent="0.15"/>
    <row r="7629" customFormat="1" ht="13" x14ac:dyDescent="0.15"/>
    <row r="7630" customFormat="1" ht="13" x14ac:dyDescent="0.15"/>
    <row r="7631" customFormat="1" ht="13" x14ac:dyDescent="0.15"/>
    <row r="7632" customFormat="1" ht="13" x14ac:dyDescent="0.15"/>
    <row r="7633" customFormat="1" ht="13" x14ac:dyDescent="0.15"/>
    <row r="7634" customFormat="1" ht="13" x14ac:dyDescent="0.15"/>
    <row r="7635" customFormat="1" ht="13" x14ac:dyDescent="0.15"/>
    <row r="7636" customFormat="1" ht="13" x14ac:dyDescent="0.15"/>
    <row r="7637" customFormat="1" ht="13" x14ac:dyDescent="0.15"/>
    <row r="7638" customFormat="1" ht="13" x14ac:dyDescent="0.15"/>
    <row r="7639" customFormat="1" ht="13" x14ac:dyDescent="0.15"/>
    <row r="7640" customFormat="1" ht="13" x14ac:dyDescent="0.15"/>
    <row r="7641" customFormat="1" ht="13" x14ac:dyDescent="0.15"/>
    <row r="7642" customFormat="1" ht="13" x14ac:dyDescent="0.15"/>
    <row r="7643" customFormat="1" ht="13" x14ac:dyDescent="0.15"/>
    <row r="7644" customFormat="1" ht="13" x14ac:dyDescent="0.15"/>
    <row r="7645" customFormat="1" ht="13" x14ac:dyDescent="0.15"/>
    <row r="7646" customFormat="1" ht="13" x14ac:dyDescent="0.15"/>
    <row r="7647" customFormat="1" ht="13" x14ac:dyDescent="0.15"/>
    <row r="7648" customFormat="1" ht="13" x14ac:dyDescent="0.15"/>
    <row r="7649" customFormat="1" ht="13" x14ac:dyDescent="0.15"/>
    <row r="7650" customFormat="1" ht="13" x14ac:dyDescent="0.15"/>
    <row r="7651" customFormat="1" ht="13" x14ac:dyDescent="0.15"/>
    <row r="7652" customFormat="1" ht="13" x14ac:dyDescent="0.15"/>
    <row r="7653" customFormat="1" ht="13" x14ac:dyDescent="0.15"/>
    <row r="7654" customFormat="1" ht="13" x14ac:dyDescent="0.15"/>
    <row r="7655" customFormat="1" ht="13" x14ac:dyDescent="0.15"/>
    <row r="7656" customFormat="1" ht="13" x14ac:dyDescent="0.15"/>
    <row r="7657" customFormat="1" ht="13" x14ac:dyDescent="0.15"/>
    <row r="7658" customFormat="1" ht="13" x14ac:dyDescent="0.15"/>
    <row r="7659" customFormat="1" ht="13" x14ac:dyDescent="0.15"/>
    <row r="7660" customFormat="1" ht="13" x14ac:dyDescent="0.15"/>
    <row r="7661" customFormat="1" ht="13" x14ac:dyDescent="0.15"/>
    <row r="7662" customFormat="1" ht="13" x14ac:dyDescent="0.15"/>
    <row r="7663" customFormat="1" ht="13" x14ac:dyDescent="0.15"/>
    <row r="7664" customFormat="1" ht="13" x14ac:dyDescent="0.15"/>
    <row r="7665" customFormat="1" ht="13" x14ac:dyDescent="0.15"/>
    <row r="7666" customFormat="1" ht="13" x14ac:dyDescent="0.15"/>
    <row r="7667" customFormat="1" ht="13" x14ac:dyDescent="0.15"/>
    <row r="7668" customFormat="1" ht="13" x14ac:dyDescent="0.15"/>
    <row r="7669" customFormat="1" ht="13" x14ac:dyDescent="0.15"/>
    <row r="7670" customFormat="1" ht="13" x14ac:dyDescent="0.15"/>
    <row r="7671" customFormat="1" ht="13" x14ac:dyDescent="0.15"/>
    <row r="7672" customFormat="1" ht="13" x14ac:dyDescent="0.15"/>
    <row r="7673" customFormat="1" ht="13" x14ac:dyDescent="0.15"/>
    <row r="7674" customFormat="1" ht="13" x14ac:dyDescent="0.15"/>
    <row r="7675" customFormat="1" ht="13" x14ac:dyDescent="0.15"/>
    <row r="7676" customFormat="1" ht="13" x14ac:dyDescent="0.15"/>
    <row r="7677" customFormat="1" ht="13" x14ac:dyDescent="0.15"/>
    <row r="7678" customFormat="1" ht="13" x14ac:dyDescent="0.15"/>
    <row r="7679" customFormat="1" ht="13" x14ac:dyDescent="0.15"/>
    <row r="7680" customFormat="1" ht="13" x14ac:dyDescent="0.15"/>
    <row r="7681" customFormat="1" ht="13" x14ac:dyDescent="0.15"/>
    <row r="7682" customFormat="1" ht="13" x14ac:dyDescent="0.15"/>
    <row r="7683" customFormat="1" ht="13" x14ac:dyDescent="0.15"/>
    <row r="7684" customFormat="1" ht="13" x14ac:dyDescent="0.15"/>
    <row r="7685" customFormat="1" ht="13" x14ac:dyDescent="0.15"/>
    <row r="7686" customFormat="1" ht="13" x14ac:dyDescent="0.15"/>
    <row r="7687" customFormat="1" ht="13" x14ac:dyDescent="0.15"/>
    <row r="7688" customFormat="1" ht="13" x14ac:dyDescent="0.15"/>
    <row r="7689" customFormat="1" ht="13" x14ac:dyDescent="0.15"/>
    <row r="7690" customFormat="1" ht="13" x14ac:dyDescent="0.15"/>
    <row r="7691" customFormat="1" ht="13" x14ac:dyDescent="0.15"/>
    <row r="7692" customFormat="1" ht="13" x14ac:dyDescent="0.15"/>
    <row r="7693" customFormat="1" ht="13" x14ac:dyDescent="0.15"/>
    <row r="7694" customFormat="1" ht="13" x14ac:dyDescent="0.15"/>
    <row r="7695" customFormat="1" ht="13" x14ac:dyDescent="0.15"/>
    <row r="7696" customFormat="1" ht="13" x14ac:dyDescent="0.15"/>
    <row r="7697" customFormat="1" ht="13" x14ac:dyDescent="0.15"/>
    <row r="7698" customFormat="1" ht="13" x14ac:dyDescent="0.15"/>
    <row r="7699" customFormat="1" ht="13" x14ac:dyDescent="0.15"/>
    <row r="7700" customFormat="1" ht="13" x14ac:dyDescent="0.15"/>
    <row r="7701" customFormat="1" ht="13" x14ac:dyDescent="0.15"/>
    <row r="7702" customFormat="1" ht="13" x14ac:dyDescent="0.15"/>
    <row r="7703" customFormat="1" ht="13" x14ac:dyDescent="0.15"/>
    <row r="7704" customFormat="1" ht="13" x14ac:dyDescent="0.15"/>
    <row r="7705" customFormat="1" ht="13" x14ac:dyDescent="0.15"/>
    <row r="7706" customFormat="1" ht="13" x14ac:dyDescent="0.15"/>
    <row r="7707" customFormat="1" ht="13" x14ac:dyDescent="0.15"/>
    <row r="7708" customFormat="1" ht="13" x14ac:dyDescent="0.15"/>
    <row r="7709" customFormat="1" ht="13" x14ac:dyDescent="0.15"/>
    <row r="7710" customFormat="1" ht="13" x14ac:dyDescent="0.15"/>
    <row r="7711" customFormat="1" ht="13" x14ac:dyDescent="0.15"/>
    <row r="7712" customFormat="1" ht="13" x14ac:dyDescent="0.15"/>
    <row r="7713" customFormat="1" ht="13" x14ac:dyDescent="0.15"/>
    <row r="7714" customFormat="1" ht="13" x14ac:dyDescent="0.15"/>
    <row r="7715" customFormat="1" ht="13" x14ac:dyDescent="0.15"/>
    <row r="7716" customFormat="1" ht="13" x14ac:dyDescent="0.15"/>
    <row r="7717" customFormat="1" ht="13" x14ac:dyDescent="0.15"/>
    <row r="7718" customFormat="1" ht="13" x14ac:dyDescent="0.15"/>
    <row r="7719" customFormat="1" ht="13" x14ac:dyDescent="0.15"/>
    <row r="7720" customFormat="1" ht="13" x14ac:dyDescent="0.15"/>
    <row r="7721" customFormat="1" ht="13" x14ac:dyDescent="0.15"/>
    <row r="7722" customFormat="1" ht="13" x14ac:dyDescent="0.15"/>
    <row r="7723" customFormat="1" ht="13" x14ac:dyDescent="0.15"/>
    <row r="7724" customFormat="1" ht="13" x14ac:dyDescent="0.15"/>
    <row r="7725" customFormat="1" ht="13" x14ac:dyDescent="0.15"/>
    <row r="7726" customFormat="1" ht="13" x14ac:dyDescent="0.15"/>
    <row r="7727" customFormat="1" ht="13" x14ac:dyDescent="0.15"/>
    <row r="7728" customFormat="1" ht="13" x14ac:dyDescent="0.15"/>
    <row r="7729" customFormat="1" ht="13" x14ac:dyDescent="0.15"/>
    <row r="7730" customFormat="1" ht="13" x14ac:dyDescent="0.15"/>
    <row r="7731" customFormat="1" ht="13" x14ac:dyDescent="0.15"/>
    <row r="7732" customFormat="1" ht="13" x14ac:dyDescent="0.15"/>
    <row r="7733" customFormat="1" ht="13" x14ac:dyDescent="0.15"/>
    <row r="7734" customFormat="1" ht="13" x14ac:dyDescent="0.15"/>
    <row r="7735" customFormat="1" ht="13" x14ac:dyDescent="0.15"/>
    <row r="7736" customFormat="1" ht="13" x14ac:dyDescent="0.15"/>
    <row r="7737" customFormat="1" ht="13" x14ac:dyDescent="0.15"/>
    <row r="7738" customFormat="1" ht="13" x14ac:dyDescent="0.15"/>
    <row r="7739" customFormat="1" ht="13" x14ac:dyDescent="0.15"/>
    <row r="7740" customFormat="1" ht="13" x14ac:dyDescent="0.15"/>
    <row r="7741" customFormat="1" ht="13" x14ac:dyDescent="0.15"/>
    <row r="7742" customFormat="1" ht="13" x14ac:dyDescent="0.15"/>
    <row r="7743" customFormat="1" ht="13" x14ac:dyDescent="0.15"/>
    <row r="7744" customFormat="1" ht="13" x14ac:dyDescent="0.15"/>
    <row r="7745" customFormat="1" ht="13" x14ac:dyDescent="0.15"/>
    <row r="7746" customFormat="1" ht="13" x14ac:dyDescent="0.15"/>
    <row r="7747" customFormat="1" ht="13" x14ac:dyDescent="0.15"/>
    <row r="7748" customFormat="1" ht="13" x14ac:dyDescent="0.15"/>
    <row r="7749" customFormat="1" ht="13" x14ac:dyDescent="0.15"/>
    <row r="7750" customFormat="1" ht="13" x14ac:dyDescent="0.15"/>
    <row r="7751" customFormat="1" ht="13" x14ac:dyDescent="0.15"/>
    <row r="7752" customFormat="1" ht="13" x14ac:dyDescent="0.15"/>
    <row r="7753" customFormat="1" ht="13" x14ac:dyDescent="0.15"/>
    <row r="7754" customFormat="1" ht="13" x14ac:dyDescent="0.15"/>
    <row r="7755" customFormat="1" ht="13" x14ac:dyDescent="0.15"/>
    <row r="7756" customFormat="1" ht="13" x14ac:dyDescent="0.15"/>
    <row r="7757" customFormat="1" ht="13" x14ac:dyDescent="0.15"/>
    <row r="7758" customFormat="1" ht="13" x14ac:dyDescent="0.15"/>
    <row r="7759" customFormat="1" ht="13" x14ac:dyDescent="0.15"/>
    <row r="7760" customFormat="1" ht="13" x14ac:dyDescent="0.15"/>
    <row r="7761" customFormat="1" ht="13" x14ac:dyDescent="0.15"/>
    <row r="7762" customFormat="1" ht="13" x14ac:dyDescent="0.15"/>
    <row r="7763" customFormat="1" ht="13" x14ac:dyDescent="0.15"/>
    <row r="7764" customFormat="1" ht="13" x14ac:dyDescent="0.15"/>
    <row r="7765" customFormat="1" ht="13" x14ac:dyDescent="0.15"/>
    <row r="7766" customFormat="1" ht="13" x14ac:dyDescent="0.15"/>
    <row r="7767" customFormat="1" ht="13" x14ac:dyDescent="0.15"/>
    <row r="7768" customFormat="1" ht="13" x14ac:dyDescent="0.15"/>
    <row r="7769" customFormat="1" ht="13" x14ac:dyDescent="0.15"/>
    <row r="7770" customFormat="1" ht="13" x14ac:dyDescent="0.15"/>
    <row r="7771" customFormat="1" ht="13" x14ac:dyDescent="0.15"/>
    <row r="7772" customFormat="1" ht="13" x14ac:dyDescent="0.15"/>
    <row r="7773" customFormat="1" ht="13" x14ac:dyDescent="0.15"/>
    <row r="7774" customFormat="1" ht="13" x14ac:dyDescent="0.15"/>
    <row r="7775" customFormat="1" ht="13" x14ac:dyDescent="0.15"/>
    <row r="7776" customFormat="1" ht="13" x14ac:dyDescent="0.15"/>
    <row r="7777" customFormat="1" ht="13" x14ac:dyDescent="0.15"/>
    <row r="7778" customFormat="1" ht="13" x14ac:dyDescent="0.15"/>
    <row r="7779" customFormat="1" ht="13" x14ac:dyDescent="0.15"/>
    <row r="7780" customFormat="1" ht="13" x14ac:dyDescent="0.15"/>
    <row r="7781" customFormat="1" ht="13" x14ac:dyDescent="0.15"/>
    <row r="7782" customFormat="1" ht="13" x14ac:dyDescent="0.15"/>
    <row r="7783" customFormat="1" ht="13" x14ac:dyDescent="0.15"/>
    <row r="7784" customFormat="1" ht="13" x14ac:dyDescent="0.15"/>
    <row r="7785" customFormat="1" ht="13" x14ac:dyDescent="0.15"/>
    <row r="7786" customFormat="1" ht="13" x14ac:dyDescent="0.15"/>
    <row r="7787" customFormat="1" ht="13" x14ac:dyDescent="0.15"/>
    <row r="7788" customFormat="1" ht="13" x14ac:dyDescent="0.15"/>
    <row r="7789" customFormat="1" ht="13" x14ac:dyDescent="0.15"/>
    <row r="7790" customFormat="1" ht="13" x14ac:dyDescent="0.15"/>
    <row r="7791" customFormat="1" ht="13" x14ac:dyDescent="0.15"/>
    <row r="7792" customFormat="1" ht="13" x14ac:dyDescent="0.15"/>
    <row r="7793" customFormat="1" ht="13" x14ac:dyDescent="0.15"/>
    <row r="7794" customFormat="1" ht="13" x14ac:dyDescent="0.15"/>
    <row r="7795" customFormat="1" ht="13" x14ac:dyDescent="0.15"/>
    <row r="7796" customFormat="1" ht="13" x14ac:dyDescent="0.15"/>
    <row r="7797" customFormat="1" ht="13" x14ac:dyDescent="0.15"/>
    <row r="7798" customFormat="1" ht="13" x14ac:dyDescent="0.15"/>
    <row r="7799" customFormat="1" ht="13" x14ac:dyDescent="0.15"/>
    <row r="7800" customFormat="1" ht="13" x14ac:dyDescent="0.15"/>
    <row r="7801" customFormat="1" ht="13" x14ac:dyDescent="0.15"/>
    <row r="7802" customFormat="1" ht="13" x14ac:dyDescent="0.15"/>
    <row r="7803" customFormat="1" ht="13" x14ac:dyDescent="0.15"/>
    <row r="7804" customFormat="1" ht="13" x14ac:dyDescent="0.15"/>
    <row r="7805" customFormat="1" ht="13" x14ac:dyDescent="0.15"/>
    <row r="7806" customFormat="1" ht="13" x14ac:dyDescent="0.15"/>
    <row r="7807" customFormat="1" ht="13" x14ac:dyDescent="0.15"/>
    <row r="7808" customFormat="1" ht="13" x14ac:dyDescent="0.15"/>
    <row r="7809" customFormat="1" ht="13" x14ac:dyDescent="0.15"/>
    <row r="7810" customFormat="1" ht="13" x14ac:dyDescent="0.15"/>
    <row r="7811" customFormat="1" ht="13" x14ac:dyDescent="0.15"/>
    <row r="7812" customFormat="1" ht="13" x14ac:dyDescent="0.15"/>
    <row r="7813" customFormat="1" ht="13" x14ac:dyDescent="0.15"/>
    <row r="7814" customFormat="1" ht="13" x14ac:dyDescent="0.15"/>
    <row r="7815" customFormat="1" ht="13" x14ac:dyDescent="0.15"/>
    <row r="7816" customFormat="1" ht="13" x14ac:dyDescent="0.15"/>
    <row r="7817" customFormat="1" ht="13" x14ac:dyDescent="0.15"/>
    <row r="7818" customFormat="1" ht="13" x14ac:dyDescent="0.15"/>
    <row r="7819" customFormat="1" ht="13" x14ac:dyDescent="0.15"/>
    <row r="7820" customFormat="1" ht="13" x14ac:dyDescent="0.15"/>
    <row r="7821" customFormat="1" ht="13" x14ac:dyDescent="0.15"/>
    <row r="7822" customFormat="1" ht="13" x14ac:dyDescent="0.15"/>
    <row r="7823" customFormat="1" ht="13" x14ac:dyDescent="0.15"/>
    <row r="7824" customFormat="1" ht="13" x14ac:dyDescent="0.15"/>
    <row r="7825" customFormat="1" ht="13" x14ac:dyDescent="0.15"/>
    <row r="7826" customFormat="1" ht="13" x14ac:dyDescent="0.15"/>
    <row r="7827" customFormat="1" ht="13" x14ac:dyDescent="0.15"/>
    <row r="7828" customFormat="1" ht="13" x14ac:dyDescent="0.15"/>
    <row r="7829" customFormat="1" ht="13" x14ac:dyDescent="0.15"/>
    <row r="7830" customFormat="1" ht="13" x14ac:dyDescent="0.15"/>
    <row r="7831" customFormat="1" ht="13" x14ac:dyDescent="0.15"/>
    <row r="7832" customFormat="1" ht="13" x14ac:dyDescent="0.15"/>
    <row r="7833" customFormat="1" ht="13" x14ac:dyDescent="0.15"/>
    <row r="7834" customFormat="1" ht="13" x14ac:dyDescent="0.15"/>
    <row r="7835" customFormat="1" ht="13" x14ac:dyDescent="0.15"/>
    <row r="7836" customFormat="1" ht="13" x14ac:dyDescent="0.15"/>
    <row r="7837" customFormat="1" ht="13" x14ac:dyDescent="0.15"/>
    <row r="7838" customFormat="1" ht="13" x14ac:dyDescent="0.15"/>
    <row r="7839" customFormat="1" ht="13" x14ac:dyDescent="0.15"/>
    <row r="7840" customFormat="1" ht="13" x14ac:dyDescent="0.15"/>
    <row r="7841" customFormat="1" ht="13" x14ac:dyDescent="0.15"/>
    <row r="7842" customFormat="1" ht="13" x14ac:dyDescent="0.15"/>
    <row r="7843" customFormat="1" ht="13" x14ac:dyDescent="0.15"/>
    <row r="7844" customFormat="1" ht="13" x14ac:dyDescent="0.15"/>
    <row r="7845" customFormat="1" ht="13" x14ac:dyDescent="0.15"/>
    <row r="7846" customFormat="1" ht="13" x14ac:dyDescent="0.15"/>
    <row r="7847" customFormat="1" ht="13" x14ac:dyDescent="0.15"/>
    <row r="7848" customFormat="1" ht="13" x14ac:dyDescent="0.15"/>
    <row r="7849" customFormat="1" ht="13" x14ac:dyDescent="0.15"/>
    <row r="7850" customFormat="1" ht="13" x14ac:dyDescent="0.15"/>
    <row r="7851" customFormat="1" ht="13" x14ac:dyDescent="0.15"/>
    <row r="7852" customFormat="1" ht="13" x14ac:dyDescent="0.15"/>
    <row r="7853" customFormat="1" ht="13" x14ac:dyDescent="0.15"/>
    <row r="7854" customFormat="1" ht="13" x14ac:dyDescent="0.15"/>
    <row r="7855" customFormat="1" ht="13" x14ac:dyDescent="0.15"/>
    <row r="7856" customFormat="1" ht="13" x14ac:dyDescent="0.15"/>
    <row r="7857" customFormat="1" ht="13" x14ac:dyDescent="0.15"/>
    <row r="7858" customFormat="1" ht="13" x14ac:dyDescent="0.15"/>
    <row r="7859" customFormat="1" ht="13" x14ac:dyDescent="0.15"/>
    <row r="7860" customFormat="1" ht="13" x14ac:dyDescent="0.15"/>
    <row r="7861" customFormat="1" ht="13" x14ac:dyDescent="0.15"/>
    <row r="7862" customFormat="1" ht="13" x14ac:dyDescent="0.15"/>
    <row r="7863" customFormat="1" ht="13" x14ac:dyDescent="0.15"/>
    <row r="7864" customFormat="1" ht="13" x14ac:dyDescent="0.15"/>
    <row r="7865" customFormat="1" ht="13" x14ac:dyDescent="0.15"/>
    <row r="7866" customFormat="1" ht="13" x14ac:dyDescent="0.15"/>
    <row r="7867" customFormat="1" ht="13" x14ac:dyDescent="0.15"/>
    <row r="7868" customFormat="1" ht="13" x14ac:dyDescent="0.15"/>
    <row r="7869" customFormat="1" ht="13" x14ac:dyDescent="0.15"/>
    <row r="7870" customFormat="1" ht="13" x14ac:dyDescent="0.15"/>
    <row r="7871" customFormat="1" ht="13" x14ac:dyDescent="0.15"/>
    <row r="7872" customFormat="1" ht="13" x14ac:dyDescent="0.15"/>
    <row r="7873" customFormat="1" ht="13" x14ac:dyDescent="0.15"/>
    <row r="7874" customFormat="1" ht="13" x14ac:dyDescent="0.15"/>
    <row r="7875" customFormat="1" ht="13" x14ac:dyDescent="0.15"/>
    <row r="7876" customFormat="1" ht="13" x14ac:dyDescent="0.15"/>
    <row r="7877" customFormat="1" ht="13" x14ac:dyDescent="0.15"/>
    <row r="7878" customFormat="1" ht="13" x14ac:dyDescent="0.15"/>
    <row r="7879" customFormat="1" ht="13" x14ac:dyDescent="0.15"/>
    <row r="7880" customFormat="1" ht="13" x14ac:dyDescent="0.15"/>
    <row r="7881" customFormat="1" ht="13" x14ac:dyDescent="0.15"/>
    <row r="7882" customFormat="1" ht="13" x14ac:dyDescent="0.15"/>
    <row r="7883" customFormat="1" ht="13" x14ac:dyDescent="0.15"/>
    <row r="7884" customFormat="1" ht="13" x14ac:dyDescent="0.15"/>
    <row r="7885" customFormat="1" ht="13" x14ac:dyDescent="0.15"/>
    <row r="7886" customFormat="1" ht="13" x14ac:dyDescent="0.15"/>
    <row r="7887" customFormat="1" ht="13" x14ac:dyDescent="0.15"/>
    <row r="7888" customFormat="1" ht="13" x14ac:dyDescent="0.15"/>
    <row r="7889" customFormat="1" ht="13" x14ac:dyDescent="0.15"/>
    <row r="7890" customFormat="1" ht="13" x14ac:dyDescent="0.15"/>
    <row r="7891" customFormat="1" ht="13" x14ac:dyDescent="0.15"/>
    <row r="7892" customFormat="1" ht="13" x14ac:dyDescent="0.15"/>
    <row r="7893" customFormat="1" ht="13" x14ac:dyDescent="0.15"/>
    <row r="7894" customFormat="1" ht="13" x14ac:dyDescent="0.15"/>
    <row r="7895" customFormat="1" ht="13" x14ac:dyDescent="0.15"/>
    <row r="7896" customFormat="1" ht="13" x14ac:dyDescent="0.15"/>
    <row r="7897" customFormat="1" ht="13" x14ac:dyDescent="0.15"/>
    <row r="7898" customFormat="1" ht="13" x14ac:dyDescent="0.15"/>
    <row r="7899" customFormat="1" ht="13" x14ac:dyDescent="0.15"/>
    <row r="7900" customFormat="1" ht="13" x14ac:dyDescent="0.15"/>
    <row r="7901" customFormat="1" ht="13" x14ac:dyDescent="0.15"/>
    <row r="7902" customFormat="1" ht="13" x14ac:dyDescent="0.15"/>
    <row r="7903" customFormat="1" ht="13" x14ac:dyDescent="0.15"/>
    <row r="7904" customFormat="1" ht="13" x14ac:dyDescent="0.15"/>
    <row r="7905" customFormat="1" ht="13" x14ac:dyDescent="0.15"/>
    <row r="7906" customFormat="1" ht="13" x14ac:dyDescent="0.15"/>
    <row r="7907" customFormat="1" ht="13" x14ac:dyDescent="0.15"/>
    <row r="7908" customFormat="1" ht="13" x14ac:dyDescent="0.15"/>
    <row r="7909" customFormat="1" ht="13" x14ac:dyDescent="0.15"/>
    <row r="7910" customFormat="1" ht="13" x14ac:dyDescent="0.15"/>
    <row r="7911" customFormat="1" ht="13" x14ac:dyDescent="0.15"/>
    <row r="7912" customFormat="1" ht="13" x14ac:dyDescent="0.15"/>
    <row r="7913" customFormat="1" ht="13" x14ac:dyDescent="0.15"/>
    <row r="7914" customFormat="1" ht="13" x14ac:dyDescent="0.15"/>
    <row r="7915" customFormat="1" ht="13" x14ac:dyDescent="0.15"/>
    <row r="7916" customFormat="1" ht="13" x14ac:dyDescent="0.15"/>
    <row r="7917" customFormat="1" ht="13" x14ac:dyDescent="0.15"/>
    <row r="7918" customFormat="1" ht="13" x14ac:dyDescent="0.15"/>
    <row r="7919" customFormat="1" ht="13" x14ac:dyDescent="0.15"/>
    <row r="7920" customFormat="1" ht="13" x14ac:dyDescent="0.15"/>
    <row r="7921" customFormat="1" ht="13" x14ac:dyDescent="0.15"/>
    <row r="7922" customFormat="1" ht="13" x14ac:dyDescent="0.15"/>
    <row r="7923" customFormat="1" ht="13" x14ac:dyDescent="0.15"/>
    <row r="7924" customFormat="1" ht="13" x14ac:dyDescent="0.15"/>
    <row r="7925" customFormat="1" ht="13" x14ac:dyDescent="0.15"/>
    <row r="7926" customFormat="1" ht="13" x14ac:dyDescent="0.15"/>
    <row r="7927" customFormat="1" ht="13" x14ac:dyDescent="0.15"/>
    <row r="7928" customFormat="1" ht="13" x14ac:dyDescent="0.15"/>
    <row r="7929" customFormat="1" ht="13" x14ac:dyDescent="0.15"/>
    <row r="7930" customFormat="1" ht="13" x14ac:dyDescent="0.15"/>
    <row r="7931" customFormat="1" ht="13" x14ac:dyDescent="0.15"/>
    <row r="7932" customFormat="1" ht="13" x14ac:dyDescent="0.15"/>
    <row r="7933" customFormat="1" ht="13" x14ac:dyDescent="0.15"/>
    <row r="7934" customFormat="1" ht="13" x14ac:dyDescent="0.15"/>
    <row r="7935" customFormat="1" ht="13" x14ac:dyDescent="0.15"/>
    <row r="7936" customFormat="1" ht="13" x14ac:dyDescent="0.15"/>
    <row r="7937" customFormat="1" ht="13" x14ac:dyDescent="0.15"/>
    <row r="7938" customFormat="1" ht="13" x14ac:dyDescent="0.15"/>
    <row r="7939" customFormat="1" ht="13" x14ac:dyDescent="0.15"/>
    <row r="7940" customFormat="1" ht="13" x14ac:dyDescent="0.15"/>
    <row r="7941" customFormat="1" ht="13" x14ac:dyDescent="0.15"/>
    <row r="7942" customFormat="1" ht="13" x14ac:dyDescent="0.15"/>
    <row r="7943" customFormat="1" ht="13" x14ac:dyDescent="0.15"/>
    <row r="7944" customFormat="1" ht="13" x14ac:dyDescent="0.15"/>
    <row r="7945" customFormat="1" ht="13" x14ac:dyDescent="0.15"/>
    <row r="7946" customFormat="1" ht="13" x14ac:dyDescent="0.15"/>
    <row r="7947" customFormat="1" ht="13" x14ac:dyDescent="0.15"/>
    <row r="7948" customFormat="1" ht="13" x14ac:dyDescent="0.15"/>
    <row r="7949" customFormat="1" ht="13" x14ac:dyDescent="0.15"/>
    <row r="7950" customFormat="1" ht="13" x14ac:dyDescent="0.15"/>
    <row r="7951" customFormat="1" ht="13" x14ac:dyDescent="0.15"/>
    <row r="7952" customFormat="1" ht="13" x14ac:dyDescent="0.15"/>
    <row r="7953" customFormat="1" ht="13" x14ac:dyDescent="0.15"/>
    <row r="7954" customFormat="1" ht="13" x14ac:dyDescent="0.15"/>
    <row r="7955" customFormat="1" ht="13" x14ac:dyDescent="0.15"/>
    <row r="7956" customFormat="1" ht="13" x14ac:dyDescent="0.15"/>
    <row r="7957" customFormat="1" ht="13" x14ac:dyDescent="0.15"/>
    <row r="7958" customFormat="1" ht="13" x14ac:dyDescent="0.15"/>
    <row r="7959" customFormat="1" ht="13" x14ac:dyDescent="0.15"/>
    <row r="7960" customFormat="1" ht="13" x14ac:dyDescent="0.15"/>
    <row r="7961" customFormat="1" ht="13" x14ac:dyDescent="0.15"/>
    <row r="7962" customFormat="1" ht="13" x14ac:dyDescent="0.15"/>
    <row r="7963" customFormat="1" ht="13" x14ac:dyDescent="0.15"/>
    <row r="7964" customFormat="1" ht="13" x14ac:dyDescent="0.15"/>
    <row r="7965" customFormat="1" ht="13" x14ac:dyDescent="0.15"/>
    <row r="7966" customFormat="1" ht="13" x14ac:dyDescent="0.15"/>
    <row r="7967" customFormat="1" ht="13" x14ac:dyDescent="0.15"/>
    <row r="7968" customFormat="1" ht="13" x14ac:dyDescent="0.15"/>
    <row r="7969" customFormat="1" ht="13" x14ac:dyDescent="0.15"/>
    <row r="7970" customFormat="1" ht="13" x14ac:dyDescent="0.15"/>
    <row r="7971" customFormat="1" ht="13" x14ac:dyDescent="0.15"/>
    <row r="7972" customFormat="1" ht="13" x14ac:dyDescent="0.15"/>
    <row r="7973" customFormat="1" ht="13" x14ac:dyDescent="0.15"/>
    <row r="7974" customFormat="1" ht="13" x14ac:dyDescent="0.15"/>
    <row r="7975" customFormat="1" ht="13" x14ac:dyDescent="0.15"/>
    <row r="7976" customFormat="1" ht="13" x14ac:dyDescent="0.15"/>
    <row r="7977" customFormat="1" ht="13" x14ac:dyDescent="0.15"/>
    <row r="7978" customFormat="1" ht="13" x14ac:dyDescent="0.15"/>
    <row r="7979" customFormat="1" ht="13" x14ac:dyDescent="0.15"/>
    <row r="7980" customFormat="1" ht="13" x14ac:dyDescent="0.15"/>
    <row r="7981" customFormat="1" ht="13" x14ac:dyDescent="0.15"/>
    <row r="7982" customFormat="1" ht="13" x14ac:dyDescent="0.15"/>
    <row r="7983" customFormat="1" ht="13" x14ac:dyDescent="0.15"/>
    <row r="7984" customFormat="1" ht="13" x14ac:dyDescent="0.15"/>
    <row r="7985" customFormat="1" ht="13" x14ac:dyDescent="0.15"/>
    <row r="7986" customFormat="1" ht="13" x14ac:dyDescent="0.15"/>
    <row r="7987" customFormat="1" ht="13" x14ac:dyDescent="0.15"/>
    <row r="7988" customFormat="1" ht="13" x14ac:dyDescent="0.15"/>
    <row r="7989" customFormat="1" ht="13" x14ac:dyDescent="0.15"/>
    <row r="7990" customFormat="1" ht="13" x14ac:dyDescent="0.15"/>
    <row r="7991" customFormat="1" ht="13" x14ac:dyDescent="0.15"/>
    <row r="7992" customFormat="1" ht="13" x14ac:dyDescent="0.15"/>
    <row r="7993" customFormat="1" ht="13" x14ac:dyDescent="0.15"/>
    <row r="7994" customFormat="1" ht="13" x14ac:dyDescent="0.15"/>
    <row r="7995" customFormat="1" ht="13" x14ac:dyDescent="0.15"/>
    <row r="7996" customFormat="1" ht="13" x14ac:dyDescent="0.15"/>
    <row r="7997" customFormat="1" ht="13" x14ac:dyDescent="0.15"/>
    <row r="7998" customFormat="1" ht="13" x14ac:dyDescent="0.15"/>
    <row r="7999" customFormat="1" ht="13" x14ac:dyDescent="0.15"/>
    <row r="8000" customFormat="1" ht="13" x14ac:dyDescent="0.15"/>
    <row r="8001" customFormat="1" ht="13" x14ac:dyDescent="0.15"/>
    <row r="8002" customFormat="1" ht="13" x14ac:dyDescent="0.15"/>
    <row r="8003" customFormat="1" ht="13" x14ac:dyDescent="0.15"/>
    <row r="8004" customFormat="1" ht="13" x14ac:dyDescent="0.15"/>
    <row r="8005" customFormat="1" ht="13" x14ac:dyDescent="0.15"/>
    <row r="8006" customFormat="1" ht="13" x14ac:dyDescent="0.15"/>
    <row r="8007" customFormat="1" ht="13" x14ac:dyDescent="0.15"/>
    <row r="8008" customFormat="1" ht="13" x14ac:dyDescent="0.15"/>
    <row r="8009" customFormat="1" ht="13" x14ac:dyDescent="0.15"/>
    <row r="8010" customFormat="1" ht="13" x14ac:dyDescent="0.15"/>
    <row r="8011" customFormat="1" ht="13" x14ac:dyDescent="0.15"/>
    <row r="8012" customFormat="1" ht="13" x14ac:dyDescent="0.15"/>
    <row r="8013" customFormat="1" ht="13" x14ac:dyDescent="0.15"/>
    <row r="8014" customFormat="1" ht="13" x14ac:dyDescent="0.15"/>
    <row r="8015" customFormat="1" ht="13" x14ac:dyDescent="0.15"/>
    <row r="8016" customFormat="1" ht="13" x14ac:dyDescent="0.15"/>
    <row r="8017" customFormat="1" ht="13" x14ac:dyDescent="0.15"/>
    <row r="8018" customFormat="1" ht="13" x14ac:dyDescent="0.15"/>
    <row r="8019" customFormat="1" ht="13" x14ac:dyDescent="0.15"/>
    <row r="8020" customFormat="1" ht="13" x14ac:dyDescent="0.15"/>
    <row r="8021" customFormat="1" ht="13" x14ac:dyDescent="0.15"/>
    <row r="8022" customFormat="1" ht="13" x14ac:dyDescent="0.15"/>
    <row r="8023" customFormat="1" ht="13" x14ac:dyDescent="0.15"/>
    <row r="8024" customFormat="1" ht="13" x14ac:dyDescent="0.15"/>
    <row r="8025" customFormat="1" ht="13" x14ac:dyDescent="0.15"/>
    <row r="8026" customFormat="1" ht="13" x14ac:dyDescent="0.15"/>
    <row r="8027" customFormat="1" ht="13" x14ac:dyDescent="0.15"/>
    <row r="8028" customFormat="1" ht="13" x14ac:dyDescent="0.15"/>
    <row r="8029" customFormat="1" ht="13" x14ac:dyDescent="0.15"/>
    <row r="8030" customFormat="1" ht="13" x14ac:dyDescent="0.15"/>
    <row r="8031" customFormat="1" ht="13" x14ac:dyDescent="0.15"/>
    <row r="8032" customFormat="1" ht="13" x14ac:dyDescent="0.15"/>
    <row r="8033" customFormat="1" ht="13" x14ac:dyDescent="0.15"/>
    <row r="8034" customFormat="1" ht="13" x14ac:dyDescent="0.15"/>
    <row r="8035" customFormat="1" ht="13" x14ac:dyDescent="0.15"/>
    <row r="8036" customFormat="1" ht="13" x14ac:dyDescent="0.15"/>
    <row r="8037" customFormat="1" ht="13" x14ac:dyDescent="0.15"/>
    <row r="8038" customFormat="1" ht="13" x14ac:dyDescent="0.15"/>
    <row r="8039" customFormat="1" ht="13" x14ac:dyDescent="0.15"/>
    <row r="8040" customFormat="1" ht="13" x14ac:dyDescent="0.15"/>
    <row r="8041" customFormat="1" ht="13" x14ac:dyDescent="0.15"/>
    <row r="8042" customFormat="1" ht="13" x14ac:dyDescent="0.15"/>
    <row r="8043" customFormat="1" ht="13" x14ac:dyDescent="0.15"/>
    <row r="8044" customFormat="1" ht="13" x14ac:dyDescent="0.15"/>
    <row r="8045" customFormat="1" ht="13" x14ac:dyDescent="0.15"/>
    <row r="8046" customFormat="1" ht="13" x14ac:dyDescent="0.15"/>
    <row r="8047" customFormat="1" ht="13" x14ac:dyDescent="0.15"/>
    <row r="8048" customFormat="1" ht="13" x14ac:dyDescent="0.15"/>
    <row r="8049" customFormat="1" ht="13" x14ac:dyDescent="0.15"/>
    <row r="8050" customFormat="1" ht="13" x14ac:dyDescent="0.15"/>
    <row r="8051" customFormat="1" ht="13" x14ac:dyDescent="0.15"/>
    <row r="8052" customFormat="1" ht="13" x14ac:dyDescent="0.15"/>
    <row r="8053" customFormat="1" ht="13" x14ac:dyDescent="0.15"/>
    <row r="8054" customFormat="1" ht="13" x14ac:dyDescent="0.15"/>
    <row r="8055" customFormat="1" ht="13" x14ac:dyDescent="0.15"/>
    <row r="8056" customFormat="1" ht="13" x14ac:dyDescent="0.15"/>
    <row r="8057" customFormat="1" ht="13" x14ac:dyDescent="0.15"/>
    <row r="8058" customFormat="1" ht="13" x14ac:dyDescent="0.15"/>
    <row r="8059" customFormat="1" ht="13" x14ac:dyDescent="0.15"/>
    <row r="8060" customFormat="1" ht="13" x14ac:dyDescent="0.15"/>
    <row r="8061" customFormat="1" ht="13" x14ac:dyDescent="0.15"/>
    <row r="8062" customFormat="1" ht="13" x14ac:dyDescent="0.15"/>
    <row r="8063" customFormat="1" ht="13" x14ac:dyDescent="0.15"/>
    <row r="8064" customFormat="1" ht="13" x14ac:dyDescent="0.15"/>
    <row r="8065" customFormat="1" ht="13" x14ac:dyDescent="0.15"/>
    <row r="8066" customFormat="1" ht="13" x14ac:dyDescent="0.15"/>
    <row r="8067" customFormat="1" ht="13" x14ac:dyDescent="0.15"/>
    <row r="8068" customFormat="1" ht="13" x14ac:dyDescent="0.15"/>
    <row r="8069" customFormat="1" ht="13" x14ac:dyDescent="0.15"/>
    <row r="8070" customFormat="1" ht="13" x14ac:dyDescent="0.15"/>
    <row r="8071" customFormat="1" ht="13" x14ac:dyDescent="0.15"/>
    <row r="8072" customFormat="1" ht="13" x14ac:dyDescent="0.15"/>
    <row r="8073" customFormat="1" ht="13" x14ac:dyDescent="0.15"/>
    <row r="8074" customFormat="1" ht="13" x14ac:dyDescent="0.15"/>
    <row r="8075" customFormat="1" ht="13" x14ac:dyDescent="0.15"/>
    <row r="8076" customFormat="1" ht="13" x14ac:dyDescent="0.15"/>
    <row r="8077" customFormat="1" ht="13" x14ac:dyDescent="0.15"/>
    <row r="8078" customFormat="1" ht="13" x14ac:dyDescent="0.15"/>
    <row r="8079" customFormat="1" ht="13" x14ac:dyDescent="0.15"/>
    <row r="8080" customFormat="1" ht="13" x14ac:dyDescent="0.15"/>
    <row r="8081" customFormat="1" ht="13" x14ac:dyDescent="0.15"/>
    <row r="8082" customFormat="1" ht="13" x14ac:dyDescent="0.15"/>
    <row r="8083" customFormat="1" ht="13" x14ac:dyDescent="0.15"/>
    <row r="8084" customFormat="1" ht="13" x14ac:dyDescent="0.15"/>
    <row r="8085" customFormat="1" ht="13" x14ac:dyDescent="0.15"/>
    <row r="8086" customFormat="1" ht="13" x14ac:dyDescent="0.15"/>
    <row r="8087" customFormat="1" ht="13" x14ac:dyDescent="0.15"/>
    <row r="8088" customFormat="1" ht="13" x14ac:dyDescent="0.15"/>
    <row r="8089" customFormat="1" ht="13" x14ac:dyDescent="0.15"/>
    <row r="8090" customFormat="1" ht="13" x14ac:dyDescent="0.15"/>
    <row r="8091" customFormat="1" ht="13" x14ac:dyDescent="0.15"/>
    <row r="8092" customFormat="1" ht="13" x14ac:dyDescent="0.15"/>
    <row r="8093" customFormat="1" ht="13" x14ac:dyDescent="0.15"/>
    <row r="8094" customFormat="1" ht="13" x14ac:dyDescent="0.15"/>
    <row r="8095" customFormat="1" ht="13" x14ac:dyDescent="0.15"/>
    <row r="8096" customFormat="1" ht="13" x14ac:dyDescent="0.15"/>
    <row r="8097" customFormat="1" ht="13" x14ac:dyDescent="0.15"/>
    <row r="8098" customFormat="1" ht="13" x14ac:dyDescent="0.15"/>
    <row r="8099" customFormat="1" ht="13" x14ac:dyDescent="0.15"/>
    <row r="8100" customFormat="1" ht="13" x14ac:dyDescent="0.15"/>
    <row r="8101" customFormat="1" ht="13" x14ac:dyDescent="0.15"/>
    <row r="8102" customFormat="1" ht="13" x14ac:dyDescent="0.15"/>
    <row r="8103" customFormat="1" ht="13" x14ac:dyDescent="0.15"/>
    <row r="8104" customFormat="1" ht="13" x14ac:dyDescent="0.15"/>
    <row r="8105" customFormat="1" ht="13" x14ac:dyDescent="0.15"/>
    <row r="8106" customFormat="1" ht="13" x14ac:dyDescent="0.15"/>
    <row r="8107" customFormat="1" ht="13" x14ac:dyDescent="0.15"/>
    <row r="8108" customFormat="1" ht="13" x14ac:dyDescent="0.15"/>
    <row r="8109" customFormat="1" ht="13" x14ac:dyDescent="0.15"/>
    <row r="8110" customFormat="1" ht="13" x14ac:dyDescent="0.15"/>
    <row r="8111" customFormat="1" ht="13" x14ac:dyDescent="0.15"/>
    <row r="8112" customFormat="1" ht="13" x14ac:dyDescent="0.15"/>
    <row r="8113" customFormat="1" ht="13" x14ac:dyDescent="0.15"/>
    <row r="8114" customFormat="1" ht="13" x14ac:dyDescent="0.15"/>
    <row r="8115" customFormat="1" ht="13" x14ac:dyDescent="0.15"/>
    <row r="8116" customFormat="1" ht="13" x14ac:dyDescent="0.15"/>
    <row r="8117" customFormat="1" ht="13" x14ac:dyDescent="0.15"/>
    <row r="8118" customFormat="1" ht="13" x14ac:dyDescent="0.15"/>
    <row r="8119" customFormat="1" ht="13" x14ac:dyDescent="0.15"/>
    <row r="8120" customFormat="1" ht="13" x14ac:dyDescent="0.15"/>
    <row r="8121" customFormat="1" ht="13" x14ac:dyDescent="0.15"/>
    <row r="8122" customFormat="1" ht="13" x14ac:dyDescent="0.15"/>
    <row r="8123" customFormat="1" ht="13" x14ac:dyDescent="0.15"/>
    <row r="8124" customFormat="1" ht="13" x14ac:dyDescent="0.15"/>
    <row r="8125" customFormat="1" ht="13" x14ac:dyDescent="0.15"/>
    <row r="8126" customFormat="1" ht="13" x14ac:dyDescent="0.15"/>
    <row r="8127" customFormat="1" ht="13" x14ac:dyDescent="0.15"/>
    <row r="8128" customFormat="1" ht="13" x14ac:dyDescent="0.15"/>
    <row r="8129" customFormat="1" ht="13" x14ac:dyDescent="0.15"/>
    <row r="8130" customFormat="1" ht="13" x14ac:dyDescent="0.15"/>
    <row r="8131" customFormat="1" ht="13" x14ac:dyDescent="0.15"/>
    <row r="8132" customFormat="1" ht="13" x14ac:dyDescent="0.15"/>
    <row r="8133" customFormat="1" ht="13" x14ac:dyDescent="0.15"/>
    <row r="8134" customFormat="1" ht="13" x14ac:dyDescent="0.15"/>
    <row r="8135" customFormat="1" ht="13" x14ac:dyDescent="0.15"/>
    <row r="8136" customFormat="1" ht="13" x14ac:dyDescent="0.15"/>
    <row r="8137" customFormat="1" ht="13" x14ac:dyDescent="0.15"/>
    <row r="8138" customFormat="1" ht="13" x14ac:dyDescent="0.15"/>
    <row r="8139" customFormat="1" ht="13" x14ac:dyDescent="0.15"/>
    <row r="8140" customFormat="1" ht="13" x14ac:dyDescent="0.15"/>
    <row r="8141" customFormat="1" ht="13" x14ac:dyDescent="0.15"/>
    <row r="8142" customFormat="1" ht="13" x14ac:dyDescent="0.15"/>
    <row r="8143" customFormat="1" ht="13" x14ac:dyDescent="0.15"/>
    <row r="8144" customFormat="1" ht="13" x14ac:dyDescent="0.15"/>
    <row r="8145" customFormat="1" ht="13" x14ac:dyDescent="0.15"/>
    <row r="8146" customFormat="1" ht="13" x14ac:dyDescent="0.15"/>
    <row r="8147" customFormat="1" ht="13" x14ac:dyDescent="0.15"/>
    <row r="8148" customFormat="1" ht="13" x14ac:dyDescent="0.15"/>
    <row r="8149" customFormat="1" ht="13" x14ac:dyDescent="0.15"/>
    <row r="8150" customFormat="1" ht="13" x14ac:dyDescent="0.15"/>
    <row r="8151" customFormat="1" ht="13" x14ac:dyDescent="0.15"/>
    <row r="8152" customFormat="1" ht="13" x14ac:dyDescent="0.15"/>
    <row r="8153" customFormat="1" ht="13" x14ac:dyDescent="0.15"/>
    <row r="8154" customFormat="1" ht="13" x14ac:dyDescent="0.15"/>
    <row r="8155" customFormat="1" ht="13" x14ac:dyDescent="0.15"/>
    <row r="8156" customFormat="1" ht="13" x14ac:dyDescent="0.15"/>
    <row r="8157" customFormat="1" ht="13" x14ac:dyDescent="0.15"/>
    <row r="8158" customFormat="1" ht="13" x14ac:dyDescent="0.15"/>
    <row r="8159" customFormat="1" ht="13" x14ac:dyDescent="0.15"/>
    <row r="8160" customFormat="1" ht="13" x14ac:dyDescent="0.15"/>
    <row r="8161" customFormat="1" ht="13" x14ac:dyDescent="0.15"/>
    <row r="8162" customFormat="1" ht="13" x14ac:dyDescent="0.15"/>
    <row r="8163" customFormat="1" ht="13" x14ac:dyDescent="0.15"/>
    <row r="8164" customFormat="1" ht="13" x14ac:dyDescent="0.15"/>
    <row r="8165" customFormat="1" ht="13" x14ac:dyDescent="0.15"/>
    <row r="8166" customFormat="1" ht="13" x14ac:dyDescent="0.15"/>
    <row r="8167" customFormat="1" ht="13" x14ac:dyDescent="0.15"/>
    <row r="8168" customFormat="1" ht="13" x14ac:dyDescent="0.15"/>
    <row r="8169" customFormat="1" ht="13" x14ac:dyDescent="0.15"/>
    <row r="8170" customFormat="1" ht="13" x14ac:dyDescent="0.15"/>
    <row r="8171" customFormat="1" ht="13" x14ac:dyDescent="0.15"/>
    <row r="8172" customFormat="1" ht="13" x14ac:dyDescent="0.15"/>
    <row r="8173" customFormat="1" ht="13" x14ac:dyDescent="0.15"/>
    <row r="8174" customFormat="1" ht="13" x14ac:dyDescent="0.15"/>
    <row r="8175" customFormat="1" ht="13" x14ac:dyDescent="0.15"/>
    <row r="8176" customFormat="1" ht="13" x14ac:dyDescent="0.15"/>
    <row r="8177" customFormat="1" ht="13" x14ac:dyDescent="0.15"/>
    <row r="8178" customFormat="1" ht="13" x14ac:dyDescent="0.15"/>
    <row r="8179" customFormat="1" ht="13" x14ac:dyDescent="0.15"/>
    <row r="8180" customFormat="1" ht="13" x14ac:dyDescent="0.15"/>
    <row r="8181" customFormat="1" ht="13" x14ac:dyDescent="0.15"/>
    <row r="8182" customFormat="1" ht="13" x14ac:dyDescent="0.15"/>
    <row r="8183" customFormat="1" ht="13" x14ac:dyDescent="0.15"/>
    <row r="8184" customFormat="1" ht="13" x14ac:dyDescent="0.15"/>
    <row r="8185" customFormat="1" ht="13" x14ac:dyDescent="0.15"/>
    <row r="8186" customFormat="1" ht="13" x14ac:dyDescent="0.15"/>
    <row r="8187" customFormat="1" ht="13" x14ac:dyDescent="0.15"/>
    <row r="8188" customFormat="1" ht="13" x14ac:dyDescent="0.15"/>
    <row r="8189" customFormat="1" ht="13" x14ac:dyDescent="0.15"/>
    <row r="8190" customFormat="1" ht="13" x14ac:dyDescent="0.15"/>
    <row r="8191" customFormat="1" ht="13" x14ac:dyDescent="0.15"/>
    <row r="8192" customFormat="1" ht="13" x14ac:dyDescent="0.15"/>
    <row r="8193" customFormat="1" ht="13" x14ac:dyDescent="0.15"/>
    <row r="8194" customFormat="1" ht="13" x14ac:dyDescent="0.15"/>
    <row r="8195" customFormat="1" ht="13" x14ac:dyDescent="0.15"/>
    <row r="8196" customFormat="1" ht="13" x14ac:dyDescent="0.15"/>
    <row r="8197" customFormat="1" ht="13" x14ac:dyDescent="0.15"/>
    <row r="8198" customFormat="1" ht="13" x14ac:dyDescent="0.15"/>
    <row r="8199" customFormat="1" ht="13" x14ac:dyDescent="0.15"/>
    <row r="8200" customFormat="1" ht="13" x14ac:dyDescent="0.15"/>
    <row r="8201" customFormat="1" ht="13" x14ac:dyDescent="0.15"/>
    <row r="8202" customFormat="1" ht="13" x14ac:dyDescent="0.15"/>
    <row r="8203" customFormat="1" ht="13" x14ac:dyDescent="0.15"/>
    <row r="8204" customFormat="1" ht="13" x14ac:dyDescent="0.15"/>
    <row r="8205" customFormat="1" ht="13" x14ac:dyDescent="0.15"/>
    <row r="8206" customFormat="1" ht="13" x14ac:dyDescent="0.15"/>
    <row r="8207" customFormat="1" ht="13" x14ac:dyDescent="0.15"/>
    <row r="8208" customFormat="1" ht="13" x14ac:dyDescent="0.15"/>
    <row r="8209" customFormat="1" ht="13" x14ac:dyDescent="0.15"/>
    <row r="8210" customFormat="1" ht="13" x14ac:dyDescent="0.15"/>
    <row r="8211" customFormat="1" ht="13" x14ac:dyDescent="0.15"/>
    <row r="8212" customFormat="1" ht="13" x14ac:dyDescent="0.15"/>
    <row r="8213" customFormat="1" ht="13" x14ac:dyDescent="0.15"/>
    <row r="8214" customFormat="1" ht="13" x14ac:dyDescent="0.15"/>
    <row r="8215" customFormat="1" ht="13" x14ac:dyDescent="0.15"/>
    <row r="8216" customFormat="1" ht="13" x14ac:dyDescent="0.15"/>
    <row r="8217" customFormat="1" ht="13" x14ac:dyDescent="0.15"/>
    <row r="8218" customFormat="1" ht="13" x14ac:dyDescent="0.15"/>
    <row r="8219" customFormat="1" ht="13" x14ac:dyDescent="0.15"/>
    <row r="8220" customFormat="1" ht="13" x14ac:dyDescent="0.15"/>
    <row r="8221" customFormat="1" ht="13" x14ac:dyDescent="0.15"/>
    <row r="8222" customFormat="1" ht="13" x14ac:dyDescent="0.15"/>
    <row r="8223" customFormat="1" ht="13" x14ac:dyDescent="0.15"/>
    <row r="8224" customFormat="1" ht="13" x14ac:dyDescent="0.15"/>
    <row r="8225" customFormat="1" ht="13" x14ac:dyDescent="0.15"/>
    <row r="8226" customFormat="1" ht="13" x14ac:dyDescent="0.15"/>
    <row r="8227" customFormat="1" ht="13" x14ac:dyDescent="0.15"/>
    <row r="8228" customFormat="1" ht="13" x14ac:dyDescent="0.15"/>
    <row r="8229" customFormat="1" ht="13" x14ac:dyDescent="0.15"/>
    <row r="8230" customFormat="1" ht="13" x14ac:dyDescent="0.15"/>
    <row r="8231" customFormat="1" ht="13" x14ac:dyDescent="0.15"/>
    <row r="8232" customFormat="1" ht="13" x14ac:dyDescent="0.15"/>
    <row r="8233" customFormat="1" ht="13" x14ac:dyDescent="0.15"/>
    <row r="8234" customFormat="1" ht="13" x14ac:dyDescent="0.15"/>
    <row r="8235" customFormat="1" ht="13" x14ac:dyDescent="0.15"/>
    <row r="8236" customFormat="1" ht="13" x14ac:dyDescent="0.15"/>
    <row r="8237" customFormat="1" ht="13" x14ac:dyDescent="0.15"/>
    <row r="8238" customFormat="1" ht="13" x14ac:dyDescent="0.15"/>
    <row r="8239" customFormat="1" ht="13" x14ac:dyDescent="0.15"/>
    <row r="8240" customFormat="1" ht="13" x14ac:dyDescent="0.15"/>
    <row r="8241" customFormat="1" ht="13" x14ac:dyDescent="0.15"/>
    <row r="8242" customFormat="1" ht="13" x14ac:dyDescent="0.15"/>
    <row r="8243" customFormat="1" ht="13" x14ac:dyDescent="0.15"/>
    <row r="8244" customFormat="1" ht="13" x14ac:dyDescent="0.15"/>
    <row r="8245" customFormat="1" ht="13" x14ac:dyDescent="0.15"/>
    <row r="8246" customFormat="1" ht="13" x14ac:dyDescent="0.15"/>
    <row r="8247" customFormat="1" ht="13" x14ac:dyDescent="0.15"/>
    <row r="8248" customFormat="1" ht="13" x14ac:dyDescent="0.15"/>
    <row r="8249" customFormat="1" ht="13" x14ac:dyDescent="0.15"/>
    <row r="8250" customFormat="1" ht="13" x14ac:dyDescent="0.15"/>
    <row r="8251" customFormat="1" ht="13" x14ac:dyDescent="0.15"/>
    <row r="8252" customFormat="1" ht="13" x14ac:dyDescent="0.15"/>
    <row r="8253" customFormat="1" ht="13" x14ac:dyDescent="0.15"/>
    <row r="8254" customFormat="1" ht="13" x14ac:dyDescent="0.15"/>
    <row r="8255" customFormat="1" ht="13" x14ac:dyDescent="0.15"/>
    <row r="8256" customFormat="1" ht="13" x14ac:dyDescent="0.15"/>
    <row r="8257" customFormat="1" ht="13" x14ac:dyDescent="0.15"/>
    <row r="8258" customFormat="1" ht="13" x14ac:dyDescent="0.15"/>
    <row r="8259" customFormat="1" ht="13" x14ac:dyDescent="0.15"/>
    <row r="8260" customFormat="1" ht="13" x14ac:dyDescent="0.15"/>
    <row r="8261" customFormat="1" ht="13" x14ac:dyDescent="0.15"/>
    <row r="8262" customFormat="1" ht="13" x14ac:dyDescent="0.15"/>
    <row r="8263" customFormat="1" ht="13" x14ac:dyDescent="0.15"/>
    <row r="8264" customFormat="1" ht="13" x14ac:dyDescent="0.15"/>
    <row r="8265" customFormat="1" ht="13" x14ac:dyDescent="0.15"/>
    <row r="8266" customFormat="1" ht="13" x14ac:dyDescent="0.15"/>
    <row r="8267" customFormat="1" ht="13" x14ac:dyDescent="0.15"/>
    <row r="8268" customFormat="1" ht="13" x14ac:dyDescent="0.15"/>
    <row r="8269" customFormat="1" ht="13" x14ac:dyDescent="0.15"/>
    <row r="8270" customFormat="1" ht="13" x14ac:dyDescent="0.15"/>
    <row r="8271" customFormat="1" ht="13" x14ac:dyDescent="0.15"/>
    <row r="8272" customFormat="1" ht="13" x14ac:dyDescent="0.15"/>
    <row r="8273" customFormat="1" ht="13" x14ac:dyDescent="0.15"/>
    <row r="8274" customFormat="1" ht="13" x14ac:dyDescent="0.15"/>
    <row r="8275" customFormat="1" ht="13" x14ac:dyDescent="0.15"/>
    <row r="8276" customFormat="1" ht="13" x14ac:dyDescent="0.15"/>
    <row r="8277" customFormat="1" ht="13" x14ac:dyDescent="0.15"/>
    <row r="8278" customFormat="1" ht="13" x14ac:dyDescent="0.15"/>
    <row r="8279" customFormat="1" ht="13" x14ac:dyDescent="0.15"/>
    <row r="8280" customFormat="1" ht="13" x14ac:dyDescent="0.15"/>
    <row r="8281" customFormat="1" ht="13" x14ac:dyDescent="0.15"/>
    <row r="8282" customFormat="1" ht="13" x14ac:dyDescent="0.15"/>
    <row r="8283" customFormat="1" ht="13" x14ac:dyDescent="0.15"/>
    <row r="8284" customFormat="1" ht="13" x14ac:dyDescent="0.15"/>
    <row r="8285" customFormat="1" ht="13" x14ac:dyDescent="0.15"/>
    <row r="8286" customFormat="1" ht="13" x14ac:dyDescent="0.15"/>
    <row r="8287" customFormat="1" ht="13" x14ac:dyDescent="0.15"/>
    <row r="8288" customFormat="1" ht="13" x14ac:dyDescent="0.15"/>
    <row r="8289" customFormat="1" ht="13" x14ac:dyDescent="0.15"/>
    <row r="8290" customFormat="1" ht="13" x14ac:dyDescent="0.15"/>
    <row r="8291" customFormat="1" ht="13" x14ac:dyDescent="0.15"/>
    <row r="8292" customFormat="1" ht="13" x14ac:dyDescent="0.15"/>
    <row r="8293" customFormat="1" ht="13" x14ac:dyDescent="0.15"/>
    <row r="8294" customFormat="1" ht="13" x14ac:dyDescent="0.15"/>
    <row r="8295" customFormat="1" ht="13" x14ac:dyDescent="0.15"/>
    <row r="8296" customFormat="1" ht="13" x14ac:dyDescent="0.15"/>
    <row r="8297" customFormat="1" ht="13" x14ac:dyDescent="0.15"/>
    <row r="8298" customFormat="1" ht="13" x14ac:dyDescent="0.15"/>
    <row r="8299" customFormat="1" ht="13" x14ac:dyDescent="0.15"/>
    <row r="8300" customFormat="1" ht="13" x14ac:dyDescent="0.15"/>
    <row r="8301" customFormat="1" ht="13" x14ac:dyDescent="0.15"/>
    <row r="8302" customFormat="1" ht="13" x14ac:dyDescent="0.15"/>
    <row r="8303" customFormat="1" ht="13" x14ac:dyDescent="0.15"/>
    <row r="8304" customFormat="1" ht="13" x14ac:dyDescent="0.15"/>
    <row r="8305" customFormat="1" ht="13" x14ac:dyDescent="0.15"/>
    <row r="8306" customFormat="1" ht="13" x14ac:dyDescent="0.15"/>
    <row r="8307" customFormat="1" ht="13" x14ac:dyDescent="0.15"/>
    <row r="8308" customFormat="1" ht="13" x14ac:dyDescent="0.15"/>
    <row r="8309" customFormat="1" ht="13" x14ac:dyDescent="0.15"/>
    <row r="8310" customFormat="1" ht="13" x14ac:dyDescent="0.15"/>
    <row r="8311" customFormat="1" ht="13" x14ac:dyDescent="0.15"/>
    <row r="8312" customFormat="1" ht="13" x14ac:dyDescent="0.15"/>
    <row r="8313" customFormat="1" ht="13" x14ac:dyDescent="0.15"/>
    <row r="8314" customFormat="1" ht="13" x14ac:dyDescent="0.15"/>
    <row r="8315" customFormat="1" ht="13" x14ac:dyDescent="0.15"/>
    <row r="8316" customFormat="1" ht="13" x14ac:dyDescent="0.15"/>
    <row r="8317" customFormat="1" ht="13" x14ac:dyDescent="0.15"/>
    <row r="8318" customFormat="1" ht="13" x14ac:dyDescent="0.15"/>
    <row r="8319" customFormat="1" ht="13" x14ac:dyDescent="0.15"/>
    <row r="8320" customFormat="1" ht="13" x14ac:dyDescent="0.15"/>
    <row r="8321" customFormat="1" ht="13" x14ac:dyDescent="0.15"/>
    <row r="8322" customFormat="1" ht="13" x14ac:dyDescent="0.15"/>
    <row r="8323" customFormat="1" ht="13" x14ac:dyDescent="0.15"/>
    <row r="8324" customFormat="1" ht="13" x14ac:dyDescent="0.15"/>
    <row r="8325" customFormat="1" ht="13" x14ac:dyDescent="0.15"/>
    <row r="8326" customFormat="1" ht="13" x14ac:dyDescent="0.15"/>
    <row r="8327" customFormat="1" ht="13" x14ac:dyDescent="0.15"/>
    <row r="8328" customFormat="1" ht="13" x14ac:dyDescent="0.15"/>
    <row r="8329" customFormat="1" ht="13" x14ac:dyDescent="0.15"/>
    <row r="8330" customFormat="1" ht="13" x14ac:dyDescent="0.15"/>
    <row r="8331" customFormat="1" ht="13" x14ac:dyDescent="0.15"/>
    <row r="8332" customFormat="1" ht="13" x14ac:dyDescent="0.15"/>
    <row r="8333" customFormat="1" ht="13" x14ac:dyDescent="0.15"/>
    <row r="8334" customFormat="1" ht="13" x14ac:dyDescent="0.15"/>
    <row r="8335" customFormat="1" ht="13" x14ac:dyDescent="0.15"/>
    <row r="8336" customFormat="1" ht="13" x14ac:dyDescent="0.15"/>
    <row r="8337" customFormat="1" ht="13" x14ac:dyDescent="0.15"/>
    <row r="8338" customFormat="1" ht="13" x14ac:dyDescent="0.15"/>
    <row r="8339" customFormat="1" ht="13" x14ac:dyDescent="0.15"/>
    <row r="8340" customFormat="1" ht="13" x14ac:dyDescent="0.15"/>
    <row r="8341" customFormat="1" ht="13" x14ac:dyDescent="0.15"/>
    <row r="8342" customFormat="1" ht="13" x14ac:dyDescent="0.15"/>
    <row r="8343" customFormat="1" ht="13" x14ac:dyDescent="0.15"/>
    <row r="8344" customFormat="1" ht="13" x14ac:dyDescent="0.15"/>
    <row r="8345" customFormat="1" ht="13" x14ac:dyDescent="0.15"/>
    <row r="8346" customFormat="1" ht="13" x14ac:dyDescent="0.15"/>
    <row r="8347" customFormat="1" ht="13" x14ac:dyDescent="0.15"/>
    <row r="8348" customFormat="1" ht="13" x14ac:dyDescent="0.15"/>
    <row r="8349" customFormat="1" ht="13" x14ac:dyDescent="0.15"/>
    <row r="8350" customFormat="1" ht="13" x14ac:dyDescent="0.15"/>
    <row r="8351" customFormat="1" ht="13" x14ac:dyDescent="0.15"/>
    <row r="8352" customFormat="1" ht="13" x14ac:dyDescent="0.15"/>
    <row r="8353" customFormat="1" ht="13" x14ac:dyDescent="0.15"/>
    <row r="8354" customFormat="1" ht="13" x14ac:dyDescent="0.15"/>
    <row r="8355" customFormat="1" ht="13" x14ac:dyDescent="0.15"/>
    <row r="8356" customFormat="1" ht="13" x14ac:dyDescent="0.15"/>
    <row r="8357" customFormat="1" ht="13" x14ac:dyDescent="0.15"/>
    <row r="8358" customFormat="1" ht="13" x14ac:dyDescent="0.15"/>
    <row r="8359" customFormat="1" ht="13" x14ac:dyDescent="0.15"/>
    <row r="8360" customFormat="1" ht="13" x14ac:dyDescent="0.15"/>
    <row r="8361" customFormat="1" ht="13" x14ac:dyDescent="0.15"/>
    <row r="8362" customFormat="1" ht="13" x14ac:dyDescent="0.15"/>
    <row r="8363" customFormat="1" ht="13" x14ac:dyDescent="0.15"/>
    <row r="8364" customFormat="1" ht="13" x14ac:dyDescent="0.15"/>
    <row r="8365" customFormat="1" ht="13" x14ac:dyDescent="0.15"/>
    <row r="8366" customFormat="1" ht="13" x14ac:dyDescent="0.15"/>
    <row r="8367" customFormat="1" ht="13" x14ac:dyDescent="0.15"/>
    <row r="8368" customFormat="1" ht="13" x14ac:dyDescent="0.15"/>
    <row r="8369" customFormat="1" ht="13" x14ac:dyDescent="0.15"/>
    <row r="8370" customFormat="1" ht="13" x14ac:dyDescent="0.15"/>
    <row r="8371" customFormat="1" ht="13" x14ac:dyDescent="0.15"/>
    <row r="8372" customFormat="1" ht="13" x14ac:dyDescent="0.15"/>
    <row r="8373" customFormat="1" ht="13" x14ac:dyDescent="0.15"/>
    <row r="8374" customFormat="1" ht="13" x14ac:dyDescent="0.15"/>
    <row r="8375" customFormat="1" ht="13" x14ac:dyDescent="0.15"/>
    <row r="8376" customFormat="1" ht="13" x14ac:dyDescent="0.15"/>
    <row r="8377" customFormat="1" ht="13" x14ac:dyDescent="0.15"/>
    <row r="8378" customFormat="1" ht="13" x14ac:dyDescent="0.15"/>
    <row r="8379" customFormat="1" ht="13" x14ac:dyDescent="0.15"/>
    <row r="8380" customFormat="1" ht="13" x14ac:dyDescent="0.15"/>
    <row r="8381" customFormat="1" ht="13" x14ac:dyDescent="0.15"/>
    <row r="8382" customFormat="1" ht="13" x14ac:dyDescent="0.15"/>
    <row r="8383" customFormat="1" ht="13" x14ac:dyDescent="0.15"/>
    <row r="8384" customFormat="1" ht="13" x14ac:dyDescent="0.15"/>
    <row r="8385" customFormat="1" ht="13" x14ac:dyDescent="0.15"/>
    <row r="8386" customFormat="1" ht="13" x14ac:dyDescent="0.15"/>
    <row r="8387" customFormat="1" ht="13" x14ac:dyDescent="0.15"/>
    <row r="8388" customFormat="1" ht="13" x14ac:dyDescent="0.15"/>
    <row r="8389" customFormat="1" ht="13" x14ac:dyDescent="0.15"/>
    <row r="8390" customFormat="1" ht="13" x14ac:dyDescent="0.15"/>
    <row r="8391" customFormat="1" ht="13" x14ac:dyDescent="0.15"/>
    <row r="8392" customFormat="1" ht="13" x14ac:dyDescent="0.15"/>
    <row r="8393" customFormat="1" ht="13" x14ac:dyDescent="0.15"/>
    <row r="8394" customFormat="1" ht="13" x14ac:dyDescent="0.15"/>
    <row r="8395" customFormat="1" ht="13" x14ac:dyDescent="0.15"/>
    <row r="8396" customFormat="1" ht="13" x14ac:dyDescent="0.15"/>
    <row r="8397" customFormat="1" ht="13" x14ac:dyDescent="0.15"/>
    <row r="8398" customFormat="1" ht="13" x14ac:dyDescent="0.15"/>
    <row r="8399" customFormat="1" ht="13" x14ac:dyDescent="0.15"/>
    <row r="8400" customFormat="1" ht="13" x14ac:dyDescent="0.15"/>
    <row r="8401" customFormat="1" ht="13" x14ac:dyDescent="0.15"/>
    <row r="8402" customFormat="1" ht="13" x14ac:dyDescent="0.15"/>
    <row r="8403" customFormat="1" ht="13" x14ac:dyDescent="0.15"/>
    <row r="8404" customFormat="1" ht="13" x14ac:dyDescent="0.15"/>
    <row r="8405" customFormat="1" ht="13" x14ac:dyDescent="0.15"/>
    <row r="8406" customFormat="1" ht="13" x14ac:dyDescent="0.15"/>
    <row r="8407" customFormat="1" ht="13" x14ac:dyDescent="0.15"/>
    <row r="8408" customFormat="1" ht="13" x14ac:dyDescent="0.15"/>
    <row r="8409" customFormat="1" ht="13" x14ac:dyDescent="0.15"/>
    <row r="8410" customFormat="1" ht="13" x14ac:dyDescent="0.15"/>
    <row r="8411" customFormat="1" ht="13" x14ac:dyDescent="0.15"/>
    <row r="8412" customFormat="1" ht="13" x14ac:dyDescent="0.15"/>
    <row r="8413" customFormat="1" ht="13" x14ac:dyDescent="0.15"/>
    <row r="8414" customFormat="1" ht="13" x14ac:dyDescent="0.15"/>
    <row r="8415" customFormat="1" ht="13" x14ac:dyDescent="0.15"/>
    <row r="8416" customFormat="1" ht="13" x14ac:dyDescent="0.15"/>
    <row r="8417" customFormat="1" ht="13" x14ac:dyDescent="0.15"/>
    <row r="8418" customFormat="1" ht="13" x14ac:dyDescent="0.15"/>
    <row r="8419" customFormat="1" ht="13" x14ac:dyDescent="0.15"/>
    <row r="8420" customFormat="1" ht="13" x14ac:dyDescent="0.15"/>
    <row r="8421" customFormat="1" ht="13" x14ac:dyDescent="0.15"/>
    <row r="8422" customFormat="1" ht="13" x14ac:dyDescent="0.15"/>
    <row r="8423" customFormat="1" ht="13" x14ac:dyDescent="0.15"/>
    <row r="8424" customFormat="1" ht="13" x14ac:dyDescent="0.15"/>
    <row r="8425" customFormat="1" ht="13" x14ac:dyDescent="0.15"/>
    <row r="8426" customFormat="1" ht="13" x14ac:dyDescent="0.15"/>
    <row r="8427" customFormat="1" ht="13" x14ac:dyDescent="0.15"/>
    <row r="8428" customFormat="1" ht="13" x14ac:dyDescent="0.15"/>
    <row r="8429" customFormat="1" ht="13" x14ac:dyDescent="0.15"/>
    <row r="8430" customFormat="1" ht="13" x14ac:dyDescent="0.15"/>
    <row r="8431" customFormat="1" ht="13" x14ac:dyDescent="0.15"/>
    <row r="8432" customFormat="1" ht="13" x14ac:dyDescent="0.15"/>
    <row r="8433" customFormat="1" ht="13" x14ac:dyDescent="0.15"/>
    <row r="8434" customFormat="1" ht="13" x14ac:dyDescent="0.15"/>
    <row r="8435" customFormat="1" ht="13" x14ac:dyDescent="0.15"/>
    <row r="8436" customFormat="1" ht="13" x14ac:dyDescent="0.15"/>
    <row r="8437" customFormat="1" ht="13" x14ac:dyDescent="0.15"/>
    <row r="8438" customFormat="1" ht="13" x14ac:dyDescent="0.15"/>
    <row r="8439" customFormat="1" ht="13" x14ac:dyDescent="0.15"/>
    <row r="8440" customFormat="1" ht="13" x14ac:dyDescent="0.15"/>
    <row r="8441" customFormat="1" ht="13" x14ac:dyDescent="0.15"/>
    <row r="8442" customFormat="1" ht="13" x14ac:dyDescent="0.15"/>
    <row r="8443" customFormat="1" ht="13" x14ac:dyDescent="0.15"/>
    <row r="8444" customFormat="1" ht="13" x14ac:dyDescent="0.15"/>
    <row r="8445" customFormat="1" ht="13" x14ac:dyDescent="0.15"/>
    <row r="8446" customFormat="1" ht="13" x14ac:dyDescent="0.15"/>
    <row r="8447" customFormat="1" ht="13" x14ac:dyDescent="0.15"/>
    <row r="8448" customFormat="1" ht="13" x14ac:dyDescent="0.15"/>
    <row r="8449" customFormat="1" ht="13" x14ac:dyDescent="0.15"/>
    <row r="8450" customFormat="1" ht="13" x14ac:dyDescent="0.15"/>
    <row r="8451" customFormat="1" ht="13" x14ac:dyDescent="0.15"/>
    <row r="8452" customFormat="1" ht="13" x14ac:dyDescent="0.15"/>
    <row r="8453" customFormat="1" ht="13" x14ac:dyDescent="0.15"/>
    <row r="8454" customFormat="1" ht="13" x14ac:dyDescent="0.15"/>
    <row r="8455" customFormat="1" ht="13" x14ac:dyDescent="0.15"/>
    <row r="8456" customFormat="1" ht="13" x14ac:dyDescent="0.15"/>
    <row r="8457" customFormat="1" ht="13" x14ac:dyDescent="0.15"/>
    <row r="8458" customFormat="1" ht="13" x14ac:dyDescent="0.15"/>
    <row r="8459" customFormat="1" ht="13" x14ac:dyDescent="0.15"/>
    <row r="8460" customFormat="1" ht="13" x14ac:dyDescent="0.15"/>
    <row r="8461" customFormat="1" ht="13" x14ac:dyDescent="0.15"/>
    <row r="8462" customFormat="1" ht="13" x14ac:dyDescent="0.15"/>
    <row r="8463" customFormat="1" ht="13" x14ac:dyDescent="0.15"/>
    <row r="8464" customFormat="1" ht="13" x14ac:dyDescent="0.15"/>
    <row r="8465" customFormat="1" ht="13" x14ac:dyDescent="0.15"/>
    <row r="8466" customFormat="1" ht="13" x14ac:dyDescent="0.15"/>
    <row r="8467" customFormat="1" ht="13" x14ac:dyDescent="0.15"/>
    <row r="8468" customFormat="1" ht="13" x14ac:dyDescent="0.15"/>
    <row r="8469" customFormat="1" ht="13" x14ac:dyDescent="0.15"/>
    <row r="8470" customFormat="1" ht="13" x14ac:dyDescent="0.15"/>
    <row r="8471" customFormat="1" ht="13" x14ac:dyDescent="0.15"/>
    <row r="8472" customFormat="1" ht="13" x14ac:dyDescent="0.15"/>
    <row r="8473" customFormat="1" ht="13" x14ac:dyDescent="0.15"/>
    <row r="8474" customFormat="1" ht="13" x14ac:dyDescent="0.15"/>
    <row r="8475" customFormat="1" ht="13" x14ac:dyDescent="0.15"/>
    <row r="8476" customFormat="1" ht="13" x14ac:dyDescent="0.15"/>
    <row r="8477" customFormat="1" ht="13" x14ac:dyDescent="0.15"/>
    <row r="8478" customFormat="1" ht="13" x14ac:dyDescent="0.15"/>
    <row r="8479" customFormat="1" ht="13" x14ac:dyDescent="0.15"/>
    <row r="8480" customFormat="1" ht="13" x14ac:dyDescent="0.15"/>
    <row r="8481" customFormat="1" ht="13" x14ac:dyDescent="0.15"/>
    <row r="8482" customFormat="1" ht="13" x14ac:dyDescent="0.15"/>
    <row r="8483" customFormat="1" ht="13" x14ac:dyDescent="0.15"/>
    <row r="8484" customFormat="1" ht="13" x14ac:dyDescent="0.15"/>
    <row r="8485" customFormat="1" ht="13" x14ac:dyDescent="0.15"/>
    <row r="8486" customFormat="1" ht="13" x14ac:dyDescent="0.15"/>
    <row r="8487" customFormat="1" ht="13" x14ac:dyDescent="0.15"/>
    <row r="8488" customFormat="1" ht="13" x14ac:dyDescent="0.15"/>
    <row r="8489" customFormat="1" ht="13" x14ac:dyDescent="0.15"/>
    <row r="8490" customFormat="1" ht="13" x14ac:dyDescent="0.15"/>
    <row r="8491" customFormat="1" ht="13" x14ac:dyDescent="0.15"/>
    <row r="8492" customFormat="1" ht="13" x14ac:dyDescent="0.15"/>
    <row r="8493" customFormat="1" ht="13" x14ac:dyDescent="0.15"/>
    <row r="8494" customFormat="1" ht="13" x14ac:dyDescent="0.15"/>
    <row r="8495" customFormat="1" ht="13" x14ac:dyDescent="0.15"/>
    <row r="8496" customFormat="1" ht="13" x14ac:dyDescent="0.15"/>
    <row r="8497" customFormat="1" ht="13" x14ac:dyDescent="0.15"/>
    <row r="8498" customFormat="1" ht="13" x14ac:dyDescent="0.15"/>
    <row r="8499" customFormat="1" ht="13" x14ac:dyDescent="0.15"/>
    <row r="8500" customFormat="1" ht="13" x14ac:dyDescent="0.15"/>
    <row r="8501" customFormat="1" ht="13" x14ac:dyDescent="0.15"/>
    <row r="8502" customFormat="1" ht="13" x14ac:dyDescent="0.15"/>
    <row r="8503" customFormat="1" ht="13" x14ac:dyDescent="0.15"/>
    <row r="8504" customFormat="1" ht="13" x14ac:dyDescent="0.15"/>
    <row r="8505" customFormat="1" ht="13" x14ac:dyDescent="0.15"/>
    <row r="8506" customFormat="1" ht="13" x14ac:dyDescent="0.15"/>
    <row r="8507" customFormat="1" ht="13" x14ac:dyDescent="0.15"/>
    <row r="8508" customFormat="1" ht="13" x14ac:dyDescent="0.15"/>
    <row r="8509" customFormat="1" ht="13" x14ac:dyDescent="0.15"/>
    <row r="8510" customFormat="1" ht="13" x14ac:dyDescent="0.15"/>
    <row r="8511" customFormat="1" ht="13" x14ac:dyDescent="0.15"/>
    <row r="8512" customFormat="1" ht="13" x14ac:dyDescent="0.15"/>
    <row r="8513" customFormat="1" ht="13" x14ac:dyDescent="0.15"/>
    <row r="8514" customFormat="1" ht="13" x14ac:dyDescent="0.15"/>
    <row r="8515" customFormat="1" ht="13" x14ac:dyDescent="0.15"/>
    <row r="8516" customFormat="1" ht="13" x14ac:dyDescent="0.15"/>
    <row r="8517" customFormat="1" ht="13" x14ac:dyDescent="0.15"/>
    <row r="8518" customFormat="1" ht="13" x14ac:dyDescent="0.15"/>
    <row r="8519" customFormat="1" ht="13" x14ac:dyDescent="0.15"/>
    <row r="8520" customFormat="1" ht="13" x14ac:dyDescent="0.15"/>
    <row r="8521" customFormat="1" ht="13" x14ac:dyDescent="0.15"/>
    <row r="8522" customFormat="1" ht="13" x14ac:dyDescent="0.15"/>
    <row r="8523" customFormat="1" ht="13" x14ac:dyDescent="0.15"/>
    <row r="8524" customFormat="1" ht="13" x14ac:dyDescent="0.15"/>
    <row r="8525" customFormat="1" ht="13" x14ac:dyDescent="0.15"/>
    <row r="8526" customFormat="1" ht="13" x14ac:dyDescent="0.15"/>
    <row r="8527" customFormat="1" ht="13" x14ac:dyDescent="0.15"/>
    <row r="8528" customFormat="1" ht="13" x14ac:dyDescent="0.15"/>
    <row r="8529" customFormat="1" ht="13" x14ac:dyDescent="0.15"/>
    <row r="8530" customFormat="1" ht="13" x14ac:dyDescent="0.15"/>
    <row r="8531" customFormat="1" ht="13" x14ac:dyDescent="0.15"/>
    <row r="8532" customFormat="1" ht="13" x14ac:dyDescent="0.15"/>
    <row r="8533" customFormat="1" ht="13" x14ac:dyDescent="0.15"/>
    <row r="8534" customFormat="1" ht="13" x14ac:dyDescent="0.15"/>
    <row r="8535" customFormat="1" ht="13" x14ac:dyDescent="0.15"/>
    <row r="8536" customFormat="1" ht="13" x14ac:dyDescent="0.15"/>
    <row r="8537" customFormat="1" ht="13" x14ac:dyDescent="0.15"/>
    <row r="8538" customFormat="1" ht="13" x14ac:dyDescent="0.15"/>
    <row r="8539" customFormat="1" ht="13" x14ac:dyDescent="0.15"/>
    <row r="8540" customFormat="1" ht="13" x14ac:dyDescent="0.15"/>
    <row r="8541" customFormat="1" ht="13" x14ac:dyDescent="0.15"/>
    <row r="8542" customFormat="1" ht="13" x14ac:dyDescent="0.15"/>
    <row r="8543" customFormat="1" ht="13" x14ac:dyDescent="0.15"/>
    <row r="8544" customFormat="1" ht="13" x14ac:dyDescent="0.15"/>
    <row r="8545" customFormat="1" ht="13" x14ac:dyDescent="0.15"/>
    <row r="8546" customFormat="1" ht="13" x14ac:dyDescent="0.15"/>
    <row r="8547" customFormat="1" ht="13" x14ac:dyDescent="0.15"/>
    <row r="8548" customFormat="1" ht="13" x14ac:dyDescent="0.15"/>
    <row r="8549" customFormat="1" ht="13" x14ac:dyDescent="0.15"/>
    <row r="8550" customFormat="1" ht="13" x14ac:dyDescent="0.15"/>
    <row r="8551" customFormat="1" ht="13" x14ac:dyDescent="0.15"/>
    <row r="8552" customFormat="1" ht="13" x14ac:dyDescent="0.15"/>
    <row r="8553" customFormat="1" ht="13" x14ac:dyDescent="0.15"/>
    <row r="8554" customFormat="1" ht="13" x14ac:dyDescent="0.15"/>
    <row r="8555" customFormat="1" ht="13" x14ac:dyDescent="0.15"/>
    <row r="8556" customFormat="1" ht="13" x14ac:dyDescent="0.15"/>
    <row r="8557" customFormat="1" ht="13" x14ac:dyDescent="0.15"/>
    <row r="8558" customFormat="1" ht="13" x14ac:dyDescent="0.15"/>
    <row r="8559" customFormat="1" ht="13" x14ac:dyDescent="0.15"/>
    <row r="8560" customFormat="1" ht="13" x14ac:dyDescent="0.15"/>
    <row r="8561" customFormat="1" ht="13" x14ac:dyDescent="0.15"/>
    <row r="8562" customFormat="1" ht="13" x14ac:dyDescent="0.15"/>
    <row r="8563" customFormat="1" ht="13" x14ac:dyDescent="0.15"/>
    <row r="8564" customFormat="1" ht="13" x14ac:dyDescent="0.15"/>
    <row r="8565" customFormat="1" ht="13" x14ac:dyDescent="0.15"/>
    <row r="8566" customFormat="1" ht="13" x14ac:dyDescent="0.15"/>
    <row r="8567" customFormat="1" ht="13" x14ac:dyDescent="0.15"/>
    <row r="8568" customFormat="1" ht="13" x14ac:dyDescent="0.15"/>
    <row r="8569" customFormat="1" ht="13" x14ac:dyDescent="0.15"/>
    <row r="8570" customFormat="1" ht="13" x14ac:dyDescent="0.15"/>
    <row r="8571" customFormat="1" ht="13" x14ac:dyDescent="0.15"/>
    <row r="8572" customFormat="1" ht="13" x14ac:dyDescent="0.15"/>
    <row r="8573" customFormat="1" ht="13" x14ac:dyDescent="0.15"/>
    <row r="8574" customFormat="1" ht="13" x14ac:dyDescent="0.15"/>
    <row r="8575" customFormat="1" ht="13" x14ac:dyDescent="0.15"/>
    <row r="8576" customFormat="1" ht="13" x14ac:dyDescent="0.15"/>
    <row r="8577" customFormat="1" ht="13" x14ac:dyDescent="0.15"/>
    <row r="8578" customFormat="1" ht="13" x14ac:dyDescent="0.15"/>
    <row r="8579" customFormat="1" ht="13" x14ac:dyDescent="0.15"/>
    <row r="8580" customFormat="1" ht="13" x14ac:dyDescent="0.15"/>
    <row r="8581" customFormat="1" ht="13" x14ac:dyDescent="0.15"/>
    <row r="8582" customFormat="1" ht="13" x14ac:dyDescent="0.15"/>
    <row r="8583" customFormat="1" ht="13" x14ac:dyDescent="0.15"/>
    <row r="8584" customFormat="1" ht="13" x14ac:dyDescent="0.15"/>
    <row r="8585" customFormat="1" ht="13" x14ac:dyDescent="0.15"/>
    <row r="8586" customFormat="1" ht="13" x14ac:dyDescent="0.15"/>
    <row r="8587" customFormat="1" ht="13" x14ac:dyDescent="0.15"/>
    <row r="8588" customFormat="1" ht="13" x14ac:dyDescent="0.15"/>
    <row r="8589" customFormat="1" ht="13" x14ac:dyDescent="0.15"/>
    <row r="8590" customFormat="1" ht="13" x14ac:dyDescent="0.15"/>
    <row r="8591" customFormat="1" ht="13" x14ac:dyDescent="0.15"/>
    <row r="8592" customFormat="1" ht="13" x14ac:dyDescent="0.15"/>
    <row r="8593" customFormat="1" ht="13" x14ac:dyDescent="0.15"/>
    <row r="8594" customFormat="1" ht="13" x14ac:dyDescent="0.15"/>
    <row r="8595" customFormat="1" ht="13" x14ac:dyDescent="0.15"/>
    <row r="8596" customFormat="1" ht="13" x14ac:dyDescent="0.15"/>
    <row r="8597" customFormat="1" ht="13" x14ac:dyDescent="0.15"/>
    <row r="8598" customFormat="1" ht="13" x14ac:dyDescent="0.15"/>
    <row r="8599" customFormat="1" ht="13" x14ac:dyDescent="0.15"/>
    <row r="8600" customFormat="1" ht="13" x14ac:dyDescent="0.15"/>
    <row r="8601" customFormat="1" ht="13" x14ac:dyDescent="0.15"/>
    <row r="8602" customFormat="1" ht="13" x14ac:dyDescent="0.15"/>
    <row r="8603" customFormat="1" ht="13" x14ac:dyDescent="0.15"/>
    <row r="8604" customFormat="1" ht="13" x14ac:dyDescent="0.15"/>
    <row r="8605" customFormat="1" ht="13" x14ac:dyDescent="0.15"/>
    <row r="8606" customFormat="1" ht="13" x14ac:dyDescent="0.15"/>
    <row r="8607" customFormat="1" ht="13" x14ac:dyDescent="0.15"/>
    <row r="8608" customFormat="1" ht="13" x14ac:dyDescent="0.15"/>
    <row r="8609" customFormat="1" ht="13" x14ac:dyDescent="0.15"/>
    <row r="8610" customFormat="1" ht="13" x14ac:dyDescent="0.15"/>
    <row r="8611" customFormat="1" ht="13" x14ac:dyDescent="0.15"/>
    <row r="8612" customFormat="1" ht="13" x14ac:dyDescent="0.15"/>
    <row r="8613" customFormat="1" ht="13" x14ac:dyDescent="0.15"/>
    <row r="8614" customFormat="1" ht="13" x14ac:dyDescent="0.15"/>
    <row r="8615" customFormat="1" ht="13" x14ac:dyDescent="0.15"/>
    <row r="8616" customFormat="1" ht="13" x14ac:dyDescent="0.15"/>
    <row r="8617" customFormat="1" ht="13" x14ac:dyDescent="0.15"/>
    <row r="8618" customFormat="1" ht="13" x14ac:dyDescent="0.15"/>
    <row r="8619" customFormat="1" ht="13" x14ac:dyDescent="0.15"/>
    <row r="8620" customFormat="1" ht="13" x14ac:dyDescent="0.15"/>
    <row r="8621" customFormat="1" ht="13" x14ac:dyDescent="0.15"/>
    <row r="8622" customFormat="1" ht="13" x14ac:dyDescent="0.15"/>
    <row r="8623" customFormat="1" ht="13" x14ac:dyDescent="0.15"/>
    <row r="8624" customFormat="1" ht="13" x14ac:dyDescent="0.15"/>
    <row r="8625" customFormat="1" ht="13" x14ac:dyDescent="0.15"/>
    <row r="8626" customFormat="1" ht="13" x14ac:dyDescent="0.15"/>
    <row r="8627" customFormat="1" ht="13" x14ac:dyDescent="0.15"/>
    <row r="8628" customFormat="1" ht="13" x14ac:dyDescent="0.15"/>
    <row r="8629" customFormat="1" ht="13" x14ac:dyDescent="0.15"/>
    <row r="8630" customFormat="1" ht="13" x14ac:dyDescent="0.15"/>
    <row r="8631" customFormat="1" ht="13" x14ac:dyDescent="0.15"/>
    <row r="8632" customFormat="1" ht="13" x14ac:dyDescent="0.15"/>
    <row r="8633" customFormat="1" ht="13" x14ac:dyDescent="0.15"/>
    <row r="8634" customFormat="1" ht="13" x14ac:dyDescent="0.15"/>
    <row r="8635" customFormat="1" ht="13" x14ac:dyDescent="0.15"/>
    <row r="8636" customFormat="1" ht="13" x14ac:dyDescent="0.15"/>
    <row r="8637" customFormat="1" ht="13" x14ac:dyDescent="0.15"/>
    <row r="8638" customFormat="1" ht="13" x14ac:dyDescent="0.15"/>
    <row r="8639" customFormat="1" ht="13" x14ac:dyDescent="0.15"/>
    <row r="8640" customFormat="1" ht="13" x14ac:dyDescent="0.15"/>
    <row r="8641" customFormat="1" ht="13" x14ac:dyDescent="0.15"/>
    <row r="8642" customFormat="1" ht="13" x14ac:dyDescent="0.15"/>
    <row r="8643" customFormat="1" ht="13" x14ac:dyDescent="0.15"/>
    <row r="8644" customFormat="1" ht="13" x14ac:dyDescent="0.15"/>
    <row r="8645" customFormat="1" ht="13" x14ac:dyDescent="0.15"/>
    <row r="8646" customFormat="1" ht="13" x14ac:dyDescent="0.15"/>
    <row r="8647" customFormat="1" ht="13" x14ac:dyDescent="0.15"/>
    <row r="8648" customFormat="1" ht="13" x14ac:dyDescent="0.15"/>
    <row r="8649" customFormat="1" ht="13" x14ac:dyDescent="0.15"/>
    <row r="8650" customFormat="1" ht="13" x14ac:dyDescent="0.15"/>
    <row r="8651" customFormat="1" ht="13" x14ac:dyDescent="0.15"/>
    <row r="8652" customFormat="1" ht="13" x14ac:dyDescent="0.15"/>
    <row r="8653" customFormat="1" ht="13" x14ac:dyDescent="0.15"/>
    <row r="8654" customFormat="1" ht="13" x14ac:dyDescent="0.15"/>
    <row r="8655" customFormat="1" ht="13" x14ac:dyDescent="0.15"/>
    <row r="8656" customFormat="1" ht="13" x14ac:dyDescent="0.15"/>
    <row r="8657" customFormat="1" ht="13" x14ac:dyDescent="0.15"/>
    <row r="8658" customFormat="1" ht="13" x14ac:dyDescent="0.15"/>
    <row r="8659" customFormat="1" ht="13" x14ac:dyDescent="0.15"/>
    <row r="8660" customFormat="1" ht="13" x14ac:dyDescent="0.15"/>
    <row r="8661" customFormat="1" ht="13" x14ac:dyDescent="0.15"/>
    <row r="8662" customFormat="1" ht="13" x14ac:dyDescent="0.15"/>
    <row r="8663" customFormat="1" ht="13" x14ac:dyDescent="0.15"/>
    <row r="8664" customFormat="1" ht="13" x14ac:dyDescent="0.15"/>
    <row r="8665" customFormat="1" ht="13" x14ac:dyDescent="0.15"/>
    <row r="8666" customFormat="1" ht="13" x14ac:dyDescent="0.15"/>
    <row r="8667" customFormat="1" ht="13" x14ac:dyDescent="0.15"/>
    <row r="8668" customFormat="1" ht="13" x14ac:dyDescent="0.15"/>
    <row r="8669" customFormat="1" ht="13" x14ac:dyDescent="0.15"/>
    <row r="8670" customFormat="1" ht="13" x14ac:dyDescent="0.15"/>
    <row r="8671" customFormat="1" ht="13" x14ac:dyDescent="0.15"/>
    <row r="8672" customFormat="1" ht="13" x14ac:dyDescent="0.15"/>
    <row r="8673" customFormat="1" ht="13" x14ac:dyDescent="0.15"/>
    <row r="8674" customFormat="1" ht="13" x14ac:dyDescent="0.15"/>
    <row r="8675" customFormat="1" ht="13" x14ac:dyDescent="0.15"/>
    <row r="8676" customFormat="1" ht="13" x14ac:dyDescent="0.15"/>
    <row r="8677" customFormat="1" ht="13" x14ac:dyDescent="0.15"/>
    <row r="8678" customFormat="1" ht="13" x14ac:dyDescent="0.15"/>
    <row r="8679" customFormat="1" ht="13" x14ac:dyDescent="0.15"/>
    <row r="8680" customFormat="1" ht="13" x14ac:dyDescent="0.15"/>
    <row r="8681" customFormat="1" ht="13" x14ac:dyDescent="0.15"/>
    <row r="8682" customFormat="1" ht="13" x14ac:dyDescent="0.15"/>
    <row r="8683" customFormat="1" ht="13" x14ac:dyDescent="0.15"/>
    <row r="8684" customFormat="1" ht="13" x14ac:dyDescent="0.15"/>
    <row r="8685" customFormat="1" ht="13" x14ac:dyDescent="0.15"/>
    <row r="8686" customFormat="1" ht="13" x14ac:dyDescent="0.15"/>
    <row r="8687" customFormat="1" ht="13" x14ac:dyDescent="0.15"/>
    <row r="8688" customFormat="1" ht="13" x14ac:dyDescent="0.15"/>
    <row r="8689" customFormat="1" ht="13" x14ac:dyDescent="0.15"/>
    <row r="8690" customFormat="1" ht="13" x14ac:dyDescent="0.15"/>
    <row r="8691" customFormat="1" ht="13" x14ac:dyDescent="0.15"/>
    <row r="8692" customFormat="1" ht="13" x14ac:dyDescent="0.15"/>
    <row r="8693" customFormat="1" ht="13" x14ac:dyDescent="0.15"/>
    <row r="8694" customFormat="1" ht="13" x14ac:dyDescent="0.15"/>
    <row r="8695" customFormat="1" ht="13" x14ac:dyDescent="0.15"/>
    <row r="8696" customFormat="1" ht="13" x14ac:dyDescent="0.15"/>
    <row r="8697" customFormat="1" ht="13" x14ac:dyDescent="0.15"/>
    <row r="8698" customFormat="1" ht="13" x14ac:dyDescent="0.15"/>
    <row r="8699" customFormat="1" ht="13" x14ac:dyDescent="0.15"/>
    <row r="8700" customFormat="1" ht="13" x14ac:dyDescent="0.15"/>
    <row r="8701" customFormat="1" ht="13" x14ac:dyDescent="0.15"/>
    <row r="8702" customFormat="1" ht="13" x14ac:dyDescent="0.15"/>
    <row r="8703" customFormat="1" ht="13" x14ac:dyDescent="0.15"/>
    <row r="8704" customFormat="1" ht="13" x14ac:dyDescent="0.15"/>
    <row r="8705" customFormat="1" ht="13" x14ac:dyDescent="0.15"/>
    <row r="8706" customFormat="1" ht="13" x14ac:dyDescent="0.15"/>
    <row r="8707" customFormat="1" ht="13" x14ac:dyDescent="0.15"/>
    <row r="8708" customFormat="1" ht="13" x14ac:dyDescent="0.15"/>
    <row r="8709" customFormat="1" ht="13" x14ac:dyDescent="0.15"/>
    <row r="8710" customFormat="1" ht="13" x14ac:dyDescent="0.15"/>
    <row r="8711" customFormat="1" ht="13" x14ac:dyDescent="0.15"/>
    <row r="8712" customFormat="1" ht="13" x14ac:dyDescent="0.15"/>
    <row r="8713" customFormat="1" ht="13" x14ac:dyDescent="0.15"/>
    <row r="8714" customFormat="1" ht="13" x14ac:dyDescent="0.15"/>
    <row r="8715" customFormat="1" ht="13" x14ac:dyDescent="0.15"/>
    <row r="8716" customFormat="1" ht="13" x14ac:dyDescent="0.15"/>
    <row r="8717" customFormat="1" ht="13" x14ac:dyDescent="0.15"/>
    <row r="8718" customFormat="1" ht="13" x14ac:dyDescent="0.15"/>
    <row r="8719" customFormat="1" ht="13" x14ac:dyDescent="0.15"/>
    <row r="8720" customFormat="1" ht="13" x14ac:dyDescent="0.15"/>
    <row r="8721" customFormat="1" ht="13" x14ac:dyDescent="0.15"/>
    <row r="8722" customFormat="1" ht="13" x14ac:dyDescent="0.15"/>
    <row r="8723" customFormat="1" ht="13" x14ac:dyDescent="0.15"/>
    <row r="8724" customFormat="1" ht="13" x14ac:dyDescent="0.15"/>
    <row r="8725" customFormat="1" ht="13" x14ac:dyDescent="0.15"/>
    <row r="8726" customFormat="1" ht="13" x14ac:dyDescent="0.15"/>
    <row r="8727" customFormat="1" ht="13" x14ac:dyDescent="0.15"/>
    <row r="8728" customFormat="1" ht="13" x14ac:dyDescent="0.15"/>
    <row r="8729" customFormat="1" ht="13" x14ac:dyDescent="0.15"/>
    <row r="8730" customFormat="1" ht="13" x14ac:dyDescent="0.15"/>
    <row r="8731" customFormat="1" ht="13" x14ac:dyDescent="0.15"/>
    <row r="8732" customFormat="1" ht="13" x14ac:dyDescent="0.15"/>
    <row r="8733" customFormat="1" ht="13" x14ac:dyDescent="0.15"/>
    <row r="8734" customFormat="1" ht="13" x14ac:dyDescent="0.15"/>
    <row r="8735" customFormat="1" ht="13" x14ac:dyDescent="0.15"/>
    <row r="8736" customFormat="1" ht="13" x14ac:dyDescent="0.15"/>
    <row r="8737" customFormat="1" ht="13" x14ac:dyDescent="0.15"/>
    <row r="8738" customFormat="1" ht="13" x14ac:dyDescent="0.15"/>
    <row r="8739" customFormat="1" ht="13" x14ac:dyDescent="0.15"/>
    <row r="8740" customFormat="1" ht="13" x14ac:dyDescent="0.15"/>
    <row r="8741" customFormat="1" ht="13" x14ac:dyDescent="0.15"/>
    <row r="8742" customFormat="1" ht="13" x14ac:dyDescent="0.15"/>
    <row r="8743" customFormat="1" ht="13" x14ac:dyDescent="0.15"/>
    <row r="8744" customFormat="1" ht="13" x14ac:dyDescent="0.15"/>
    <row r="8745" customFormat="1" ht="13" x14ac:dyDescent="0.15"/>
    <row r="8746" customFormat="1" ht="13" x14ac:dyDescent="0.15"/>
    <row r="8747" customFormat="1" ht="13" x14ac:dyDescent="0.15"/>
    <row r="8748" customFormat="1" ht="13" x14ac:dyDescent="0.15"/>
    <row r="8749" customFormat="1" ht="13" x14ac:dyDescent="0.15"/>
    <row r="8750" customFormat="1" ht="13" x14ac:dyDescent="0.15"/>
    <row r="8751" customFormat="1" ht="13" x14ac:dyDescent="0.15"/>
    <row r="8752" customFormat="1" ht="13" x14ac:dyDescent="0.15"/>
    <row r="8753" customFormat="1" ht="13" x14ac:dyDescent="0.15"/>
    <row r="8754" customFormat="1" ht="13" x14ac:dyDescent="0.15"/>
    <row r="8755" customFormat="1" ht="13" x14ac:dyDescent="0.15"/>
    <row r="8756" customFormat="1" ht="13" x14ac:dyDescent="0.15"/>
    <row r="8757" customFormat="1" ht="13" x14ac:dyDescent="0.15"/>
    <row r="8758" customFormat="1" ht="13" x14ac:dyDescent="0.15"/>
    <row r="8759" customFormat="1" ht="13" x14ac:dyDescent="0.15"/>
    <row r="8760" customFormat="1" ht="13" x14ac:dyDescent="0.15"/>
    <row r="8761" customFormat="1" ht="13" x14ac:dyDescent="0.15"/>
    <row r="8762" customFormat="1" ht="13" x14ac:dyDescent="0.15"/>
    <row r="8763" customFormat="1" ht="13" x14ac:dyDescent="0.15"/>
    <row r="8764" customFormat="1" ht="13" x14ac:dyDescent="0.15"/>
    <row r="8765" customFormat="1" ht="13" x14ac:dyDescent="0.15"/>
    <row r="8766" customFormat="1" ht="13" x14ac:dyDescent="0.15"/>
    <row r="8767" customFormat="1" ht="13" x14ac:dyDescent="0.15"/>
    <row r="8768" customFormat="1" ht="13" x14ac:dyDescent="0.15"/>
    <row r="8769" customFormat="1" ht="13" x14ac:dyDescent="0.15"/>
    <row r="8770" customFormat="1" ht="13" x14ac:dyDescent="0.15"/>
    <row r="8771" customFormat="1" ht="13" x14ac:dyDescent="0.15"/>
    <row r="8772" customFormat="1" ht="13" x14ac:dyDescent="0.15"/>
    <row r="8773" customFormat="1" ht="13" x14ac:dyDescent="0.15"/>
    <row r="8774" customFormat="1" ht="13" x14ac:dyDescent="0.15"/>
    <row r="8775" customFormat="1" ht="13" x14ac:dyDescent="0.15"/>
    <row r="8776" customFormat="1" ht="13" x14ac:dyDescent="0.15"/>
    <row r="8777" customFormat="1" ht="13" x14ac:dyDescent="0.15"/>
    <row r="8778" customFormat="1" ht="13" x14ac:dyDescent="0.15"/>
    <row r="8779" customFormat="1" ht="13" x14ac:dyDescent="0.15"/>
    <row r="8780" customFormat="1" ht="13" x14ac:dyDescent="0.15"/>
    <row r="8781" customFormat="1" ht="13" x14ac:dyDescent="0.15"/>
    <row r="8782" customFormat="1" ht="13" x14ac:dyDescent="0.15"/>
    <row r="8783" customFormat="1" ht="13" x14ac:dyDescent="0.15"/>
    <row r="8784" customFormat="1" ht="13" x14ac:dyDescent="0.15"/>
    <row r="8785" customFormat="1" ht="13" x14ac:dyDescent="0.15"/>
    <row r="8786" customFormat="1" ht="13" x14ac:dyDescent="0.15"/>
    <row r="8787" customFormat="1" ht="13" x14ac:dyDescent="0.15"/>
    <row r="8788" customFormat="1" ht="13" x14ac:dyDescent="0.15"/>
    <row r="8789" customFormat="1" ht="13" x14ac:dyDescent="0.15"/>
    <row r="8790" customFormat="1" ht="13" x14ac:dyDescent="0.15"/>
    <row r="8791" customFormat="1" ht="13" x14ac:dyDescent="0.15"/>
    <row r="8792" customFormat="1" ht="13" x14ac:dyDescent="0.15"/>
    <row r="8793" customFormat="1" ht="13" x14ac:dyDescent="0.15"/>
    <row r="8794" customFormat="1" ht="13" x14ac:dyDescent="0.15"/>
    <row r="8795" customFormat="1" ht="13" x14ac:dyDescent="0.15"/>
    <row r="8796" customFormat="1" ht="13" x14ac:dyDescent="0.15"/>
    <row r="8797" customFormat="1" ht="13" x14ac:dyDescent="0.15"/>
    <row r="8798" customFormat="1" ht="13" x14ac:dyDescent="0.15"/>
    <row r="8799" customFormat="1" ht="13" x14ac:dyDescent="0.15"/>
    <row r="8800" customFormat="1" ht="13" x14ac:dyDescent="0.15"/>
    <row r="8801" customFormat="1" ht="13" x14ac:dyDescent="0.15"/>
    <row r="8802" customFormat="1" ht="13" x14ac:dyDescent="0.15"/>
    <row r="8803" customFormat="1" ht="13" x14ac:dyDescent="0.15"/>
    <row r="8804" customFormat="1" ht="13" x14ac:dyDescent="0.15"/>
    <row r="8805" customFormat="1" ht="13" x14ac:dyDescent="0.15"/>
    <row r="8806" customFormat="1" ht="13" x14ac:dyDescent="0.15"/>
    <row r="8807" customFormat="1" ht="13" x14ac:dyDescent="0.15"/>
    <row r="8808" customFormat="1" ht="13" x14ac:dyDescent="0.15"/>
    <row r="8809" customFormat="1" ht="13" x14ac:dyDescent="0.15"/>
    <row r="8810" customFormat="1" ht="13" x14ac:dyDescent="0.15"/>
    <row r="8811" customFormat="1" ht="13" x14ac:dyDescent="0.15"/>
    <row r="8812" customFormat="1" ht="13" x14ac:dyDescent="0.15"/>
    <row r="8813" customFormat="1" ht="13" x14ac:dyDescent="0.15"/>
    <row r="8814" customFormat="1" ht="13" x14ac:dyDescent="0.15"/>
    <row r="8815" customFormat="1" ht="13" x14ac:dyDescent="0.15"/>
    <row r="8816" customFormat="1" ht="13" x14ac:dyDescent="0.15"/>
    <row r="8817" customFormat="1" ht="13" x14ac:dyDescent="0.15"/>
    <row r="8818" customFormat="1" ht="13" x14ac:dyDescent="0.15"/>
    <row r="8819" customFormat="1" ht="13" x14ac:dyDescent="0.15"/>
    <row r="8820" customFormat="1" ht="13" x14ac:dyDescent="0.15"/>
    <row r="8821" customFormat="1" ht="13" x14ac:dyDescent="0.15"/>
    <row r="8822" customFormat="1" ht="13" x14ac:dyDescent="0.15"/>
    <row r="8823" customFormat="1" ht="13" x14ac:dyDescent="0.15"/>
    <row r="8824" customFormat="1" ht="13" x14ac:dyDescent="0.15"/>
    <row r="8825" customFormat="1" ht="13" x14ac:dyDescent="0.15"/>
    <row r="8826" customFormat="1" ht="13" x14ac:dyDescent="0.15"/>
    <row r="8827" customFormat="1" ht="13" x14ac:dyDescent="0.15"/>
    <row r="8828" customFormat="1" ht="13" x14ac:dyDescent="0.15"/>
    <row r="8829" customFormat="1" ht="13" x14ac:dyDescent="0.15"/>
    <row r="8830" customFormat="1" ht="13" x14ac:dyDescent="0.15"/>
    <row r="8831" customFormat="1" ht="13" x14ac:dyDescent="0.15"/>
    <row r="8832" customFormat="1" ht="13" x14ac:dyDescent="0.15"/>
    <row r="8833" customFormat="1" ht="13" x14ac:dyDescent="0.15"/>
    <row r="8834" customFormat="1" ht="13" x14ac:dyDescent="0.15"/>
    <row r="8835" customFormat="1" ht="13" x14ac:dyDescent="0.15"/>
    <row r="8836" customFormat="1" ht="13" x14ac:dyDescent="0.15"/>
    <row r="8837" customFormat="1" ht="13" x14ac:dyDescent="0.15"/>
    <row r="8838" customFormat="1" ht="13" x14ac:dyDescent="0.15"/>
    <row r="8839" customFormat="1" ht="13" x14ac:dyDescent="0.15"/>
    <row r="8840" customFormat="1" ht="13" x14ac:dyDescent="0.15"/>
    <row r="8841" customFormat="1" ht="13" x14ac:dyDescent="0.15"/>
    <row r="8842" customFormat="1" ht="13" x14ac:dyDescent="0.15"/>
    <row r="8843" customFormat="1" ht="13" x14ac:dyDescent="0.15"/>
    <row r="8844" customFormat="1" ht="13" x14ac:dyDescent="0.15"/>
    <row r="8845" customFormat="1" ht="13" x14ac:dyDescent="0.15"/>
    <row r="8846" customFormat="1" ht="13" x14ac:dyDescent="0.15"/>
    <row r="8847" customFormat="1" ht="13" x14ac:dyDescent="0.15"/>
    <row r="8848" customFormat="1" ht="13" x14ac:dyDescent="0.15"/>
    <row r="8849" customFormat="1" ht="13" x14ac:dyDescent="0.15"/>
    <row r="8850" customFormat="1" ht="13" x14ac:dyDescent="0.15"/>
    <row r="8851" customFormat="1" ht="13" x14ac:dyDescent="0.15"/>
    <row r="8852" customFormat="1" ht="13" x14ac:dyDescent="0.15"/>
    <row r="8853" customFormat="1" ht="13" x14ac:dyDescent="0.15"/>
    <row r="8854" customFormat="1" ht="13" x14ac:dyDescent="0.15"/>
    <row r="8855" customFormat="1" ht="13" x14ac:dyDescent="0.15"/>
    <row r="8856" customFormat="1" ht="13" x14ac:dyDescent="0.15"/>
    <row r="8857" customFormat="1" ht="13" x14ac:dyDescent="0.15"/>
    <row r="8858" customFormat="1" ht="13" x14ac:dyDescent="0.15"/>
    <row r="8859" customFormat="1" ht="13" x14ac:dyDescent="0.15"/>
    <row r="8860" customFormat="1" ht="13" x14ac:dyDescent="0.15"/>
    <row r="8861" customFormat="1" ht="13" x14ac:dyDescent="0.15"/>
    <row r="8862" customFormat="1" ht="13" x14ac:dyDescent="0.15"/>
    <row r="8863" customFormat="1" ht="13" x14ac:dyDescent="0.15"/>
    <row r="8864" customFormat="1" ht="13" x14ac:dyDescent="0.15"/>
    <row r="8865" customFormat="1" ht="13" x14ac:dyDescent="0.15"/>
    <row r="8866" customFormat="1" ht="13" x14ac:dyDescent="0.15"/>
    <row r="8867" customFormat="1" ht="13" x14ac:dyDescent="0.15"/>
    <row r="8868" customFormat="1" ht="13" x14ac:dyDescent="0.15"/>
    <row r="8869" customFormat="1" ht="13" x14ac:dyDescent="0.15"/>
    <row r="8870" customFormat="1" ht="13" x14ac:dyDescent="0.15"/>
    <row r="8871" customFormat="1" ht="13" x14ac:dyDescent="0.15"/>
    <row r="8872" customFormat="1" ht="13" x14ac:dyDescent="0.15"/>
    <row r="8873" customFormat="1" ht="13" x14ac:dyDescent="0.15"/>
    <row r="8874" customFormat="1" ht="13" x14ac:dyDescent="0.15"/>
    <row r="8875" customFormat="1" ht="13" x14ac:dyDescent="0.15"/>
    <row r="8876" customFormat="1" ht="13" x14ac:dyDescent="0.15"/>
    <row r="8877" customFormat="1" ht="13" x14ac:dyDescent="0.15"/>
    <row r="8878" customFormat="1" ht="13" x14ac:dyDescent="0.15"/>
    <row r="8879" customFormat="1" ht="13" x14ac:dyDescent="0.15"/>
    <row r="8880" customFormat="1" ht="13" x14ac:dyDescent="0.15"/>
    <row r="8881" customFormat="1" ht="13" x14ac:dyDescent="0.15"/>
    <row r="8882" customFormat="1" ht="13" x14ac:dyDescent="0.15"/>
    <row r="8883" customFormat="1" ht="13" x14ac:dyDescent="0.15"/>
    <row r="8884" customFormat="1" ht="13" x14ac:dyDescent="0.15"/>
    <row r="8885" customFormat="1" ht="13" x14ac:dyDescent="0.15"/>
    <row r="8886" customFormat="1" ht="13" x14ac:dyDescent="0.15"/>
    <row r="8887" customFormat="1" ht="13" x14ac:dyDescent="0.15"/>
    <row r="8888" customFormat="1" ht="13" x14ac:dyDescent="0.15"/>
    <row r="8889" customFormat="1" ht="13" x14ac:dyDescent="0.15"/>
    <row r="8890" customFormat="1" ht="13" x14ac:dyDescent="0.15"/>
    <row r="8891" customFormat="1" ht="13" x14ac:dyDescent="0.15"/>
    <row r="8892" customFormat="1" ht="13" x14ac:dyDescent="0.15"/>
    <row r="8893" customFormat="1" ht="13" x14ac:dyDescent="0.15"/>
    <row r="8894" customFormat="1" ht="13" x14ac:dyDescent="0.15"/>
    <row r="8895" customFormat="1" ht="13" x14ac:dyDescent="0.15"/>
    <row r="8896" customFormat="1" ht="13" x14ac:dyDescent="0.15"/>
    <row r="8897" customFormat="1" ht="13" x14ac:dyDescent="0.15"/>
    <row r="8898" customFormat="1" ht="13" x14ac:dyDescent="0.15"/>
    <row r="8899" customFormat="1" ht="13" x14ac:dyDescent="0.15"/>
    <row r="8900" customFormat="1" ht="13" x14ac:dyDescent="0.15"/>
    <row r="8901" customFormat="1" ht="13" x14ac:dyDescent="0.15"/>
    <row r="8902" customFormat="1" ht="13" x14ac:dyDescent="0.15"/>
    <row r="8903" customFormat="1" ht="13" x14ac:dyDescent="0.15"/>
    <row r="8904" customFormat="1" ht="13" x14ac:dyDescent="0.15"/>
    <row r="8905" customFormat="1" ht="13" x14ac:dyDescent="0.15"/>
    <row r="8906" customFormat="1" ht="13" x14ac:dyDescent="0.15"/>
    <row r="8907" customFormat="1" ht="13" x14ac:dyDescent="0.15"/>
    <row r="8908" customFormat="1" ht="13" x14ac:dyDescent="0.15"/>
    <row r="8909" customFormat="1" ht="13" x14ac:dyDescent="0.15"/>
    <row r="8910" customFormat="1" ht="13" x14ac:dyDescent="0.15"/>
    <row r="8911" customFormat="1" ht="13" x14ac:dyDescent="0.15"/>
    <row r="8912" customFormat="1" ht="13" x14ac:dyDescent="0.15"/>
    <row r="8913" customFormat="1" ht="13" x14ac:dyDescent="0.15"/>
    <row r="8914" customFormat="1" ht="13" x14ac:dyDescent="0.15"/>
    <row r="8915" customFormat="1" ht="13" x14ac:dyDescent="0.15"/>
    <row r="8916" customFormat="1" ht="13" x14ac:dyDescent="0.15"/>
    <row r="8917" customFormat="1" ht="13" x14ac:dyDescent="0.15"/>
    <row r="8918" customFormat="1" ht="13" x14ac:dyDescent="0.15"/>
    <row r="8919" customFormat="1" ht="13" x14ac:dyDescent="0.15"/>
    <row r="8920" customFormat="1" ht="13" x14ac:dyDescent="0.15"/>
    <row r="8921" customFormat="1" ht="13" x14ac:dyDescent="0.15"/>
    <row r="8922" customFormat="1" ht="13" x14ac:dyDescent="0.15"/>
    <row r="8923" customFormat="1" ht="13" x14ac:dyDescent="0.15"/>
    <row r="8924" customFormat="1" ht="13" x14ac:dyDescent="0.15"/>
    <row r="8925" customFormat="1" ht="13" x14ac:dyDescent="0.15"/>
    <row r="8926" customFormat="1" ht="13" x14ac:dyDescent="0.15"/>
    <row r="8927" customFormat="1" ht="13" x14ac:dyDescent="0.15"/>
    <row r="8928" customFormat="1" ht="13" x14ac:dyDescent="0.15"/>
    <row r="8929" customFormat="1" ht="13" x14ac:dyDescent="0.15"/>
    <row r="8930" customFormat="1" ht="13" x14ac:dyDescent="0.15"/>
    <row r="8931" customFormat="1" ht="13" x14ac:dyDescent="0.15"/>
    <row r="8932" customFormat="1" ht="13" x14ac:dyDescent="0.15"/>
    <row r="8933" customFormat="1" ht="13" x14ac:dyDescent="0.15"/>
    <row r="8934" customFormat="1" ht="13" x14ac:dyDescent="0.15"/>
    <row r="8935" customFormat="1" ht="13" x14ac:dyDescent="0.15"/>
    <row r="8936" customFormat="1" ht="13" x14ac:dyDescent="0.15"/>
    <row r="8937" customFormat="1" ht="13" x14ac:dyDescent="0.15"/>
    <row r="8938" customFormat="1" ht="13" x14ac:dyDescent="0.15"/>
    <row r="8939" customFormat="1" ht="13" x14ac:dyDescent="0.15"/>
    <row r="8940" customFormat="1" ht="13" x14ac:dyDescent="0.15"/>
    <row r="8941" customFormat="1" ht="13" x14ac:dyDescent="0.15"/>
    <row r="8942" customFormat="1" ht="13" x14ac:dyDescent="0.15"/>
    <row r="8943" customFormat="1" ht="13" x14ac:dyDescent="0.15"/>
    <row r="8944" customFormat="1" ht="13" x14ac:dyDescent="0.15"/>
    <row r="8945" customFormat="1" ht="13" x14ac:dyDescent="0.15"/>
    <row r="8946" customFormat="1" ht="13" x14ac:dyDescent="0.15"/>
    <row r="8947" customFormat="1" ht="13" x14ac:dyDescent="0.15"/>
    <row r="8948" customFormat="1" ht="13" x14ac:dyDescent="0.15"/>
    <row r="8949" customFormat="1" ht="13" x14ac:dyDescent="0.15"/>
    <row r="8950" customFormat="1" ht="13" x14ac:dyDescent="0.15"/>
    <row r="8951" customFormat="1" ht="13" x14ac:dyDescent="0.15"/>
    <row r="8952" customFormat="1" ht="13" x14ac:dyDescent="0.15"/>
    <row r="8953" customFormat="1" ht="13" x14ac:dyDescent="0.15"/>
    <row r="8954" customFormat="1" ht="13" x14ac:dyDescent="0.15"/>
    <row r="8955" customFormat="1" ht="13" x14ac:dyDescent="0.15"/>
    <row r="8956" customFormat="1" ht="13" x14ac:dyDescent="0.15"/>
    <row r="8957" customFormat="1" ht="13" x14ac:dyDescent="0.15"/>
    <row r="8958" customFormat="1" ht="13" x14ac:dyDescent="0.15"/>
    <row r="8959" customFormat="1" ht="13" x14ac:dyDescent="0.15"/>
    <row r="8960" customFormat="1" ht="13" x14ac:dyDescent="0.15"/>
    <row r="8961" customFormat="1" ht="13" x14ac:dyDescent="0.15"/>
    <row r="8962" customFormat="1" ht="13" x14ac:dyDescent="0.15"/>
    <row r="8963" customFormat="1" ht="13" x14ac:dyDescent="0.15"/>
    <row r="8964" customFormat="1" ht="13" x14ac:dyDescent="0.15"/>
    <row r="8965" customFormat="1" ht="13" x14ac:dyDescent="0.15"/>
    <row r="8966" customFormat="1" ht="13" x14ac:dyDescent="0.15"/>
    <row r="8967" customFormat="1" ht="13" x14ac:dyDescent="0.15"/>
    <row r="8968" customFormat="1" ht="13" x14ac:dyDescent="0.15"/>
    <row r="8969" customFormat="1" ht="13" x14ac:dyDescent="0.15"/>
    <row r="8970" customFormat="1" ht="13" x14ac:dyDescent="0.15"/>
    <row r="8971" customFormat="1" ht="13" x14ac:dyDescent="0.15"/>
    <row r="8972" customFormat="1" ht="13" x14ac:dyDescent="0.15"/>
    <row r="8973" customFormat="1" ht="13" x14ac:dyDescent="0.15"/>
    <row r="8974" customFormat="1" ht="13" x14ac:dyDescent="0.15"/>
    <row r="8975" customFormat="1" ht="13" x14ac:dyDescent="0.15"/>
    <row r="8976" customFormat="1" ht="13" x14ac:dyDescent="0.15"/>
    <row r="8977" customFormat="1" ht="13" x14ac:dyDescent="0.15"/>
    <row r="8978" customFormat="1" ht="13" x14ac:dyDescent="0.15"/>
    <row r="8979" customFormat="1" ht="13" x14ac:dyDescent="0.15"/>
    <row r="8980" customFormat="1" ht="13" x14ac:dyDescent="0.15"/>
    <row r="8981" customFormat="1" ht="13" x14ac:dyDescent="0.15"/>
    <row r="8982" customFormat="1" ht="13" x14ac:dyDescent="0.15"/>
    <row r="8983" customFormat="1" ht="13" x14ac:dyDescent="0.15"/>
    <row r="8984" customFormat="1" ht="13" x14ac:dyDescent="0.15"/>
    <row r="8985" customFormat="1" ht="13" x14ac:dyDescent="0.15"/>
    <row r="8986" customFormat="1" ht="13" x14ac:dyDescent="0.15"/>
    <row r="8987" customFormat="1" ht="13" x14ac:dyDescent="0.15"/>
    <row r="8988" customFormat="1" ht="13" x14ac:dyDescent="0.15"/>
    <row r="8989" customFormat="1" ht="13" x14ac:dyDescent="0.15"/>
    <row r="8990" customFormat="1" ht="13" x14ac:dyDescent="0.15"/>
    <row r="8991" customFormat="1" ht="13" x14ac:dyDescent="0.15"/>
    <row r="8992" customFormat="1" ht="13" x14ac:dyDescent="0.15"/>
    <row r="8993" customFormat="1" ht="13" x14ac:dyDescent="0.15"/>
    <row r="8994" customFormat="1" ht="13" x14ac:dyDescent="0.15"/>
    <row r="8995" customFormat="1" ht="13" x14ac:dyDescent="0.15"/>
    <row r="8996" customFormat="1" ht="13" x14ac:dyDescent="0.15"/>
    <row r="8997" customFormat="1" ht="13" x14ac:dyDescent="0.15"/>
    <row r="8998" customFormat="1" ht="13" x14ac:dyDescent="0.15"/>
    <row r="8999" customFormat="1" ht="13" x14ac:dyDescent="0.15"/>
    <row r="9000" customFormat="1" ht="13" x14ac:dyDescent="0.15"/>
    <row r="9001" customFormat="1" ht="13" x14ac:dyDescent="0.15"/>
    <row r="9002" customFormat="1" ht="13" x14ac:dyDescent="0.15"/>
    <row r="9003" customFormat="1" ht="13" x14ac:dyDescent="0.15"/>
    <row r="9004" customFormat="1" ht="13" x14ac:dyDescent="0.15"/>
    <row r="9005" customFormat="1" ht="13" x14ac:dyDescent="0.15"/>
    <row r="9006" customFormat="1" ht="13" x14ac:dyDescent="0.15"/>
    <row r="9007" customFormat="1" ht="13" x14ac:dyDescent="0.15"/>
    <row r="9008" customFormat="1" ht="13" x14ac:dyDescent="0.15"/>
    <row r="9009" customFormat="1" ht="13" x14ac:dyDescent="0.15"/>
    <row r="9010" customFormat="1" ht="13" x14ac:dyDescent="0.15"/>
    <row r="9011" customFormat="1" ht="13" x14ac:dyDescent="0.15"/>
    <row r="9012" customFormat="1" ht="13" x14ac:dyDescent="0.15"/>
    <row r="9013" customFormat="1" ht="13" x14ac:dyDescent="0.15"/>
    <row r="9014" customFormat="1" ht="13" x14ac:dyDescent="0.15"/>
    <row r="9015" customFormat="1" ht="13" x14ac:dyDescent="0.15"/>
    <row r="9016" customFormat="1" ht="13" x14ac:dyDescent="0.15"/>
    <row r="9017" customFormat="1" ht="13" x14ac:dyDescent="0.15"/>
    <row r="9018" customFormat="1" ht="13" x14ac:dyDescent="0.15"/>
    <row r="9019" customFormat="1" ht="13" x14ac:dyDescent="0.15"/>
    <row r="9020" customFormat="1" ht="13" x14ac:dyDescent="0.15"/>
    <row r="9021" customFormat="1" ht="13" x14ac:dyDescent="0.15"/>
    <row r="9022" customFormat="1" ht="13" x14ac:dyDescent="0.15"/>
    <row r="9023" customFormat="1" ht="13" x14ac:dyDescent="0.15"/>
    <row r="9024" customFormat="1" ht="13" x14ac:dyDescent="0.15"/>
    <row r="9025" customFormat="1" ht="13" x14ac:dyDescent="0.15"/>
    <row r="9026" customFormat="1" ht="13" x14ac:dyDescent="0.15"/>
    <row r="9027" customFormat="1" ht="13" x14ac:dyDescent="0.15"/>
    <row r="9028" customFormat="1" ht="13" x14ac:dyDescent="0.15"/>
    <row r="9029" customFormat="1" ht="13" x14ac:dyDescent="0.15"/>
    <row r="9030" customFormat="1" ht="13" x14ac:dyDescent="0.15"/>
    <row r="9031" customFormat="1" ht="13" x14ac:dyDescent="0.15"/>
    <row r="9032" customFormat="1" ht="13" x14ac:dyDescent="0.15"/>
    <row r="9033" customFormat="1" ht="13" x14ac:dyDescent="0.15"/>
    <row r="9034" customFormat="1" ht="13" x14ac:dyDescent="0.15"/>
    <row r="9035" customFormat="1" ht="13" x14ac:dyDescent="0.15"/>
    <row r="9036" customFormat="1" ht="13" x14ac:dyDescent="0.15"/>
    <row r="9037" customFormat="1" ht="13" x14ac:dyDescent="0.15"/>
    <row r="9038" customFormat="1" ht="13" x14ac:dyDescent="0.15"/>
    <row r="9039" customFormat="1" ht="13" x14ac:dyDescent="0.15"/>
    <row r="9040" customFormat="1" ht="13" x14ac:dyDescent="0.15"/>
    <row r="9041" customFormat="1" ht="13" x14ac:dyDescent="0.15"/>
    <row r="9042" customFormat="1" ht="13" x14ac:dyDescent="0.15"/>
    <row r="9043" customFormat="1" ht="13" x14ac:dyDescent="0.15"/>
    <row r="9044" customFormat="1" ht="13" x14ac:dyDescent="0.15"/>
    <row r="9045" customFormat="1" ht="13" x14ac:dyDescent="0.15"/>
    <row r="9046" customFormat="1" ht="13" x14ac:dyDescent="0.15"/>
    <row r="9047" customFormat="1" ht="13" x14ac:dyDescent="0.15"/>
    <row r="9048" customFormat="1" ht="13" x14ac:dyDescent="0.15"/>
    <row r="9049" customFormat="1" ht="13" x14ac:dyDescent="0.15"/>
    <row r="9050" customFormat="1" ht="13" x14ac:dyDescent="0.15"/>
    <row r="9051" customFormat="1" ht="13" x14ac:dyDescent="0.15"/>
    <row r="9052" customFormat="1" ht="13" x14ac:dyDescent="0.15"/>
    <row r="9053" customFormat="1" ht="13" x14ac:dyDescent="0.15"/>
    <row r="9054" customFormat="1" ht="13" x14ac:dyDescent="0.15"/>
    <row r="9055" customFormat="1" ht="13" x14ac:dyDescent="0.15"/>
    <row r="9056" customFormat="1" ht="13" x14ac:dyDescent="0.15"/>
    <row r="9057" customFormat="1" ht="13" x14ac:dyDescent="0.15"/>
    <row r="9058" customFormat="1" ht="13" x14ac:dyDescent="0.15"/>
    <row r="9059" customFormat="1" ht="13" x14ac:dyDescent="0.15"/>
    <row r="9060" customFormat="1" ht="13" x14ac:dyDescent="0.15"/>
    <row r="9061" customFormat="1" ht="13" x14ac:dyDescent="0.15"/>
    <row r="9062" customFormat="1" ht="13" x14ac:dyDescent="0.15"/>
    <row r="9063" customFormat="1" ht="13" x14ac:dyDescent="0.15"/>
    <row r="9064" customFormat="1" ht="13" x14ac:dyDescent="0.15"/>
    <row r="9065" customFormat="1" ht="13" x14ac:dyDescent="0.15"/>
    <row r="9066" customFormat="1" ht="13" x14ac:dyDescent="0.15"/>
    <row r="9067" customFormat="1" ht="13" x14ac:dyDescent="0.15"/>
    <row r="9068" customFormat="1" ht="13" x14ac:dyDescent="0.15"/>
    <row r="9069" customFormat="1" ht="13" x14ac:dyDescent="0.15"/>
    <row r="9070" customFormat="1" ht="13" x14ac:dyDescent="0.15"/>
    <row r="9071" customFormat="1" ht="13" x14ac:dyDescent="0.15"/>
    <row r="9072" customFormat="1" ht="13" x14ac:dyDescent="0.15"/>
    <row r="9073" customFormat="1" ht="13" x14ac:dyDescent="0.15"/>
    <row r="9074" customFormat="1" ht="13" x14ac:dyDescent="0.15"/>
    <row r="9075" customFormat="1" ht="13" x14ac:dyDescent="0.15"/>
    <row r="9076" customFormat="1" ht="13" x14ac:dyDescent="0.15"/>
    <row r="9077" customFormat="1" ht="13" x14ac:dyDescent="0.15"/>
    <row r="9078" customFormat="1" ht="13" x14ac:dyDescent="0.15"/>
    <row r="9079" customFormat="1" ht="13" x14ac:dyDescent="0.15"/>
    <row r="9080" customFormat="1" ht="13" x14ac:dyDescent="0.15"/>
    <row r="9081" customFormat="1" ht="13" x14ac:dyDescent="0.15"/>
    <row r="9082" customFormat="1" ht="13" x14ac:dyDescent="0.15"/>
    <row r="9083" customFormat="1" ht="13" x14ac:dyDescent="0.15"/>
    <row r="9084" customFormat="1" ht="13" x14ac:dyDescent="0.15"/>
    <row r="9085" customFormat="1" ht="13" x14ac:dyDescent="0.15"/>
    <row r="9086" customFormat="1" ht="13" x14ac:dyDescent="0.15"/>
    <row r="9087" customFormat="1" ht="13" x14ac:dyDescent="0.15"/>
    <row r="9088" customFormat="1" ht="13" x14ac:dyDescent="0.15"/>
    <row r="9089" customFormat="1" ht="13" x14ac:dyDescent="0.15"/>
    <row r="9090" customFormat="1" ht="13" x14ac:dyDescent="0.15"/>
    <row r="9091" customFormat="1" ht="13" x14ac:dyDescent="0.15"/>
    <row r="9092" customFormat="1" ht="13" x14ac:dyDescent="0.15"/>
    <row r="9093" customFormat="1" ht="13" x14ac:dyDescent="0.15"/>
    <row r="9094" customFormat="1" ht="13" x14ac:dyDescent="0.15"/>
    <row r="9095" customFormat="1" ht="13" x14ac:dyDescent="0.15"/>
    <row r="9096" customFormat="1" ht="13" x14ac:dyDescent="0.15"/>
    <row r="9097" customFormat="1" ht="13" x14ac:dyDescent="0.15"/>
    <row r="9098" customFormat="1" ht="13" x14ac:dyDescent="0.15"/>
    <row r="9099" customFormat="1" ht="13" x14ac:dyDescent="0.15"/>
    <row r="9100" customFormat="1" ht="13" x14ac:dyDescent="0.15"/>
    <row r="9101" customFormat="1" ht="13" x14ac:dyDescent="0.15"/>
    <row r="9102" customFormat="1" ht="13" x14ac:dyDescent="0.15"/>
    <row r="9103" customFormat="1" ht="13" x14ac:dyDescent="0.15"/>
    <row r="9104" customFormat="1" ht="13" x14ac:dyDescent="0.15"/>
    <row r="9105" customFormat="1" ht="13" x14ac:dyDescent="0.15"/>
    <row r="9106" customFormat="1" ht="13" x14ac:dyDescent="0.15"/>
    <row r="9107" customFormat="1" ht="13" x14ac:dyDescent="0.15"/>
    <row r="9108" customFormat="1" ht="13" x14ac:dyDescent="0.15"/>
    <row r="9109" customFormat="1" ht="13" x14ac:dyDescent="0.15"/>
    <row r="9110" customFormat="1" ht="13" x14ac:dyDescent="0.15"/>
    <row r="9111" customFormat="1" ht="13" x14ac:dyDescent="0.15"/>
    <row r="9112" customFormat="1" ht="13" x14ac:dyDescent="0.15"/>
    <row r="9113" customFormat="1" ht="13" x14ac:dyDescent="0.15"/>
    <row r="9114" customFormat="1" ht="13" x14ac:dyDescent="0.15"/>
    <row r="9115" customFormat="1" ht="13" x14ac:dyDescent="0.15"/>
    <row r="9116" customFormat="1" ht="13" x14ac:dyDescent="0.15"/>
    <row r="9117" customFormat="1" ht="13" x14ac:dyDescent="0.15"/>
    <row r="9118" customFormat="1" ht="13" x14ac:dyDescent="0.15"/>
    <row r="9119" customFormat="1" ht="13" x14ac:dyDescent="0.15"/>
    <row r="9120" customFormat="1" ht="13" x14ac:dyDescent="0.15"/>
    <row r="9121" customFormat="1" ht="13" x14ac:dyDescent="0.15"/>
    <row r="9122" customFormat="1" ht="13" x14ac:dyDescent="0.15"/>
    <row r="9123" customFormat="1" ht="13" x14ac:dyDescent="0.15"/>
    <row r="9124" customFormat="1" ht="13" x14ac:dyDescent="0.15"/>
    <row r="9125" customFormat="1" ht="13" x14ac:dyDescent="0.15"/>
    <row r="9126" customFormat="1" ht="13" x14ac:dyDescent="0.15"/>
    <row r="9127" customFormat="1" ht="13" x14ac:dyDescent="0.15"/>
    <row r="9128" customFormat="1" ht="13" x14ac:dyDescent="0.15"/>
    <row r="9129" customFormat="1" ht="13" x14ac:dyDescent="0.15"/>
    <row r="9130" customFormat="1" ht="13" x14ac:dyDescent="0.15"/>
    <row r="9131" customFormat="1" ht="13" x14ac:dyDescent="0.15"/>
    <row r="9132" customFormat="1" ht="13" x14ac:dyDescent="0.15"/>
    <row r="9133" customFormat="1" ht="13" x14ac:dyDescent="0.15"/>
    <row r="9134" customFormat="1" ht="13" x14ac:dyDescent="0.15"/>
    <row r="9135" customFormat="1" ht="13" x14ac:dyDescent="0.15"/>
    <row r="9136" customFormat="1" ht="13" x14ac:dyDescent="0.15"/>
    <row r="9137" customFormat="1" ht="13" x14ac:dyDescent="0.15"/>
    <row r="9138" customFormat="1" ht="13" x14ac:dyDescent="0.15"/>
    <row r="9139" customFormat="1" ht="13" x14ac:dyDescent="0.15"/>
    <row r="9140" customFormat="1" ht="13" x14ac:dyDescent="0.15"/>
    <row r="9141" customFormat="1" ht="13" x14ac:dyDescent="0.15"/>
    <row r="9142" customFormat="1" ht="13" x14ac:dyDescent="0.15"/>
    <row r="9143" customFormat="1" ht="13" x14ac:dyDescent="0.15"/>
    <row r="9144" customFormat="1" ht="13" x14ac:dyDescent="0.15"/>
    <row r="9145" customFormat="1" ht="13" x14ac:dyDescent="0.15"/>
    <row r="9146" customFormat="1" ht="13" x14ac:dyDescent="0.15"/>
    <row r="9147" customFormat="1" ht="13" x14ac:dyDescent="0.15"/>
    <row r="9148" customFormat="1" ht="13" x14ac:dyDescent="0.15"/>
    <row r="9149" customFormat="1" ht="13" x14ac:dyDescent="0.15"/>
    <row r="9150" customFormat="1" ht="13" x14ac:dyDescent="0.15"/>
    <row r="9151" customFormat="1" ht="13" x14ac:dyDescent="0.15"/>
    <row r="9152" customFormat="1" ht="13" x14ac:dyDescent="0.15"/>
    <row r="9153" customFormat="1" ht="13" x14ac:dyDescent="0.15"/>
    <row r="9154" customFormat="1" ht="13" x14ac:dyDescent="0.15"/>
    <row r="9155" customFormat="1" ht="13" x14ac:dyDescent="0.15"/>
    <row r="9156" customFormat="1" ht="13" x14ac:dyDescent="0.15"/>
    <row r="9157" customFormat="1" ht="13" x14ac:dyDescent="0.15"/>
    <row r="9158" customFormat="1" ht="13" x14ac:dyDescent="0.15"/>
    <row r="9159" customFormat="1" ht="13" x14ac:dyDescent="0.15"/>
    <row r="9160" customFormat="1" ht="13" x14ac:dyDescent="0.15"/>
    <row r="9161" customFormat="1" ht="13" x14ac:dyDescent="0.15"/>
    <row r="9162" customFormat="1" ht="13" x14ac:dyDescent="0.15"/>
    <row r="9163" customFormat="1" ht="13" x14ac:dyDescent="0.15"/>
    <row r="9164" customFormat="1" ht="13" x14ac:dyDescent="0.15"/>
    <row r="9165" customFormat="1" ht="13" x14ac:dyDescent="0.15"/>
    <row r="9166" customFormat="1" ht="13" x14ac:dyDescent="0.15"/>
    <row r="9167" customFormat="1" ht="13" x14ac:dyDescent="0.15"/>
    <row r="9168" customFormat="1" ht="13" x14ac:dyDescent="0.15"/>
    <row r="9169" customFormat="1" ht="13" x14ac:dyDescent="0.15"/>
    <row r="9170" customFormat="1" ht="13" x14ac:dyDescent="0.15"/>
    <row r="9171" customFormat="1" ht="13" x14ac:dyDescent="0.15"/>
    <row r="9172" customFormat="1" ht="13" x14ac:dyDescent="0.15"/>
    <row r="9173" customFormat="1" ht="13" x14ac:dyDescent="0.15"/>
    <row r="9174" customFormat="1" ht="13" x14ac:dyDescent="0.15"/>
    <row r="9175" customFormat="1" ht="13" x14ac:dyDescent="0.15"/>
    <row r="9176" customFormat="1" ht="13" x14ac:dyDescent="0.15"/>
    <row r="9177" customFormat="1" ht="13" x14ac:dyDescent="0.15"/>
    <row r="9178" customFormat="1" ht="13" x14ac:dyDescent="0.15"/>
    <row r="9179" customFormat="1" ht="13" x14ac:dyDescent="0.15"/>
    <row r="9180" customFormat="1" ht="13" x14ac:dyDescent="0.15"/>
    <row r="9181" customFormat="1" ht="13" x14ac:dyDescent="0.15"/>
    <row r="9182" customFormat="1" ht="13" x14ac:dyDescent="0.15"/>
    <row r="9183" customFormat="1" ht="13" x14ac:dyDescent="0.15"/>
    <row r="9184" customFormat="1" ht="13" x14ac:dyDescent="0.15"/>
    <row r="9185" customFormat="1" ht="13" x14ac:dyDescent="0.15"/>
    <row r="9186" customFormat="1" ht="13" x14ac:dyDescent="0.15"/>
    <row r="9187" customFormat="1" ht="13" x14ac:dyDescent="0.15"/>
    <row r="9188" customFormat="1" ht="13" x14ac:dyDescent="0.15"/>
    <row r="9189" customFormat="1" ht="13" x14ac:dyDescent="0.15"/>
    <row r="9190" customFormat="1" ht="13" x14ac:dyDescent="0.15"/>
    <row r="9191" customFormat="1" ht="13" x14ac:dyDescent="0.15"/>
    <row r="9192" customFormat="1" ht="13" x14ac:dyDescent="0.15"/>
    <row r="9193" customFormat="1" ht="13" x14ac:dyDescent="0.15"/>
    <row r="9194" customFormat="1" ht="13" x14ac:dyDescent="0.15"/>
    <row r="9195" customFormat="1" ht="13" x14ac:dyDescent="0.15"/>
    <row r="9196" customFormat="1" ht="13" x14ac:dyDescent="0.15"/>
    <row r="9197" customFormat="1" ht="13" x14ac:dyDescent="0.15"/>
    <row r="9198" customFormat="1" ht="13" x14ac:dyDescent="0.15"/>
    <row r="9199" customFormat="1" ht="13" x14ac:dyDescent="0.15"/>
    <row r="9200" customFormat="1" ht="13" x14ac:dyDescent="0.15"/>
    <row r="9201" customFormat="1" ht="13" x14ac:dyDescent="0.15"/>
    <row r="9202" customFormat="1" ht="13" x14ac:dyDescent="0.15"/>
    <row r="9203" customFormat="1" ht="13" x14ac:dyDescent="0.15"/>
    <row r="9204" customFormat="1" ht="13" x14ac:dyDescent="0.15"/>
    <row r="9205" customFormat="1" ht="13" x14ac:dyDescent="0.15"/>
    <row r="9206" customFormat="1" ht="13" x14ac:dyDescent="0.15"/>
    <row r="9207" customFormat="1" ht="13" x14ac:dyDescent="0.15"/>
    <row r="9208" customFormat="1" ht="13" x14ac:dyDescent="0.15"/>
    <row r="9209" customFormat="1" ht="13" x14ac:dyDescent="0.15"/>
    <row r="9210" customFormat="1" ht="13" x14ac:dyDescent="0.15"/>
    <row r="9211" customFormat="1" ht="13" x14ac:dyDescent="0.15"/>
    <row r="9212" customFormat="1" ht="13" x14ac:dyDescent="0.15"/>
    <row r="9213" customFormat="1" ht="13" x14ac:dyDescent="0.15"/>
    <row r="9214" customFormat="1" ht="13" x14ac:dyDescent="0.15"/>
    <row r="9215" customFormat="1" ht="13" x14ac:dyDescent="0.15"/>
    <row r="9216" customFormat="1" ht="13" x14ac:dyDescent="0.15"/>
    <row r="9217" customFormat="1" ht="13" x14ac:dyDescent="0.15"/>
    <row r="9218" customFormat="1" ht="13" x14ac:dyDescent="0.15"/>
    <row r="9219" customFormat="1" ht="13" x14ac:dyDescent="0.15"/>
    <row r="9220" customFormat="1" ht="13" x14ac:dyDescent="0.15"/>
    <row r="9221" customFormat="1" ht="13" x14ac:dyDescent="0.15"/>
    <row r="9222" customFormat="1" ht="13" x14ac:dyDescent="0.15"/>
    <row r="9223" customFormat="1" ht="13" x14ac:dyDescent="0.15"/>
    <row r="9224" customFormat="1" ht="13" x14ac:dyDescent="0.15"/>
    <row r="9225" customFormat="1" ht="13" x14ac:dyDescent="0.15"/>
    <row r="9226" customFormat="1" ht="13" x14ac:dyDescent="0.15"/>
    <row r="9227" customFormat="1" ht="13" x14ac:dyDescent="0.15"/>
    <row r="9228" customFormat="1" ht="13" x14ac:dyDescent="0.15"/>
    <row r="9229" customFormat="1" ht="13" x14ac:dyDescent="0.15"/>
    <row r="9230" customFormat="1" ht="13" x14ac:dyDescent="0.15"/>
    <row r="9231" customFormat="1" ht="13" x14ac:dyDescent="0.15"/>
    <row r="9232" customFormat="1" ht="13" x14ac:dyDescent="0.15"/>
    <row r="9233" customFormat="1" ht="13" x14ac:dyDescent="0.15"/>
    <row r="9234" customFormat="1" ht="13" x14ac:dyDescent="0.15"/>
    <row r="9235" customFormat="1" ht="13" x14ac:dyDescent="0.15"/>
    <row r="9236" customFormat="1" ht="13" x14ac:dyDescent="0.15"/>
    <row r="9237" customFormat="1" ht="13" x14ac:dyDescent="0.15"/>
    <row r="9238" customFormat="1" ht="13" x14ac:dyDescent="0.15"/>
    <row r="9239" customFormat="1" ht="13" x14ac:dyDescent="0.15"/>
    <row r="9240" customFormat="1" ht="13" x14ac:dyDescent="0.15"/>
    <row r="9241" customFormat="1" ht="13" x14ac:dyDescent="0.15"/>
    <row r="9242" customFormat="1" ht="13" x14ac:dyDescent="0.15"/>
    <row r="9243" customFormat="1" ht="13" x14ac:dyDescent="0.15"/>
    <row r="9244" customFormat="1" ht="13" x14ac:dyDescent="0.15"/>
    <row r="9245" customFormat="1" ht="13" x14ac:dyDescent="0.15"/>
    <row r="9246" customFormat="1" ht="13" x14ac:dyDescent="0.15"/>
    <row r="9247" customFormat="1" ht="13" x14ac:dyDescent="0.15"/>
    <row r="9248" customFormat="1" ht="13" x14ac:dyDescent="0.15"/>
    <row r="9249" customFormat="1" ht="13" x14ac:dyDescent="0.15"/>
    <row r="9250" customFormat="1" ht="13" x14ac:dyDescent="0.15"/>
    <row r="9251" customFormat="1" ht="13" x14ac:dyDescent="0.15"/>
    <row r="9252" customFormat="1" ht="13" x14ac:dyDescent="0.15"/>
    <row r="9253" customFormat="1" ht="13" x14ac:dyDescent="0.15"/>
    <row r="9254" customFormat="1" ht="13" x14ac:dyDescent="0.15"/>
    <row r="9255" customFormat="1" ht="13" x14ac:dyDescent="0.15"/>
    <row r="9256" customFormat="1" ht="13" x14ac:dyDescent="0.15"/>
    <row r="9257" customFormat="1" ht="13" x14ac:dyDescent="0.15"/>
    <row r="9258" customFormat="1" ht="13" x14ac:dyDescent="0.15"/>
    <row r="9259" customFormat="1" ht="13" x14ac:dyDescent="0.15"/>
    <row r="9260" customFormat="1" ht="13" x14ac:dyDescent="0.15"/>
    <row r="9261" customFormat="1" ht="13" x14ac:dyDescent="0.15"/>
    <row r="9262" customFormat="1" ht="13" x14ac:dyDescent="0.15"/>
    <row r="9263" customFormat="1" ht="13" x14ac:dyDescent="0.15"/>
    <row r="9264" customFormat="1" ht="13" x14ac:dyDescent="0.15"/>
    <row r="9265" customFormat="1" ht="13" x14ac:dyDescent="0.15"/>
    <row r="9266" customFormat="1" ht="13" x14ac:dyDescent="0.15"/>
    <row r="9267" customFormat="1" ht="13" x14ac:dyDescent="0.15"/>
    <row r="9268" customFormat="1" ht="13" x14ac:dyDescent="0.15"/>
    <row r="9269" customFormat="1" ht="13" x14ac:dyDescent="0.15"/>
    <row r="9270" customFormat="1" ht="13" x14ac:dyDescent="0.15"/>
    <row r="9271" customFormat="1" ht="13" x14ac:dyDescent="0.15"/>
    <row r="9272" customFormat="1" ht="13" x14ac:dyDescent="0.15"/>
    <row r="9273" customFormat="1" ht="13" x14ac:dyDescent="0.15"/>
    <row r="9274" customFormat="1" ht="13" x14ac:dyDescent="0.15"/>
    <row r="9275" customFormat="1" ht="13" x14ac:dyDescent="0.15"/>
    <row r="9276" customFormat="1" ht="13" x14ac:dyDescent="0.15"/>
    <row r="9277" customFormat="1" ht="13" x14ac:dyDescent="0.15"/>
    <row r="9278" customFormat="1" ht="13" x14ac:dyDescent="0.15"/>
    <row r="9279" customFormat="1" ht="13" x14ac:dyDescent="0.15"/>
    <row r="9280" customFormat="1" ht="13" x14ac:dyDescent="0.15"/>
    <row r="9281" customFormat="1" ht="13" x14ac:dyDescent="0.15"/>
    <row r="9282" customFormat="1" ht="13" x14ac:dyDescent="0.15"/>
    <row r="9283" customFormat="1" ht="13" x14ac:dyDescent="0.15"/>
    <row r="9284" customFormat="1" ht="13" x14ac:dyDescent="0.15"/>
    <row r="9285" customFormat="1" ht="13" x14ac:dyDescent="0.15"/>
    <row r="9286" customFormat="1" ht="13" x14ac:dyDescent="0.15"/>
    <row r="9287" customFormat="1" ht="13" x14ac:dyDescent="0.15"/>
    <row r="9288" customFormat="1" ht="13" x14ac:dyDescent="0.15"/>
    <row r="9289" customFormat="1" ht="13" x14ac:dyDescent="0.15"/>
    <row r="9290" customFormat="1" ht="13" x14ac:dyDescent="0.15"/>
    <row r="9291" customFormat="1" ht="13" x14ac:dyDescent="0.15"/>
    <row r="9292" customFormat="1" ht="13" x14ac:dyDescent="0.15"/>
    <row r="9293" customFormat="1" ht="13" x14ac:dyDescent="0.15"/>
    <row r="9294" customFormat="1" ht="13" x14ac:dyDescent="0.15"/>
    <row r="9295" customFormat="1" ht="13" x14ac:dyDescent="0.15"/>
    <row r="9296" customFormat="1" ht="13" x14ac:dyDescent="0.15"/>
    <row r="9297" customFormat="1" ht="13" x14ac:dyDescent="0.15"/>
    <row r="9298" customFormat="1" ht="13" x14ac:dyDescent="0.15"/>
    <row r="9299" customFormat="1" ht="13" x14ac:dyDescent="0.15"/>
    <row r="9300" customFormat="1" ht="13" x14ac:dyDescent="0.15"/>
    <row r="9301" customFormat="1" ht="13" x14ac:dyDescent="0.15"/>
    <row r="9302" customFormat="1" ht="13" x14ac:dyDescent="0.15"/>
    <row r="9303" customFormat="1" ht="13" x14ac:dyDescent="0.15"/>
    <row r="9304" customFormat="1" ht="13" x14ac:dyDescent="0.15"/>
    <row r="9305" customFormat="1" ht="13" x14ac:dyDescent="0.15"/>
    <row r="9306" customFormat="1" ht="13" x14ac:dyDescent="0.15"/>
    <row r="9307" customFormat="1" ht="13" x14ac:dyDescent="0.15"/>
    <row r="9308" customFormat="1" ht="13" x14ac:dyDescent="0.15"/>
    <row r="9309" customFormat="1" ht="13" x14ac:dyDescent="0.15"/>
    <row r="9310" customFormat="1" ht="13" x14ac:dyDescent="0.15"/>
    <row r="9311" customFormat="1" ht="13" x14ac:dyDescent="0.15"/>
    <row r="9312" customFormat="1" ht="13" x14ac:dyDescent="0.15"/>
    <row r="9313" customFormat="1" ht="13" x14ac:dyDescent="0.15"/>
    <row r="9314" customFormat="1" ht="13" x14ac:dyDescent="0.15"/>
    <row r="9315" customFormat="1" ht="13" x14ac:dyDescent="0.15"/>
    <row r="9316" customFormat="1" ht="13" x14ac:dyDescent="0.15"/>
    <row r="9317" customFormat="1" ht="13" x14ac:dyDescent="0.15"/>
    <row r="9318" customFormat="1" ht="13" x14ac:dyDescent="0.15"/>
    <row r="9319" customFormat="1" ht="13" x14ac:dyDescent="0.15"/>
    <row r="9320" customFormat="1" ht="13" x14ac:dyDescent="0.15"/>
    <row r="9321" customFormat="1" ht="13" x14ac:dyDescent="0.15"/>
    <row r="9322" customFormat="1" ht="13" x14ac:dyDescent="0.15"/>
    <row r="9323" customFormat="1" ht="13" x14ac:dyDescent="0.15"/>
    <row r="9324" customFormat="1" ht="13" x14ac:dyDescent="0.15"/>
    <row r="9325" customFormat="1" ht="13" x14ac:dyDescent="0.15"/>
    <row r="9326" customFormat="1" ht="13" x14ac:dyDescent="0.15"/>
    <row r="9327" customFormat="1" ht="13" x14ac:dyDescent="0.15"/>
    <row r="9328" customFormat="1" ht="13" x14ac:dyDescent="0.15"/>
    <row r="9329" customFormat="1" ht="13" x14ac:dyDescent="0.15"/>
    <row r="9330" customFormat="1" ht="13" x14ac:dyDescent="0.15"/>
    <row r="9331" customFormat="1" ht="13" x14ac:dyDescent="0.15"/>
    <row r="9332" customFormat="1" ht="13" x14ac:dyDescent="0.15"/>
    <row r="9333" customFormat="1" ht="13" x14ac:dyDescent="0.15"/>
    <row r="9334" customFormat="1" ht="13" x14ac:dyDescent="0.15"/>
    <row r="9335" customFormat="1" ht="13" x14ac:dyDescent="0.15"/>
    <row r="9336" customFormat="1" ht="13" x14ac:dyDescent="0.15"/>
    <row r="9337" customFormat="1" ht="13" x14ac:dyDescent="0.15"/>
    <row r="9338" customFormat="1" ht="13" x14ac:dyDescent="0.15"/>
    <row r="9339" customFormat="1" ht="13" x14ac:dyDescent="0.15"/>
    <row r="9340" customFormat="1" ht="13" x14ac:dyDescent="0.15"/>
    <row r="9341" customFormat="1" ht="13" x14ac:dyDescent="0.15"/>
    <row r="9342" customFormat="1" ht="13" x14ac:dyDescent="0.15"/>
    <row r="9343" customFormat="1" ht="13" x14ac:dyDescent="0.15"/>
    <row r="9344" customFormat="1" ht="13" x14ac:dyDescent="0.15"/>
    <row r="9345" customFormat="1" ht="13" x14ac:dyDescent="0.15"/>
    <row r="9346" customFormat="1" ht="13" x14ac:dyDescent="0.15"/>
    <row r="9347" customFormat="1" ht="13" x14ac:dyDescent="0.15"/>
    <row r="9348" customFormat="1" ht="13" x14ac:dyDescent="0.15"/>
    <row r="9349" customFormat="1" ht="13" x14ac:dyDescent="0.15"/>
    <row r="9350" customFormat="1" ht="13" x14ac:dyDescent="0.15"/>
    <row r="9351" customFormat="1" ht="13" x14ac:dyDescent="0.15"/>
    <row r="9352" customFormat="1" ht="13" x14ac:dyDescent="0.15"/>
    <row r="9353" customFormat="1" ht="13" x14ac:dyDescent="0.15"/>
    <row r="9354" customFormat="1" ht="13" x14ac:dyDescent="0.15"/>
    <row r="9355" customFormat="1" ht="13" x14ac:dyDescent="0.15"/>
    <row r="9356" customFormat="1" ht="13" x14ac:dyDescent="0.15"/>
    <row r="9357" customFormat="1" ht="13" x14ac:dyDescent="0.15"/>
    <row r="9358" customFormat="1" ht="13" x14ac:dyDescent="0.15"/>
    <row r="9359" customFormat="1" ht="13" x14ac:dyDescent="0.15"/>
    <row r="9360" customFormat="1" ht="13" x14ac:dyDescent="0.15"/>
    <row r="9361" customFormat="1" ht="13" x14ac:dyDescent="0.15"/>
    <row r="9362" customFormat="1" ht="13" x14ac:dyDescent="0.15"/>
    <row r="9363" customFormat="1" ht="13" x14ac:dyDescent="0.15"/>
    <row r="9364" customFormat="1" ht="13" x14ac:dyDescent="0.15"/>
    <row r="9365" customFormat="1" ht="13" x14ac:dyDescent="0.15"/>
    <row r="9366" customFormat="1" ht="13" x14ac:dyDescent="0.15"/>
    <row r="9367" customFormat="1" ht="13" x14ac:dyDescent="0.15"/>
    <row r="9368" customFormat="1" ht="13" x14ac:dyDescent="0.15"/>
    <row r="9369" customFormat="1" ht="13" x14ac:dyDescent="0.15"/>
    <row r="9370" customFormat="1" ht="13" x14ac:dyDescent="0.15"/>
    <row r="9371" customFormat="1" ht="13" x14ac:dyDescent="0.15"/>
    <row r="9372" customFormat="1" ht="13" x14ac:dyDescent="0.15"/>
    <row r="9373" customFormat="1" ht="13" x14ac:dyDescent="0.15"/>
    <row r="9374" customFormat="1" ht="13" x14ac:dyDescent="0.15"/>
    <row r="9375" customFormat="1" ht="13" x14ac:dyDescent="0.15"/>
    <row r="9376" customFormat="1" ht="13" x14ac:dyDescent="0.15"/>
    <row r="9377" customFormat="1" ht="13" x14ac:dyDescent="0.15"/>
    <row r="9378" customFormat="1" ht="13" x14ac:dyDescent="0.15"/>
    <row r="9379" customFormat="1" ht="13" x14ac:dyDescent="0.15"/>
    <row r="9380" customFormat="1" ht="13" x14ac:dyDescent="0.15"/>
    <row r="9381" customFormat="1" ht="13" x14ac:dyDescent="0.15"/>
    <row r="9382" customFormat="1" ht="13" x14ac:dyDescent="0.15"/>
    <row r="9383" customFormat="1" ht="13" x14ac:dyDescent="0.15"/>
    <row r="9384" customFormat="1" ht="13" x14ac:dyDescent="0.15"/>
    <row r="9385" customFormat="1" ht="13" x14ac:dyDescent="0.15"/>
    <row r="9386" customFormat="1" ht="13" x14ac:dyDescent="0.15"/>
    <row r="9387" customFormat="1" ht="13" x14ac:dyDescent="0.15"/>
    <row r="9388" customFormat="1" ht="13" x14ac:dyDescent="0.15"/>
    <row r="9389" customFormat="1" ht="13" x14ac:dyDescent="0.15"/>
    <row r="9390" customFormat="1" ht="13" x14ac:dyDescent="0.15"/>
    <row r="9391" customFormat="1" ht="13" x14ac:dyDescent="0.15"/>
    <row r="9392" customFormat="1" ht="13" x14ac:dyDescent="0.15"/>
    <row r="9393" customFormat="1" ht="13" x14ac:dyDescent="0.15"/>
    <row r="9394" customFormat="1" ht="13" x14ac:dyDescent="0.15"/>
    <row r="9395" customFormat="1" ht="13" x14ac:dyDescent="0.15"/>
    <row r="9396" customFormat="1" ht="13" x14ac:dyDescent="0.15"/>
    <row r="9397" customFormat="1" ht="13" x14ac:dyDescent="0.15"/>
    <row r="9398" customFormat="1" ht="13" x14ac:dyDescent="0.15"/>
    <row r="9399" customFormat="1" ht="13" x14ac:dyDescent="0.15"/>
    <row r="9400" customFormat="1" ht="13" x14ac:dyDescent="0.15"/>
    <row r="9401" customFormat="1" ht="13" x14ac:dyDescent="0.15"/>
    <row r="9402" customFormat="1" ht="13" x14ac:dyDescent="0.15"/>
    <row r="9403" customFormat="1" ht="13" x14ac:dyDescent="0.15"/>
    <row r="9404" customFormat="1" ht="13" x14ac:dyDescent="0.15"/>
    <row r="9405" customFormat="1" ht="13" x14ac:dyDescent="0.15"/>
    <row r="9406" customFormat="1" ht="13" x14ac:dyDescent="0.15"/>
    <row r="9407" customFormat="1" ht="13" x14ac:dyDescent="0.15"/>
    <row r="9408" customFormat="1" ht="13" x14ac:dyDescent="0.15"/>
    <row r="9409" customFormat="1" ht="13" x14ac:dyDescent="0.15"/>
    <row r="9410" customFormat="1" ht="13" x14ac:dyDescent="0.15"/>
    <row r="9411" customFormat="1" ht="13" x14ac:dyDescent="0.15"/>
    <row r="9412" customFormat="1" ht="13" x14ac:dyDescent="0.15"/>
    <row r="9413" customFormat="1" ht="13" x14ac:dyDescent="0.15"/>
    <row r="9414" customFormat="1" ht="13" x14ac:dyDescent="0.15"/>
    <row r="9415" customFormat="1" ht="13" x14ac:dyDescent="0.15"/>
    <row r="9416" customFormat="1" ht="13" x14ac:dyDescent="0.15"/>
    <row r="9417" customFormat="1" ht="13" x14ac:dyDescent="0.15"/>
    <row r="9418" customFormat="1" ht="13" x14ac:dyDescent="0.15"/>
    <row r="9419" customFormat="1" ht="13" x14ac:dyDescent="0.15"/>
    <row r="9420" customFormat="1" ht="13" x14ac:dyDescent="0.15"/>
    <row r="9421" customFormat="1" ht="13" x14ac:dyDescent="0.15"/>
    <row r="9422" customFormat="1" ht="13" x14ac:dyDescent="0.15"/>
    <row r="9423" customFormat="1" ht="13" x14ac:dyDescent="0.15"/>
    <row r="9424" customFormat="1" ht="13" x14ac:dyDescent="0.15"/>
    <row r="9425" customFormat="1" ht="13" x14ac:dyDescent="0.15"/>
    <row r="9426" customFormat="1" ht="13" x14ac:dyDescent="0.15"/>
    <row r="9427" customFormat="1" ht="13" x14ac:dyDescent="0.15"/>
    <row r="9428" customFormat="1" ht="13" x14ac:dyDescent="0.15"/>
    <row r="9429" customFormat="1" ht="13" x14ac:dyDescent="0.15"/>
    <row r="9430" customFormat="1" ht="13" x14ac:dyDescent="0.15"/>
    <row r="9431" customFormat="1" ht="13" x14ac:dyDescent="0.15"/>
    <row r="9432" customFormat="1" ht="13" x14ac:dyDescent="0.15"/>
    <row r="9433" customFormat="1" ht="13" x14ac:dyDescent="0.15"/>
    <row r="9434" customFormat="1" ht="13" x14ac:dyDescent="0.15"/>
    <row r="9435" customFormat="1" ht="13" x14ac:dyDescent="0.15"/>
    <row r="9436" customFormat="1" ht="13" x14ac:dyDescent="0.15"/>
    <row r="9437" customFormat="1" ht="13" x14ac:dyDescent="0.15"/>
    <row r="9438" customFormat="1" ht="13" x14ac:dyDescent="0.15"/>
    <row r="9439" customFormat="1" ht="13" x14ac:dyDescent="0.15"/>
    <row r="9440" customFormat="1" ht="13" x14ac:dyDescent="0.15"/>
    <row r="9441" customFormat="1" ht="13" x14ac:dyDescent="0.15"/>
    <row r="9442" customFormat="1" ht="13" x14ac:dyDescent="0.15"/>
    <row r="9443" customFormat="1" ht="13" x14ac:dyDescent="0.15"/>
    <row r="9444" customFormat="1" ht="13" x14ac:dyDescent="0.15"/>
    <row r="9445" customFormat="1" ht="13" x14ac:dyDescent="0.15"/>
    <row r="9446" customFormat="1" ht="13" x14ac:dyDescent="0.15"/>
    <row r="9447" customFormat="1" ht="13" x14ac:dyDescent="0.15"/>
    <row r="9448" customFormat="1" ht="13" x14ac:dyDescent="0.15"/>
    <row r="9449" customFormat="1" ht="13" x14ac:dyDescent="0.15"/>
    <row r="9450" customFormat="1" ht="13" x14ac:dyDescent="0.15"/>
    <row r="9451" customFormat="1" ht="13" x14ac:dyDescent="0.15"/>
    <row r="9452" customFormat="1" ht="13" x14ac:dyDescent="0.15"/>
    <row r="9453" customFormat="1" ht="13" x14ac:dyDescent="0.15"/>
    <row r="9454" customFormat="1" ht="13" x14ac:dyDescent="0.15"/>
    <row r="9455" customFormat="1" ht="13" x14ac:dyDescent="0.15"/>
    <row r="9456" customFormat="1" ht="13" x14ac:dyDescent="0.15"/>
    <row r="9457" customFormat="1" ht="13" x14ac:dyDescent="0.15"/>
    <row r="9458" customFormat="1" ht="13" x14ac:dyDescent="0.15"/>
    <row r="9459" customFormat="1" ht="13" x14ac:dyDescent="0.15"/>
    <row r="9460" customFormat="1" ht="13" x14ac:dyDescent="0.15"/>
    <row r="9461" customFormat="1" ht="13" x14ac:dyDescent="0.15"/>
    <row r="9462" customFormat="1" ht="13" x14ac:dyDescent="0.15"/>
    <row r="9463" customFormat="1" ht="13" x14ac:dyDescent="0.15"/>
    <row r="9464" customFormat="1" ht="13" x14ac:dyDescent="0.15"/>
    <row r="9465" customFormat="1" ht="13" x14ac:dyDescent="0.15"/>
    <row r="9466" customFormat="1" ht="13" x14ac:dyDescent="0.15"/>
    <row r="9467" customFormat="1" ht="13" x14ac:dyDescent="0.15"/>
    <row r="9468" customFormat="1" ht="13" x14ac:dyDescent="0.15"/>
    <row r="9469" customFormat="1" ht="13" x14ac:dyDescent="0.15"/>
    <row r="9470" customFormat="1" ht="13" x14ac:dyDescent="0.15"/>
    <row r="9471" customFormat="1" ht="13" x14ac:dyDescent="0.15"/>
    <row r="9472" customFormat="1" ht="13" x14ac:dyDescent="0.15"/>
    <row r="9473" customFormat="1" ht="13" x14ac:dyDescent="0.15"/>
    <row r="9474" customFormat="1" ht="13" x14ac:dyDescent="0.15"/>
    <row r="9475" customFormat="1" ht="13" x14ac:dyDescent="0.15"/>
    <row r="9476" customFormat="1" ht="13" x14ac:dyDescent="0.15"/>
    <row r="9477" customFormat="1" ht="13" x14ac:dyDescent="0.15"/>
    <row r="9478" customFormat="1" ht="13" x14ac:dyDescent="0.15"/>
    <row r="9479" customFormat="1" ht="13" x14ac:dyDescent="0.15"/>
    <row r="9480" customFormat="1" ht="13" x14ac:dyDescent="0.15"/>
    <row r="9481" customFormat="1" ht="13" x14ac:dyDescent="0.15"/>
    <row r="9482" customFormat="1" ht="13" x14ac:dyDescent="0.15"/>
    <row r="9483" customFormat="1" ht="13" x14ac:dyDescent="0.15"/>
    <row r="9484" customFormat="1" ht="13" x14ac:dyDescent="0.15"/>
    <row r="9485" customFormat="1" ht="13" x14ac:dyDescent="0.15"/>
    <row r="9486" customFormat="1" ht="13" x14ac:dyDescent="0.15"/>
    <row r="9487" customFormat="1" ht="13" x14ac:dyDescent="0.15"/>
    <row r="9488" customFormat="1" ht="13" x14ac:dyDescent="0.15"/>
    <row r="9489" customFormat="1" ht="13" x14ac:dyDescent="0.15"/>
    <row r="9490" customFormat="1" ht="13" x14ac:dyDescent="0.15"/>
    <row r="9491" customFormat="1" ht="13" x14ac:dyDescent="0.15"/>
    <row r="9492" customFormat="1" ht="13" x14ac:dyDescent="0.15"/>
    <row r="9493" customFormat="1" ht="13" x14ac:dyDescent="0.15"/>
    <row r="9494" customFormat="1" ht="13" x14ac:dyDescent="0.15"/>
    <row r="9495" customFormat="1" ht="13" x14ac:dyDescent="0.15"/>
    <row r="9496" customFormat="1" ht="13" x14ac:dyDescent="0.15"/>
    <row r="9497" customFormat="1" ht="13" x14ac:dyDescent="0.15"/>
    <row r="9498" customFormat="1" ht="13" x14ac:dyDescent="0.15"/>
    <row r="9499" customFormat="1" ht="13" x14ac:dyDescent="0.15"/>
    <row r="9500" customFormat="1" ht="13" x14ac:dyDescent="0.15"/>
    <row r="9501" customFormat="1" ht="13" x14ac:dyDescent="0.15"/>
    <row r="9502" customFormat="1" ht="13" x14ac:dyDescent="0.15"/>
    <row r="9503" customFormat="1" ht="13" x14ac:dyDescent="0.15"/>
    <row r="9504" customFormat="1" ht="13" x14ac:dyDescent="0.15"/>
    <row r="9505" customFormat="1" ht="13" x14ac:dyDescent="0.15"/>
    <row r="9506" customFormat="1" ht="13" x14ac:dyDescent="0.15"/>
    <row r="9507" customFormat="1" ht="13" x14ac:dyDescent="0.15"/>
    <row r="9508" customFormat="1" ht="13" x14ac:dyDescent="0.15"/>
    <row r="9509" customFormat="1" ht="13" x14ac:dyDescent="0.15"/>
    <row r="9510" customFormat="1" ht="13" x14ac:dyDescent="0.15"/>
    <row r="9511" customFormat="1" ht="13" x14ac:dyDescent="0.15"/>
    <row r="9512" customFormat="1" ht="13" x14ac:dyDescent="0.15"/>
    <row r="9513" customFormat="1" ht="13" x14ac:dyDescent="0.15"/>
    <row r="9514" customFormat="1" ht="13" x14ac:dyDescent="0.15"/>
    <row r="9515" customFormat="1" ht="13" x14ac:dyDescent="0.15"/>
    <row r="9516" customFormat="1" ht="13" x14ac:dyDescent="0.15"/>
    <row r="9517" customFormat="1" ht="13" x14ac:dyDescent="0.15"/>
    <row r="9518" customFormat="1" ht="13" x14ac:dyDescent="0.15"/>
    <row r="9519" customFormat="1" ht="13" x14ac:dyDescent="0.15"/>
    <row r="9520" customFormat="1" ht="13" x14ac:dyDescent="0.15"/>
    <row r="9521" customFormat="1" ht="13" x14ac:dyDescent="0.15"/>
    <row r="9522" customFormat="1" ht="13" x14ac:dyDescent="0.15"/>
    <row r="9523" customFormat="1" ht="13" x14ac:dyDescent="0.15"/>
    <row r="9524" customFormat="1" ht="13" x14ac:dyDescent="0.15"/>
    <row r="9525" customFormat="1" ht="13" x14ac:dyDescent="0.15"/>
    <row r="9526" customFormat="1" ht="13" x14ac:dyDescent="0.15"/>
    <row r="9527" customFormat="1" ht="13" x14ac:dyDescent="0.15"/>
    <row r="9528" customFormat="1" ht="13" x14ac:dyDescent="0.15"/>
    <row r="9529" customFormat="1" ht="13" x14ac:dyDescent="0.15"/>
    <row r="9530" customFormat="1" ht="13" x14ac:dyDescent="0.15"/>
    <row r="9531" customFormat="1" ht="13" x14ac:dyDescent="0.15"/>
    <row r="9532" customFormat="1" ht="13" x14ac:dyDescent="0.15"/>
    <row r="9533" customFormat="1" ht="13" x14ac:dyDescent="0.15"/>
    <row r="9534" customFormat="1" ht="13" x14ac:dyDescent="0.15"/>
    <row r="9535" customFormat="1" ht="13" x14ac:dyDescent="0.15"/>
    <row r="9536" customFormat="1" ht="13" x14ac:dyDescent="0.15"/>
    <row r="9537" customFormat="1" ht="13" x14ac:dyDescent="0.15"/>
    <row r="9538" customFormat="1" ht="13" x14ac:dyDescent="0.15"/>
    <row r="9539" customFormat="1" ht="13" x14ac:dyDescent="0.15"/>
    <row r="9540" customFormat="1" ht="13" x14ac:dyDescent="0.15"/>
    <row r="9541" customFormat="1" ht="13" x14ac:dyDescent="0.15"/>
    <row r="9542" customFormat="1" ht="13" x14ac:dyDescent="0.15"/>
    <row r="9543" customFormat="1" ht="13" x14ac:dyDescent="0.15"/>
    <row r="9544" customFormat="1" ht="13" x14ac:dyDescent="0.15"/>
    <row r="9545" customFormat="1" ht="13" x14ac:dyDescent="0.15"/>
    <row r="9546" customFormat="1" ht="13" x14ac:dyDescent="0.15"/>
    <row r="9547" customFormat="1" ht="13" x14ac:dyDescent="0.15"/>
    <row r="9548" customFormat="1" ht="13" x14ac:dyDescent="0.15"/>
    <row r="9549" customFormat="1" ht="13" x14ac:dyDescent="0.15"/>
    <row r="9550" customFormat="1" ht="13" x14ac:dyDescent="0.15"/>
    <row r="9551" customFormat="1" ht="13" x14ac:dyDescent="0.15"/>
    <row r="9552" customFormat="1" ht="13" x14ac:dyDescent="0.15"/>
    <row r="9553" customFormat="1" ht="13" x14ac:dyDescent="0.15"/>
    <row r="9554" customFormat="1" ht="13" x14ac:dyDescent="0.15"/>
    <row r="9555" customFormat="1" ht="13" x14ac:dyDescent="0.15"/>
    <row r="9556" customFormat="1" ht="13" x14ac:dyDescent="0.15"/>
    <row r="9557" customFormat="1" ht="13" x14ac:dyDescent="0.15"/>
    <row r="9558" customFormat="1" ht="13" x14ac:dyDescent="0.15"/>
    <row r="9559" customFormat="1" ht="13" x14ac:dyDescent="0.15"/>
    <row r="9560" customFormat="1" ht="13" x14ac:dyDescent="0.15"/>
    <row r="9561" customFormat="1" ht="13" x14ac:dyDescent="0.15"/>
    <row r="9562" customFormat="1" ht="13" x14ac:dyDescent="0.15"/>
    <row r="9563" customFormat="1" ht="13" x14ac:dyDescent="0.15"/>
    <row r="9564" customFormat="1" ht="13" x14ac:dyDescent="0.15"/>
    <row r="9565" customFormat="1" ht="13" x14ac:dyDescent="0.15"/>
    <row r="9566" customFormat="1" ht="13" x14ac:dyDescent="0.15"/>
    <row r="9567" customFormat="1" ht="13" x14ac:dyDescent="0.15"/>
    <row r="9568" customFormat="1" ht="13" x14ac:dyDescent="0.15"/>
    <row r="9569" customFormat="1" ht="13" x14ac:dyDescent="0.15"/>
    <row r="9570" customFormat="1" ht="13" x14ac:dyDescent="0.15"/>
    <row r="9571" customFormat="1" ht="13" x14ac:dyDescent="0.15"/>
    <row r="9572" customFormat="1" ht="13" x14ac:dyDescent="0.15"/>
    <row r="9573" customFormat="1" ht="13" x14ac:dyDescent="0.15"/>
    <row r="9574" customFormat="1" ht="13" x14ac:dyDescent="0.15"/>
    <row r="9575" customFormat="1" ht="13" x14ac:dyDescent="0.15"/>
    <row r="9576" customFormat="1" ht="13" x14ac:dyDescent="0.15"/>
    <row r="9577" customFormat="1" ht="13" x14ac:dyDescent="0.15"/>
    <row r="9578" customFormat="1" ht="13" x14ac:dyDescent="0.15"/>
    <row r="9579" customFormat="1" ht="13" x14ac:dyDescent="0.15"/>
    <row r="9580" customFormat="1" ht="13" x14ac:dyDescent="0.15"/>
    <row r="9581" customFormat="1" ht="13" x14ac:dyDescent="0.15"/>
    <row r="9582" customFormat="1" ht="13" x14ac:dyDescent="0.15"/>
    <row r="9583" customFormat="1" ht="13" x14ac:dyDescent="0.15"/>
    <row r="9584" customFormat="1" ht="13" x14ac:dyDescent="0.15"/>
    <row r="9585" customFormat="1" ht="13" x14ac:dyDescent="0.15"/>
    <row r="9586" customFormat="1" ht="13" x14ac:dyDescent="0.15"/>
    <row r="9587" customFormat="1" ht="13" x14ac:dyDescent="0.15"/>
    <row r="9588" customFormat="1" ht="13" x14ac:dyDescent="0.15"/>
    <row r="9589" customFormat="1" ht="13" x14ac:dyDescent="0.15"/>
    <row r="9590" customFormat="1" ht="13" x14ac:dyDescent="0.15"/>
    <row r="9591" customFormat="1" ht="13" x14ac:dyDescent="0.15"/>
    <row r="9592" customFormat="1" ht="13" x14ac:dyDescent="0.15"/>
    <row r="9593" customFormat="1" ht="13" x14ac:dyDescent="0.15"/>
    <row r="9594" customFormat="1" ht="13" x14ac:dyDescent="0.15"/>
    <row r="9595" customFormat="1" ht="13" x14ac:dyDescent="0.15"/>
    <row r="9596" customFormat="1" ht="13" x14ac:dyDescent="0.15"/>
    <row r="9597" customFormat="1" ht="13" x14ac:dyDescent="0.15"/>
    <row r="9598" customFormat="1" ht="13" x14ac:dyDescent="0.15"/>
    <row r="9599" customFormat="1" ht="13" x14ac:dyDescent="0.15"/>
    <row r="9600" customFormat="1" ht="13" x14ac:dyDescent="0.15"/>
    <row r="9601" customFormat="1" ht="13" x14ac:dyDescent="0.15"/>
    <row r="9602" customFormat="1" ht="13" x14ac:dyDescent="0.15"/>
    <row r="9603" customFormat="1" ht="13" x14ac:dyDescent="0.15"/>
    <row r="9604" customFormat="1" ht="13" x14ac:dyDescent="0.15"/>
    <row r="9605" customFormat="1" ht="13" x14ac:dyDescent="0.15"/>
    <row r="9606" customFormat="1" ht="13" x14ac:dyDescent="0.15"/>
    <row r="9607" customFormat="1" ht="13" x14ac:dyDescent="0.15"/>
    <row r="9608" customFormat="1" ht="13" x14ac:dyDescent="0.15"/>
    <row r="9609" customFormat="1" ht="13" x14ac:dyDescent="0.15"/>
    <row r="9610" customFormat="1" ht="13" x14ac:dyDescent="0.15"/>
    <row r="9611" customFormat="1" ht="13" x14ac:dyDescent="0.15"/>
    <row r="9612" customFormat="1" ht="13" x14ac:dyDescent="0.15"/>
    <row r="9613" customFormat="1" ht="13" x14ac:dyDescent="0.15"/>
    <row r="9614" customFormat="1" ht="13" x14ac:dyDescent="0.15"/>
    <row r="9615" customFormat="1" ht="13" x14ac:dyDescent="0.15"/>
    <row r="9616" customFormat="1" ht="13" x14ac:dyDescent="0.15"/>
    <row r="9617" customFormat="1" ht="13" x14ac:dyDescent="0.15"/>
    <row r="9618" customFormat="1" ht="13" x14ac:dyDescent="0.15"/>
    <row r="9619" customFormat="1" ht="13" x14ac:dyDescent="0.15"/>
    <row r="9620" customFormat="1" ht="13" x14ac:dyDescent="0.15"/>
    <row r="9621" customFormat="1" ht="13" x14ac:dyDescent="0.15"/>
    <row r="9622" customFormat="1" ht="13" x14ac:dyDescent="0.15"/>
    <row r="9623" customFormat="1" ht="13" x14ac:dyDescent="0.15"/>
    <row r="9624" customFormat="1" ht="13" x14ac:dyDescent="0.15"/>
    <row r="9625" customFormat="1" ht="13" x14ac:dyDescent="0.15"/>
    <row r="9626" customFormat="1" ht="13" x14ac:dyDescent="0.15"/>
    <row r="9627" customFormat="1" ht="13" x14ac:dyDescent="0.15"/>
    <row r="9628" customFormat="1" ht="13" x14ac:dyDescent="0.15"/>
    <row r="9629" customFormat="1" ht="13" x14ac:dyDescent="0.15"/>
    <row r="9630" customFormat="1" ht="13" x14ac:dyDescent="0.15"/>
    <row r="9631" customFormat="1" ht="13" x14ac:dyDescent="0.15"/>
    <row r="9632" customFormat="1" ht="13" x14ac:dyDescent="0.15"/>
    <row r="9633" customFormat="1" ht="13" x14ac:dyDescent="0.15"/>
    <row r="9634" customFormat="1" ht="13" x14ac:dyDescent="0.15"/>
    <row r="9635" customFormat="1" ht="13" x14ac:dyDescent="0.15"/>
    <row r="9636" customFormat="1" ht="13" x14ac:dyDescent="0.15"/>
    <row r="9637" customFormat="1" ht="13" x14ac:dyDescent="0.15"/>
    <row r="9638" customFormat="1" ht="13" x14ac:dyDescent="0.15"/>
    <row r="9639" customFormat="1" ht="13" x14ac:dyDescent="0.15"/>
    <row r="9640" customFormat="1" ht="13" x14ac:dyDescent="0.15"/>
    <row r="9641" customFormat="1" ht="13" x14ac:dyDescent="0.15"/>
    <row r="9642" customFormat="1" ht="13" x14ac:dyDescent="0.15"/>
    <row r="9643" customFormat="1" ht="13" x14ac:dyDescent="0.15"/>
    <row r="9644" customFormat="1" ht="13" x14ac:dyDescent="0.15"/>
    <row r="9645" customFormat="1" ht="13" x14ac:dyDescent="0.15"/>
    <row r="9646" customFormat="1" ht="13" x14ac:dyDescent="0.15"/>
    <row r="9647" customFormat="1" ht="13" x14ac:dyDescent="0.15"/>
    <row r="9648" customFormat="1" ht="13" x14ac:dyDescent="0.15"/>
    <row r="9649" customFormat="1" ht="13" x14ac:dyDescent="0.15"/>
    <row r="9650" customFormat="1" ht="13" x14ac:dyDescent="0.15"/>
    <row r="9651" customFormat="1" ht="13" x14ac:dyDescent="0.15"/>
    <row r="9652" customFormat="1" ht="13" x14ac:dyDescent="0.15"/>
    <row r="9653" customFormat="1" ht="13" x14ac:dyDescent="0.15"/>
    <row r="9654" customFormat="1" ht="13" x14ac:dyDescent="0.15"/>
    <row r="9655" customFormat="1" ht="13" x14ac:dyDescent="0.15"/>
    <row r="9656" customFormat="1" ht="13" x14ac:dyDescent="0.15"/>
    <row r="9657" customFormat="1" ht="13" x14ac:dyDescent="0.15"/>
    <row r="9658" customFormat="1" ht="13" x14ac:dyDescent="0.15"/>
    <row r="9659" customFormat="1" ht="13" x14ac:dyDescent="0.15"/>
    <row r="9660" customFormat="1" ht="13" x14ac:dyDescent="0.15"/>
    <row r="9661" customFormat="1" ht="13" x14ac:dyDescent="0.15"/>
    <row r="9662" customFormat="1" ht="13" x14ac:dyDescent="0.15"/>
    <row r="9663" customFormat="1" ht="13" x14ac:dyDescent="0.15"/>
    <row r="9664" customFormat="1" ht="13" x14ac:dyDescent="0.15"/>
    <row r="9665" customFormat="1" ht="13" x14ac:dyDescent="0.15"/>
    <row r="9666" customFormat="1" ht="13" x14ac:dyDescent="0.15"/>
    <row r="9667" customFormat="1" ht="13" x14ac:dyDescent="0.15"/>
    <row r="9668" customFormat="1" ht="13" x14ac:dyDescent="0.15"/>
    <row r="9669" customFormat="1" ht="13" x14ac:dyDescent="0.15"/>
    <row r="9670" customFormat="1" ht="13" x14ac:dyDescent="0.15"/>
    <row r="9671" customFormat="1" ht="13" x14ac:dyDescent="0.15"/>
    <row r="9672" customFormat="1" ht="13" x14ac:dyDescent="0.15"/>
    <row r="9673" customFormat="1" ht="13" x14ac:dyDescent="0.15"/>
    <row r="9674" customFormat="1" ht="13" x14ac:dyDescent="0.15"/>
    <row r="9675" customFormat="1" ht="13" x14ac:dyDescent="0.15"/>
    <row r="9676" customFormat="1" ht="13" x14ac:dyDescent="0.15"/>
    <row r="9677" customFormat="1" ht="13" x14ac:dyDescent="0.15"/>
    <row r="9678" customFormat="1" ht="13" x14ac:dyDescent="0.15"/>
    <row r="9679" customFormat="1" ht="13" x14ac:dyDescent="0.15"/>
    <row r="9680" customFormat="1" ht="13" x14ac:dyDescent="0.15"/>
    <row r="9681" customFormat="1" ht="13" x14ac:dyDescent="0.15"/>
    <row r="9682" customFormat="1" ht="13" x14ac:dyDescent="0.15"/>
    <row r="9683" customFormat="1" ht="13" x14ac:dyDescent="0.15"/>
    <row r="9684" customFormat="1" ht="13" x14ac:dyDescent="0.15"/>
    <row r="9685" customFormat="1" ht="13" x14ac:dyDescent="0.15"/>
    <row r="9686" customFormat="1" ht="13" x14ac:dyDescent="0.15"/>
    <row r="9687" customFormat="1" ht="13" x14ac:dyDescent="0.15"/>
    <row r="9688" customFormat="1" ht="13" x14ac:dyDescent="0.15"/>
    <row r="9689" customFormat="1" ht="13" x14ac:dyDescent="0.15"/>
    <row r="9690" customFormat="1" ht="13" x14ac:dyDescent="0.15"/>
    <row r="9691" customFormat="1" ht="13" x14ac:dyDescent="0.15"/>
    <row r="9692" customFormat="1" ht="13" x14ac:dyDescent="0.15"/>
    <row r="9693" customFormat="1" ht="13" x14ac:dyDescent="0.15"/>
    <row r="9694" customFormat="1" ht="13" x14ac:dyDescent="0.15"/>
    <row r="9695" customFormat="1" ht="13" x14ac:dyDescent="0.15"/>
    <row r="9696" customFormat="1" ht="13" x14ac:dyDescent="0.15"/>
    <row r="9697" customFormat="1" ht="13" x14ac:dyDescent="0.15"/>
    <row r="9698" customFormat="1" ht="13" x14ac:dyDescent="0.15"/>
    <row r="9699" customFormat="1" ht="13" x14ac:dyDescent="0.15"/>
    <row r="9700" customFormat="1" ht="13" x14ac:dyDescent="0.15"/>
    <row r="9701" customFormat="1" ht="13" x14ac:dyDescent="0.15"/>
    <row r="9702" customFormat="1" ht="13" x14ac:dyDescent="0.15"/>
    <row r="9703" customFormat="1" ht="13" x14ac:dyDescent="0.15"/>
    <row r="9704" customFormat="1" ht="13" x14ac:dyDescent="0.15"/>
    <row r="9705" customFormat="1" ht="13" x14ac:dyDescent="0.15"/>
    <row r="9706" customFormat="1" ht="13" x14ac:dyDescent="0.15"/>
    <row r="9707" customFormat="1" ht="13" x14ac:dyDescent="0.15"/>
    <row r="9708" customFormat="1" ht="13" x14ac:dyDescent="0.15"/>
    <row r="9709" customFormat="1" ht="13" x14ac:dyDescent="0.15"/>
    <row r="9710" customFormat="1" ht="13" x14ac:dyDescent="0.15"/>
    <row r="9711" customFormat="1" ht="13" x14ac:dyDescent="0.15"/>
    <row r="9712" customFormat="1" ht="13" x14ac:dyDescent="0.15"/>
    <row r="9713" customFormat="1" ht="13" x14ac:dyDescent="0.15"/>
    <row r="9714" customFormat="1" ht="13" x14ac:dyDescent="0.15"/>
    <row r="9715" customFormat="1" ht="13" x14ac:dyDescent="0.15"/>
    <row r="9716" customFormat="1" ht="13" x14ac:dyDescent="0.15"/>
    <row r="9717" customFormat="1" ht="13" x14ac:dyDescent="0.15"/>
    <row r="9718" customFormat="1" ht="13" x14ac:dyDescent="0.15"/>
    <row r="9719" customFormat="1" ht="13" x14ac:dyDescent="0.15"/>
    <row r="9720" customFormat="1" ht="13" x14ac:dyDescent="0.15"/>
    <row r="9721" customFormat="1" ht="13" x14ac:dyDescent="0.15"/>
    <row r="9722" customFormat="1" ht="13" x14ac:dyDescent="0.15"/>
    <row r="9723" customFormat="1" ht="13" x14ac:dyDescent="0.15"/>
    <row r="9724" customFormat="1" ht="13" x14ac:dyDescent="0.15"/>
    <row r="9725" customFormat="1" ht="13" x14ac:dyDescent="0.15"/>
    <row r="9726" customFormat="1" ht="13" x14ac:dyDescent="0.15"/>
    <row r="9727" customFormat="1" ht="13" x14ac:dyDescent="0.15"/>
    <row r="9728" customFormat="1" ht="13" x14ac:dyDescent="0.15"/>
    <row r="9729" customFormat="1" ht="13" x14ac:dyDescent="0.15"/>
    <row r="9730" customFormat="1" ht="13" x14ac:dyDescent="0.15"/>
    <row r="9731" customFormat="1" ht="13" x14ac:dyDescent="0.15"/>
    <row r="9732" customFormat="1" ht="13" x14ac:dyDescent="0.15"/>
    <row r="9733" customFormat="1" ht="13" x14ac:dyDescent="0.15"/>
    <row r="9734" customFormat="1" ht="13" x14ac:dyDescent="0.15"/>
    <row r="9735" customFormat="1" ht="13" x14ac:dyDescent="0.15"/>
    <row r="9736" customFormat="1" ht="13" x14ac:dyDescent="0.15"/>
    <row r="9737" customFormat="1" ht="13" x14ac:dyDescent="0.15"/>
    <row r="9738" customFormat="1" ht="13" x14ac:dyDescent="0.15"/>
    <row r="9739" customFormat="1" ht="13" x14ac:dyDescent="0.15"/>
    <row r="9740" customFormat="1" ht="13" x14ac:dyDescent="0.15"/>
    <row r="9741" customFormat="1" ht="13" x14ac:dyDescent="0.15"/>
    <row r="9742" customFormat="1" ht="13" x14ac:dyDescent="0.15"/>
    <row r="9743" customFormat="1" ht="13" x14ac:dyDescent="0.15"/>
    <row r="9744" customFormat="1" ht="13" x14ac:dyDescent="0.15"/>
    <row r="9745" customFormat="1" ht="13" x14ac:dyDescent="0.15"/>
    <row r="9746" customFormat="1" ht="13" x14ac:dyDescent="0.15"/>
    <row r="9747" customFormat="1" ht="13" x14ac:dyDescent="0.15"/>
    <row r="9748" customFormat="1" ht="13" x14ac:dyDescent="0.15"/>
    <row r="9749" customFormat="1" ht="13" x14ac:dyDescent="0.15"/>
    <row r="9750" customFormat="1" ht="13" x14ac:dyDescent="0.15"/>
    <row r="9751" customFormat="1" ht="13" x14ac:dyDescent="0.15"/>
    <row r="9752" customFormat="1" ht="13" x14ac:dyDescent="0.15"/>
    <row r="9753" customFormat="1" ht="13" x14ac:dyDescent="0.15"/>
    <row r="9754" customFormat="1" ht="13" x14ac:dyDescent="0.15"/>
    <row r="9755" customFormat="1" ht="13" x14ac:dyDescent="0.15"/>
    <row r="9756" customFormat="1" ht="13" x14ac:dyDescent="0.15"/>
    <row r="9757" customFormat="1" ht="13" x14ac:dyDescent="0.15"/>
    <row r="9758" customFormat="1" ht="13" x14ac:dyDescent="0.15"/>
    <row r="9759" customFormat="1" ht="13" x14ac:dyDescent="0.15"/>
    <row r="9760" customFormat="1" ht="13" x14ac:dyDescent="0.15"/>
    <row r="9761" customFormat="1" ht="13" x14ac:dyDescent="0.15"/>
    <row r="9762" customFormat="1" ht="13" x14ac:dyDescent="0.15"/>
    <row r="9763" customFormat="1" ht="13" x14ac:dyDescent="0.15"/>
    <row r="9764" customFormat="1" ht="13" x14ac:dyDescent="0.15"/>
    <row r="9765" customFormat="1" ht="13" x14ac:dyDescent="0.15"/>
    <row r="9766" customFormat="1" ht="13" x14ac:dyDescent="0.15"/>
    <row r="9767" customFormat="1" ht="13" x14ac:dyDescent="0.15"/>
    <row r="9768" customFormat="1" ht="13" x14ac:dyDescent="0.15"/>
    <row r="9769" customFormat="1" ht="13" x14ac:dyDescent="0.15"/>
    <row r="9770" customFormat="1" ht="13" x14ac:dyDescent="0.15"/>
    <row r="9771" customFormat="1" ht="13" x14ac:dyDescent="0.15"/>
    <row r="9772" customFormat="1" ht="13" x14ac:dyDescent="0.15"/>
    <row r="9773" customFormat="1" ht="13" x14ac:dyDescent="0.15"/>
    <row r="9774" customFormat="1" ht="13" x14ac:dyDescent="0.15"/>
    <row r="9775" customFormat="1" ht="13" x14ac:dyDescent="0.15"/>
    <row r="9776" customFormat="1" ht="13" x14ac:dyDescent="0.15"/>
    <row r="9777" customFormat="1" ht="13" x14ac:dyDescent="0.15"/>
    <row r="9778" customFormat="1" ht="13" x14ac:dyDescent="0.15"/>
    <row r="9779" customFormat="1" ht="13" x14ac:dyDescent="0.15"/>
    <row r="9780" customFormat="1" ht="13" x14ac:dyDescent="0.15"/>
    <row r="9781" customFormat="1" ht="13" x14ac:dyDescent="0.15"/>
    <row r="9782" customFormat="1" ht="13" x14ac:dyDescent="0.15"/>
    <row r="9783" customFormat="1" ht="13" x14ac:dyDescent="0.15"/>
    <row r="9784" customFormat="1" ht="13" x14ac:dyDescent="0.15"/>
    <row r="9785" customFormat="1" ht="13" x14ac:dyDescent="0.15"/>
    <row r="9786" customFormat="1" ht="13" x14ac:dyDescent="0.15"/>
    <row r="9787" customFormat="1" ht="13" x14ac:dyDescent="0.15"/>
    <row r="9788" customFormat="1" ht="13" x14ac:dyDescent="0.15"/>
    <row r="9789" customFormat="1" ht="13" x14ac:dyDescent="0.15"/>
    <row r="9790" customFormat="1" ht="13" x14ac:dyDescent="0.15"/>
    <row r="9791" customFormat="1" ht="13" x14ac:dyDescent="0.15"/>
    <row r="9792" customFormat="1" ht="13" x14ac:dyDescent="0.15"/>
    <row r="9793" customFormat="1" ht="13" x14ac:dyDescent="0.15"/>
    <row r="9794" customFormat="1" ht="13" x14ac:dyDescent="0.15"/>
    <row r="9795" customFormat="1" ht="13" x14ac:dyDescent="0.15"/>
    <row r="9796" customFormat="1" ht="13" x14ac:dyDescent="0.15"/>
    <row r="9797" customFormat="1" ht="13" x14ac:dyDescent="0.15"/>
    <row r="9798" customFormat="1" ht="13" x14ac:dyDescent="0.15"/>
    <row r="9799" customFormat="1" ht="13" x14ac:dyDescent="0.15"/>
    <row r="9800" customFormat="1" ht="13" x14ac:dyDescent="0.15"/>
    <row r="9801" customFormat="1" ht="13" x14ac:dyDescent="0.15"/>
    <row r="9802" customFormat="1" ht="13" x14ac:dyDescent="0.15"/>
    <row r="9803" customFormat="1" ht="13" x14ac:dyDescent="0.15"/>
    <row r="9804" customFormat="1" ht="13" x14ac:dyDescent="0.15"/>
    <row r="9805" customFormat="1" ht="13" x14ac:dyDescent="0.15"/>
    <row r="9806" customFormat="1" ht="13" x14ac:dyDescent="0.15"/>
    <row r="9807" customFormat="1" ht="13" x14ac:dyDescent="0.15"/>
    <row r="9808" customFormat="1" ht="13" x14ac:dyDescent="0.15"/>
    <row r="9809" customFormat="1" ht="13" x14ac:dyDescent="0.15"/>
    <row r="9810" customFormat="1" ht="13" x14ac:dyDescent="0.15"/>
    <row r="9811" customFormat="1" ht="13" x14ac:dyDescent="0.15"/>
    <row r="9812" customFormat="1" ht="13" x14ac:dyDescent="0.15"/>
    <row r="9813" customFormat="1" ht="13" x14ac:dyDescent="0.15"/>
    <row r="9814" customFormat="1" ht="13" x14ac:dyDescent="0.15"/>
    <row r="9815" customFormat="1" ht="13" x14ac:dyDescent="0.15"/>
    <row r="9816" customFormat="1" ht="13" x14ac:dyDescent="0.15"/>
    <row r="9817" customFormat="1" ht="13" x14ac:dyDescent="0.15"/>
    <row r="9818" customFormat="1" ht="13" x14ac:dyDescent="0.15"/>
    <row r="9819" customFormat="1" ht="13" x14ac:dyDescent="0.15"/>
    <row r="9820" customFormat="1" ht="13" x14ac:dyDescent="0.15"/>
    <row r="9821" customFormat="1" ht="13" x14ac:dyDescent="0.15"/>
    <row r="9822" customFormat="1" ht="13" x14ac:dyDescent="0.15"/>
    <row r="9823" customFormat="1" ht="13" x14ac:dyDescent="0.15"/>
    <row r="9824" customFormat="1" ht="13" x14ac:dyDescent="0.15"/>
    <row r="9825" customFormat="1" ht="13" x14ac:dyDescent="0.15"/>
    <row r="9826" customFormat="1" ht="13" x14ac:dyDescent="0.15"/>
    <row r="9827" customFormat="1" ht="13" x14ac:dyDescent="0.15"/>
    <row r="9828" customFormat="1" ht="13" x14ac:dyDescent="0.15"/>
    <row r="9829" customFormat="1" ht="13" x14ac:dyDescent="0.15"/>
    <row r="9830" customFormat="1" ht="13" x14ac:dyDescent="0.15"/>
    <row r="9831" customFormat="1" ht="13" x14ac:dyDescent="0.15"/>
    <row r="9832" customFormat="1" ht="13" x14ac:dyDescent="0.15"/>
    <row r="9833" customFormat="1" ht="13" x14ac:dyDescent="0.15"/>
    <row r="9834" customFormat="1" ht="13" x14ac:dyDescent="0.15"/>
    <row r="9835" customFormat="1" ht="13" x14ac:dyDescent="0.15"/>
    <row r="9836" customFormat="1" ht="13" x14ac:dyDescent="0.15"/>
    <row r="9837" customFormat="1" ht="13" x14ac:dyDescent="0.15"/>
    <row r="9838" customFormat="1" ht="13" x14ac:dyDescent="0.15"/>
    <row r="9839" customFormat="1" ht="13" x14ac:dyDescent="0.15"/>
    <row r="9840" customFormat="1" ht="13" x14ac:dyDescent="0.15"/>
    <row r="9841" customFormat="1" ht="13" x14ac:dyDescent="0.15"/>
    <row r="9842" customFormat="1" ht="13" x14ac:dyDescent="0.15"/>
    <row r="9843" customFormat="1" ht="13" x14ac:dyDescent="0.15"/>
    <row r="9844" customFormat="1" ht="13" x14ac:dyDescent="0.15"/>
    <row r="9845" customFormat="1" ht="13" x14ac:dyDescent="0.15"/>
    <row r="9846" customFormat="1" ht="13" x14ac:dyDescent="0.15"/>
    <row r="9847" customFormat="1" ht="13" x14ac:dyDescent="0.15"/>
    <row r="9848" customFormat="1" ht="13" x14ac:dyDescent="0.15"/>
    <row r="9849" customFormat="1" ht="13" x14ac:dyDescent="0.15"/>
    <row r="9850" customFormat="1" ht="13" x14ac:dyDescent="0.15"/>
    <row r="9851" customFormat="1" ht="13" x14ac:dyDescent="0.15"/>
    <row r="9852" customFormat="1" ht="13" x14ac:dyDescent="0.15"/>
    <row r="9853" customFormat="1" ht="13" x14ac:dyDescent="0.15"/>
    <row r="9854" customFormat="1" ht="13" x14ac:dyDescent="0.15"/>
    <row r="9855" customFormat="1" ht="13" x14ac:dyDescent="0.15"/>
    <row r="9856" customFormat="1" ht="13" x14ac:dyDescent="0.15"/>
    <row r="9857" customFormat="1" ht="13" x14ac:dyDescent="0.15"/>
    <row r="9858" customFormat="1" ht="13" x14ac:dyDescent="0.15"/>
    <row r="9859" customFormat="1" ht="13" x14ac:dyDescent="0.15"/>
    <row r="9860" customFormat="1" ht="13" x14ac:dyDescent="0.15"/>
    <row r="9861" customFormat="1" ht="13" x14ac:dyDescent="0.15"/>
    <row r="9862" customFormat="1" ht="13" x14ac:dyDescent="0.15"/>
    <row r="9863" customFormat="1" ht="13" x14ac:dyDescent="0.15"/>
    <row r="9864" customFormat="1" ht="13" x14ac:dyDescent="0.15"/>
    <row r="9865" customFormat="1" ht="13" x14ac:dyDescent="0.15"/>
    <row r="9866" customFormat="1" ht="13" x14ac:dyDescent="0.15"/>
    <row r="9867" customFormat="1" ht="13" x14ac:dyDescent="0.15"/>
    <row r="9868" customFormat="1" ht="13" x14ac:dyDescent="0.15"/>
    <row r="9869" customFormat="1" ht="13" x14ac:dyDescent="0.15"/>
    <row r="9870" customFormat="1" ht="13" x14ac:dyDescent="0.15"/>
    <row r="9871" customFormat="1" ht="13" x14ac:dyDescent="0.15"/>
    <row r="9872" customFormat="1" ht="13" x14ac:dyDescent="0.15"/>
    <row r="9873" customFormat="1" ht="13" x14ac:dyDescent="0.15"/>
    <row r="9874" customFormat="1" ht="13" x14ac:dyDescent="0.15"/>
    <row r="9875" customFormat="1" ht="13" x14ac:dyDescent="0.15"/>
    <row r="9876" customFormat="1" ht="13" x14ac:dyDescent="0.15"/>
    <row r="9877" customFormat="1" ht="13" x14ac:dyDescent="0.15"/>
    <row r="9878" customFormat="1" ht="13" x14ac:dyDescent="0.15"/>
    <row r="9879" customFormat="1" ht="13" x14ac:dyDescent="0.15"/>
    <row r="9880" customFormat="1" ht="13" x14ac:dyDescent="0.15"/>
    <row r="9881" customFormat="1" ht="13" x14ac:dyDescent="0.15"/>
    <row r="9882" customFormat="1" ht="13" x14ac:dyDescent="0.15"/>
    <row r="9883" customFormat="1" ht="13" x14ac:dyDescent="0.15"/>
    <row r="9884" customFormat="1" ht="13" x14ac:dyDescent="0.15"/>
    <row r="9885" customFormat="1" ht="13" x14ac:dyDescent="0.15"/>
    <row r="9886" customFormat="1" ht="13" x14ac:dyDescent="0.15"/>
    <row r="9887" customFormat="1" ht="13" x14ac:dyDescent="0.15"/>
    <row r="9888" customFormat="1" ht="13" x14ac:dyDescent="0.15"/>
    <row r="9889" customFormat="1" ht="13" x14ac:dyDescent="0.15"/>
    <row r="9890" customFormat="1" ht="13" x14ac:dyDescent="0.15"/>
    <row r="9891" customFormat="1" ht="13" x14ac:dyDescent="0.15"/>
    <row r="9892" customFormat="1" ht="13" x14ac:dyDescent="0.15"/>
    <row r="9893" customFormat="1" ht="13" x14ac:dyDescent="0.15"/>
    <row r="9894" customFormat="1" ht="13" x14ac:dyDescent="0.15"/>
    <row r="9895" customFormat="1" ht="13" x14ac:dyDescent="0.15"/>
    <row r="9896" customFormat="1" ht="13" x14ac:dyDescent="0.15"/>
    <row r="9897" customFormat="1" ht="13" x14ac:dyDescent="0.15"/>
    <row r="9898" customFormat="1" ht="13" x14ac:dyDescent="0.15"/>
    <row r="9899" customFormat="1" ht="13" x14ac:dyDescent="0.15"/>
    <row r="9900" customFormat="1" ht="13" x14ac:dyDescent="0.15"/>
    <row r="9901" customFormat="1" ht="13" x14ac:dyDescent="0.15"/>
    <row r="9902" customFormat="1" ht="13" x14ac:dyDescent="0.15"/>
    <row r="9903" customFormat="1" ht="13" x14ac:dyDescent="0.15"/>
    <row r="9904" customFormat="1" ht="13" x14ac:dyDescent="0.15"/>
    <row r="9905" customFormat="1" ht="13" x14ac:dyDescent="0.15"/>
    <row r="9906" customFormat="1" ht="13" x14ac:dyDescent="0.15"/>
    <row r="9907" customFormat="1" ht="13" x14ac:dyDescent="0.15"/>
    <row r="9908" customFormat="1" ht="13" x14ac:dyDescent="0.15"/>
    <row r="9909" customFormat="1" ht="13" x14ac:dyDescent="0.15"/>
    <row r="9910" customFormat="1" ht="13" x14ac:dyDescent="0.15"/>
    <row r="9911" customFormat="1" ht="13" x14ac:dyDescent="0.15"/>
    <row r="9912" customFormat="1" ht="13" x14ac:dyDescent="0.15"/>
    <row r="9913" customFormat="1" ht="13" x14ac:dyDescent="0.15"/>
    <row r="9914" customFormat="1" ht="13" x14ac:dyDescent="0.15"/>
    <row r="9915" customFormat="1" ht="13" x14ac:dyDescent="0.15"/>
    <row r="9916" customFormat="1" ht="13" x14ac:dyDescent="0.15"/>
    <row r="9917" customFormat="1" ht="13" x14ac:dyDescent="0.15"/>
    <row r="9918" customFormat="1" ht="13" x14ac:dyDescent="0.15"/>
    <row r="9919" customFormat="1" ht="13" x14ac:dyDescent="0.15"/>
    <row r="9920" customFormat="1" ht="13" x14ac:dyDescent="0.15"/>
    <row r="9921" customFormat="1" ht="13" x14ac:dyDescent="0.15"/>
    <row r="9922" customFormat="1" ht="13" x14ac:dyDescent="0.15"/>
    <row r="9923" customFormat="1" ht="13" x14ac:dyDescent="0.15"/>
    <row r="9924" customFormat="1" ht="13" x14ac:dyDescent="0.15"/>
    <row r="9925" customFormat="1" ht="13" x14ac:dyDescent="0.15"/>
    <row r="9926" customFormat="1" ht="13" x14ac:dyDescent="0.15"/>
    <row r="9927" customFormat="1" ht="13" x14ac:dyDescent="0.15"/>
    <row r="9928" customFormat="1" ht="13" x14ac:dyDescent="0.15"/>
    <row r="9929" customFormat="1" ht="13" x14ac:dyDescent="0.15"/>
    <row r="9930" customFormat="1" ht="13" x14ac:dyDescent="0.15"/>
    <row r="9931" customFormat="1" ht="13" x14ac:dyDescent="0.15"/>
    <row r="9932" customFormat="1" ht="13" x14ac:dyDescent="0.15"/>
    <row r="9933" customFormat="1" ht="13" x14ac:dyDescent="0.15"/>
    <row r="9934" customFormat="1" ht="13" x14ac:dyDescent="0.15"/>
    <row r="9935" customFormat="1" ht="13" x14ac:dyDescent="0.15"/>
    <row r="9936" customFormat="1" ht="13" x14ac:dyDescent="0.15"/>
    <row r="9937" customFormat="1" ht="13" x14ac:dyDescent="0.15"/>
    <row r="9938" customFormat="1" ht="13" x14ac:dyDescent="0.15"/>
    <row r="9939" customFormat="1" ht="13" x14ac:dyDescent="0.15"/>
    <row r="9940" customFormat="1" ht="13" x14ac:dyDescent="0.15"/>
    <row r="9941" customFormat="1" ht="13" x14ac:dyDescent="0.15"/>
    <row r="9942" customFormat="1" ht="13" x14ac:dyDescent="0.15"/>
    <row r="9943" customFormat="1" ht="13" x14ac:dyDescent="0.15"/>
    <row r="9944" customFormat="1" ht="13" x14ac:dyDescent="0.15"/>
    <row r="9945" customFormat="1" ht="13" x14ac:dyDescent="0.15"/>
    <row r="9946" customFormat="1" ht="13" x14ac:dyDescent="0.15"/>
    <row r="9947" customFormat="1" ht="13" x14ac:dyDescent="0.15"/>
    <row r="9948" customFormat="1" ht="13" x14ac:dyDescent="0.15"/>
    <row r="9949" customFormat="1" ht="13" x14ac:dyDescent="0.15"/>
    <row r="9950" customFormat="1" ht="13" x14ac:dyDescent="0.15"/>
    <row r="9951" customFormat="1" ht="13" x14ac:dyDescent="0.15"/>
    <row r="9952" customFormat="1" ht="13" x14ac:dyDescent="0.15"/>
    <row r="9953" customFormat="1" ht="13" x14ac:dyDescent="0.15"/>
    <row r="9954" customFormat="1" ht="13" x14ac:dyDescent="0.15"/>
    <row r="9955" customFormat="1" ht="13" x14ac:dyDescent="0.15"/>
    <row r="9956" customFormat="1" ht="13" x14ac:dyDescent="0.15"/>
    <row r="9957" customFormat="1" ht="13" x14ac:dyDescent="0.15"/>
    <row r="9958" customFormat="1" ht="13" x14ac:dyDescent="0.15"/>
    <row r="9959" customFormat="1" ht="13" x14ac:dyDescent="0.15"/>
    <row r="9960" customFormat="1" ht="13" x14ac:dyDescent="0.15"/>
    <row r="9961" customFormat="1" ht="13" x14ac:dyDescent="0.15"/>
    <row r="9962" customFormat="1" ht="13" x14ac:dyDescent="0.15"/>
    <row r="9963" customFormat="1" ht="13" x14ac:dyDescent="0.15"/>
    <row r="9964" customFormat="1" ht="13" x14ac:dyDescent="0.15"/>
    <row r="9965" customFormat="1" ht="13" x14ac:dyDescent="0.15"/>
    <row r="9966" customFormat="1" ht="13" x14ac:dyDescent="0.15"/>
    <row r="9967" customFormat="1" ht="13" x14ac:dyDescent="0.15"/>
    <row r="9968" customFormat="1" ht="13" x14ac:dyDescent="0.15"/>
    <row r="9969" customFormat="1" ht="13" x14ac:dyDescent="0.15"/>
    <row r="9970" customFormat="1" ht="13" x14ac:dyDescent="0.15"/>
    <row r="9971" customFormat="1" ht="13" x14ac:dyDescent="0.15"/>
    <row r="9972" customFormat="1" ht="13" x14ac:dyDescent="0.15"/>
    <row r="9973" customFormat="1" ht="13" x14ac:dyDescent="0.15"/>
    <row r="9974" customFormat="1" ht="13" x14ac:dyDescent="0.15"/>
    <row r="9975" customFormat="1" ht="13" x14ac:dyDescent="0.15"/>
    <row r="9976" customFormat="1" ht="13" x14ac:dyDescent="0.15"/>
    <row r="9977" customFormat="1" ht="13" x14ac:dyDescent="0.15"/>
    <row r="9978" customFormat="1" ht="13" x14ac:dyDescent="0.15"/>
    <row r="9979" customFormat="1" ht="13" x14ac:dyDescent="0.15"/>
    <row r="9980" customFormat="1" ht="13" x14ac:dyDescent="0.15"/>
    <row r="9981" customFormat="1" ht="13" x14ac:dyDescent="0.15"/>
    <row r="9982" customFormat="1" ht="13" x14ac:dyDescent="0.15"/>
    <row r="9983" customFormat="1" ht="13" x14ac:dyDescent="0.15"/>
    <row r="9984" customFormat="1" ht="13" x14ac:dyDescent="0.15"/>
    <row r="9985" customFormat="1" ht="13" x14ac:dyDescent="0.15"/>
    <row r="9986" customFormat="1" ht="13" x14ac:dyDescent="0.15"/>
    <row r="9987" customFormat="1" ht="13" x14ac:dyDescent="0.15"/>
    <row r="9988" customFormat="1" ht="13" x14ac:dyDescent="0.15"/>
    <row r="9989" customFormat="1" ht="13" x14ac:dyDescent="0.15"/>
    <row r="9990" customFormat="1" ht="13" x14ac:dyDescent="0.15"/>
    <row r="9991" customFormat="1" ht="13" x14ac:dyDescent="0.15"/>
    <row r="9992" customFormat="1" ht="13" x14ac:dyDescent="0.15"/>
    <row r="9993" customFormat="1" ht="13" x14ac:dyDescent="0.15"/>
    <row r="9994" customFormat="1" ht="13" x14ac:dyDescent="0.15"/>
    <row r="9995" customFormat="1" ht="13" x14ac:dyDescent="0.15"/>
    <row r="9996" customFormat="1" ht="13" x14ac:dyDescent="0.15"/>
    <row r="9997" customFormat="1" ht="13" x14ac:dyDescent="0.15"/>
    <row r="9998" customFormat="1" ht="13" x14ac:dyDescent="0.15"/>
    <row r="9999" customFormat="1" ht="13" x14ac:dyDescent="0.15"/>
    <row r="10000" customFormat="1" ht="13" x14ac:dyDescent="0.15"/>
    <row r="10001" customFormat="1" ht="13" x14ac:dyDescent="0.15"/>
    <row r="10002" customFormat="1" ht="13" x14ac:dyDescent="0.15"/>
    <row r="10003" customFormat="1" ht="13" x14ac:dyDescent="0.15"/>
    <row r="10004" customFormat="1" ht="13" x14ac:dyDescent="0.15"/>
    <row r="10005" customFormat="1" ht="13" x14ac:dyDescent="0.15"/>
    <row r="10006" customFormat="1" ht="13" x14ac:dyDescent="0.15"/>
    <row r="10007" customFormat="1" ht="13" x14ac:dyDescent="0.15"/>
    <row r="10008" customFormat="1" ht="13" x14ac:dyDescent="0.15"/>
    <row r="10009" customFormat="1" ht="13" x14ac:dyDescent="0.15"/>
    <row r="10010" customFormat="1" ht="13" x14ac:dyDescent="0.15"/>
    <row r="10011" customFormat="1" ht="13" x14ac:dyDescent="0.15"/>
    <row r="10012" customFormat="1" ht="13" x14ac:dyDescent="0.15"/>
    <row r="10013" customFormat="1" ht="13" x14ac:dyDescent="0.15"/>
    <row r="10014" customFormat="1" ht="13" x14ac:dyDescent="0.15"/>
    <row r="10015" customFormat="1" ht="13" x14ac:dyDescent="0.15"/>
    <row r="10016" customFormat="1" ht="13" x14ac:dyDescent="0.15"/>
    <row r="10017" customFormat="1" ht="13" x14ac:dyDescent="0.15"/>
    <row r="10018" customFormat="1" ht="13" x14ac:dyDescent="0.15"/>
    <row r="10019" customFormat="1" ht="13" x14ac:dyDescent="0.15"/>
    <row r="10020" customFormat="1" ht="13" x14ac:dyDescent="0.15"/>
    <row r="10021" customFormat="1" ht="13" x14ac:dyDescent="0.15"/>
    <row r="10022" customFormat="1" ht="13" x14ac:dyDescent="0.15"/>
    <row r="10023" customFormat="1" ht="13" x14ac:dyDescent="0.15"/>
    <row r="10024" customFormat="1" ht="13" x14ac:dyDescent="0.15"/>
    <row r="10025" customFormat="1" ht="13" x14ac:dyDescent="0.15"/>
    <row r="10026" customFormat="1" ht="13" x14ac:dyDescent="0.15"/>
    <row r="10027" customFormat="1" ht="13" x14ac:dyDescent="0.15"/>
    <row r="10028" customFormat="1" ht="13" x14ac:dyDescent="0.15"/>
    <row r="10029" customFormat="1" ht="13" x14ac:dyDescent="0.15"/>
    <row r="10030" customFormat="1" ht="13" x14ac:dyDescent="0.15"/>
    <row r="10031" customFormat="1" ht="13" x14ac:dyDescent="0.15"/>
    <row r="10032" customFormat="1" ht="13" x14ac:dyDescent="0.15"/>
    <row r="10033" customFormat="1" ht="13" x14ac:dyDescent="0.15"/>
    <row r="10034" customFormat="1" ht="13" x14ac:dyDescent="0.15"/>
    <row r="10035" customFormat="1" ht="13" x14ac:dyDescent="0.15"/>
    <row r="10036" customFormat="1" ht="13" x14ac:dyDescent="0.15"/>
    <row r="10037" customFormat="1" ht="13" x14ac:dyDescent="0.15"/>
    <row r="10038" customFormat="1" ht="13" x14ac:dyDescent="0.15"/>
    <row r="10039" customFormat="1" ht="13" x14ac:dyDescent="0.15"/>
    <row r="10040" customFormat="1" ht="13" x14ac:dyDescent="0.15"/>
    <row r="10041" customFormat="1" ht="13" x14ac:dyDescent="0.15"/>
    <row r="10042" customFormat="1" ht="13" x14ac:dyDescent="0.15"/>
    <row r="10043" customFormat="1" ht="13" x14ac:dyDescent="0.15"/>
    <row r="10044" customFormat="1" ht="13" x14ac:dyDescent="0.15"/>
    <row r="10045" customFormat="1" ht="13" x14ac:dyDescent="0.15"/>
    <row r="10046" customFormat="1" ht="13" x14ac:dyDescent="0.15"/>
    <row r="10047" customFormat="1" ht="13" x14ac:dyDescent="0.15"/>
    <row r="10048" customFormat="1" ht="13" x14ac:dyDescent="0.15"/>
    <row r="10049" customFormat="1" ht="13" x14ac:dyDescent="0.15"/>
    <row r="10050" customFormat="1" ht="13" x14ac:dyDescent="0.15"/>
    <row r="10051" customFormat="1" ht="13" x14ac:dyDescent="0.15"/>
    <row r="10052" customFormat="1" ht="13" x14ac:dyDescent="0.15"/>
    <row r="10053" customFormat="1" ht="13" x14ac:dyDescent="0.15"/>
    <row r="10054" customFormat="1" ht="13" x14ac:dyDescent="0.15"/>
    <row r="10055" customFormat="1" ht="13" x14ac:dyDescent="0.15"/>
    <row r="10056" customFormat="1" ht="13" x14ac:dyDescent="0.15"/>
    <row r="10057" customFormat="1" ht="13" x14ac:dyDescent="0.15"/>
    <row r="10058" customFormat="1" ht="13" x14ac:dyDescent="0.15"/>
    <row r="10059" customFormat="1" ht="13" x14ac:dyDescent="0.15"/>
    <row r="10060" customFormat="1" ht="13" x14ac:dyDescent="0.15"/>
    <row r="10061" customFormat="1" ht="13" x14ac:dyDescent="0.15"/>
    <row r="10062" customFormat="1" ht="13" x14ac:dyDescent="0.15"/>
    <row r="10063" customFormat="1" ht="13" x14ac:dyDescent="0.15"/>
    <row r="10064" customFormat="1" ht="13" x14ac:dyDescent="0.15"/>
    <row r="10065" customFormat="1" ht="13" x14ac:dyDescent="0.15"/>
    <row r="10066" customFormat="1" ht="13" x14ac:dyDescent="0.15"/>
    <row r="10067" customFormat="1" ht="13" x14ac:dyDescent="0.15"/>
    <row r="10068" customFormat="1" ht="13" x14ac:dyDescent="0.15"/>
    <row r="10069" customFormat="1" ht="13" x14ac:dyDescent="0.15"/>
    <row r="10070" customFormat="1" ht="13" x14ac:dyDescent="0.15"/>
    <row r="10071" customFormat="1" ht="13" x14ac:dyDescent="0.15"/>
    <row r="10072" customFormat="1" ht="13" x14ac:dyDescent="0.15"/>
    <row r="10073" customFormat="1" ht="13" x14ac:dyDescent="0.15"/>
    <row r="10074" customFormat="1" ht="13" x14ac:dyDescent="0.15"/>
    <row r="10075" customFormat="1" ht="13" x14ac:dyDescent="0.15"/>
    <row r="10076" customFormat="1" ht="13" x14ac:dyDescent="0.15"/>
    <row r="10077" customFormat="1" ht="13" x14ac:dyDescent="0.15"/>
    <row r="10078" customFormat="1" ht="13" x14ac:dyDescent="0.15"/>
    <row r="10079" customFormat="1" ht="13" x14ac:dyDescent="0.15"/>
    <row r="10080" customFormat="1" ht="13" x14ac:dyDescent="0.15"/>
    <row r="10081" customFormat="1" ht="13" x14ac:dyDescent="0.15"/>
    <row r="10082" customFormat="1" ht="13" x14ac:dyDescent="0.15"/>
    <row r="10083" customFormat="1" ht="13" x14ac:dyDescent="0.15"/>
    <row r="10084" customFormat="1" ht="13" x14ac:dyDescent="0.15"/>
    <row r="10085" customFormat="1" ht="13" x14ac:dyDescent="0.15"/>
    <row r="10086" customFormat="1" ht="13" x14ac:dyDescent="0.15"/>
    <row r="10087" customFormat="1" ht="13" x14ac:dyDescent="0.15"/>
    <row r="10088" customFormat="1" ht="13" x14ac:dyDescent="0.15"/>
    <row r="10089" customFormat="1" ht="13" x14ac:dyDescent="0.15"/>
    <row r="10090" customFormat="1" ht="13" x14ac:dyDescent="0.15"/>
    <row r="10091" customFormat="1" ht="13" x14ac:dyDescent="0.15"/>
    <row r="10092" customFormat="1" ht="13" x14ac:dyDescent="0.15"/>
    <row r="10093" customFormat="1" ht="13" x14ac:dyDescent="0.15"/>
    <row r="10094" customFormat="1" ht="13" x14ac:dyDescent="0.15"/>
    <row r="10095" customFormat="1" ht="13" x14ac:dyDescent="0.15"/>
    <row r="10096" customFormat="1" ht="13" x14ac:dyDescent="0.15"/>
    <row r="10097" customFormat="1" ht="13" x14ac:dyDescent="0.15"/>
    <row r="10098" customFormat="1" ht="13" x14ac:dyDescent="0.15"/>
    <row r="10099" customFormat="1" ht="13" x14ac:dyDescent="0.15"/>
    <row r="10100" customFormat="1" ht="13" x14ac:dyDescent="0.15"/>
    <row r="10101" customFormat="1" ht="13" x14ac:dyDescent="0.15"/>
    <row r="10102" customFormat="1" ht="13" x14ac:dyDescent="0.15"/>
    <row r="10103" customFormat="1" ht="13" x14ac:dyDescent="0.15"/>
    <row r="10104" customFormat="1" ht="13" x14ac:dyDescent="0.15"/>
    <row r="10105" customFormat="1" ht="13" x14ac:dyDescent="0.15"/>
    <row r="10106" customFormat="1" ht="13" x14ac:dyDescent="0.15"/>
    <row r="10107" customFormat="1" ht="13" x14ac:dyDescent="0.15"/>
    <row r="10108" customFormat="1" ht="13" x14ac:dyDescent="0.15"/>
    <row r="10109" customFormat="1" ht="13" x14ac:dyDescent="0.15"/>
    <row r="10110" customFormat="1" ht="13" x14ac:dyDescent="0.15"/>
    <row r="10111" customFormat="1" ht="13" x14ac:dyDescent="0.15"/>
    <row r="10112" customFormat="1" ht="13" x14ac:dyDescent="0.15"/>
    <row r="10113" customFormat="1" ht="13" x14ac:dyDescent="0.15"/>
    <row r="10114" customFormat="1" ht="13" x14ac:dyDescent="0.15"/>
    <row r="10115" customFormat="1" ht="13" x14ac:dyDescent="0.15"/>
    <row r="10116" customFormat="1" ht="13" x14ac:dyDescent="0.15"/>
    <row r="10117" customFormat="1" ht="13" x14ac:dyDescent="0.15"/>
    <row r="10118" customFormat="1" ht="13" x14ac:dyDescent="0.15"/>
    <row r="10119" customFormat="1" ht="13" x14ac:dyDescent="0.15"/>
    <row r="10120" customFormat="1" ht="13" x14ac:dyDescent="0.15"/>
    <row r="10121" customFormat="1" ht="13" x14ac:dyDescent="0.15"/>
    <row r="10122" customFormat="1" ht="13" x14ac:dyDescent="0.15"/>
    <row r="10123" customFormat="1" ht="13" x14ac:dyDescent="0.15"/>
    <row r="10124" customFormat="1" ht="13" x14ac:dyDescent="0.15"/>
    <row r="10125" customFormat="1" ht="13" x14ac:dyDescent="0.15"/>
    <row r="10126" customFormat="1" ht="13" x14ac:dyDescent="0.15"/>
    <row r="10127" customFormat="1" ht="13" x14ac:dyDescent="0.15"/>
    <row r="10128" customFormat="1" ht="13" x14ac:dyDescent="0.15"/>
    <row r="10129" customFormat="1" ht="13" x14ac:dyDescent="0.15"/>
    <row r="10130" customFormat="1" ht="13" x14ac:dyDescent="0.15"/>
    <row r="10131" customFormat="1" ht="13" x14ac:dyDescent="0.15"/>
    <row r="10132" customFormat="1" ht="13" x14ac:dyDescent="0.15"/>
    <row r="10133" customFormat="1" ht="13" x14ac:dyDescent="0.15"/>
    <row r="10134" customFormat="1" ht="13" x14ac:dyDescent="0.15"/>
    <row r="10135" customFormat="1" ht="13" x14ac:dyDescent="0.15"/>
    <row r="10136" customFormat="1" ht="13" x14ac:dyDescent="0.15"/>
    <row r="10137" customFormat="1" ht="13" x14ac:dyDescent="0.15"/>
    <row r="10138" customFormat="1" ht="13" x14ac:dyDescent="0.15"/>
    <row r="10139" customFormat="1" ht="13" x14ac:dyDescent="0.15"/>
    <row r="10140" customFormat="1" ht="13" x14ac:dyDescent="0.15"/>
    <row r="10141" customFormat="1" ht="13" x14ac:dyDescent="0.15"/>
    <row r="10142" customFormat="1" ht="13" x14ac:dyDescent="0.15"/>
    <row r="10143" customFormat="1" ht="13" x14ac:dyDescent="0.15"/>
    <row r="10144" customFormat="1" ht="13" x14ac:dyDescent="0.15"/>
    <row r="10145" customFormat="1" ht="13" x14ac:dyDescent="0.15"/>
    <row r="10146" customFormat="1" ht="13" x14ac:dyDescent="0.15"/>
    <row r="10147" customFormat="1" ht="13" x14ac:dyDescent="0.15"/>
    <row r="10148" customFormat="1" ht="13" x14ac:dyDescent="0.15"/>
    <row r="10149" customFormat="1" ht="13" x14ac:dyDescent="0.15"/>
    <row r="10150" customFormat="1" ht="13" x14ac:dyDescent="0.15"/>
    <row r="10151" customFormat="1" ht="13" x14ac:dyDescent="0.15"/>
    <row r="10152" customFormat="1" ht="13" x14ac:dyDescent="0.15"/>
    <row r="10153" customFormat="1" ht="13" x14ac:dyDescent="0.15"/>
    <row r="10154" customFormat="1" ht="13" x14ac:dyDescent="0.15"/>
    <row r="10155" customFormat="1" ht="13" x14ac:dyDescent="0.15"/>
    <row r="10156" customFormat="1" ht="13" x14ac:dyDescent="0.15"/>
    <row r="10157" customFormat="1" ht="13" x14ac:dyDescent="0.15"/>
    <row r="10158" customFormat="1" ht="13" x14ac:dyDescent="0.15"/>
    <row r="10159" customFormat="1" ht="13" x14ac:dyDescent="0.15"/>
    <row r="10160" customFormat="1" ht="13" x14ac:dyDescent="0.15"/>
    <row r="10161" customFormat="1" ht="13" x14ac:dyDescent="0.15"/>
    <row r="10162" customFormat="1" ht="13" x14ac:dyDescent="0.15"/>
    <row r="10163" customFormat="1" ht="13" x14ac:dyDescent="0.15"/>
    <row r="10164" customFormat="1" ht="13" x14ac:dyDescent="0.15"/>
    <row r="10165" customFormat="1" ht="13" x14ac:dyDescent="0.15"/>
    <row r="10166" customFormat="1" ht="13" x14ac:dyDescent="0.15"/>
    <row r="10167" customFormat="1" ht="13" x14ac:dyDescent="0.15"/>
    <row r="10168" customFormat="1" ht="13" x14ac:dyDescent="0.15"/>
    <row r="10169" customFormat="1" ht="13" x14ac:dyDescent="0.15"/>
    <row r="10170" customFormat="1" ht="13" x14ac:dyDescent="0.15"/>
    <row r="10171" customFormat="1" ht="13" x14ac:dyDescent="0.15"/>
    <row r="10172" customFormat="1" ht="13" x14ac:dyDescent="0.15"/>
    <row r="10173" customFormat="1" ht="13" x14ac:dyDescent="0.15"/>
    <row r="10174" customFormat="1" ht="13" x14ac:dyDescent="0.15"/>
  </sheetData>
  <sheetProtection algorithmName="SHA-512" hashValue="JrEGxXfk1kRgHXx3kk9FScHhXqLDYDuSw1EF2oUPgnA1Cj+baZXP49dIN0T7IJtIT5WtRpFlLQN2RugubLxfng==" saltValue="oI9y4CrqIfBOfZu5H5Jzi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3D7F-F385-A448-B574-73E241A408B3}">
  <sheetPr codeName="Sheet14"/>
  <dimension ref="A1:BW33"/>
  <sheetViews>
    <sheetView topLeftCell="D1" workbookViewId="0">
      <selection activeCell="N2" sqref="N2:N33"/>
    </sheetView>
  </sheetViews>
  <sheetFormatPr baseColWidth="10" defaultRowHeight="13" x14ac:dyDescent="0.15"/>
  <cols>
    <col min="11" max="11" width="17" bestFit="1" customWidth="1"/>
    <col min="12" max="12" width="19" bestFit="1" customWidth="1"/>
    <col min="74" max="74" width="17.33203125" customWidth="1"/>
  </cols>
  <sheetData>
    <row r="1" spans="1:75" ht="70" x14ac:dyDescent="0.15">
      <c r="A1" s="74" t="s">
        <v>265</v>
      </c>
      <c r="B1" s="74" t="s">
        <v>266</v>
      </c>
      <c r="C1" s="75" t="s">
        <v>267</v>
      </c>
      <c r="D1" s="76" t="s">
        <v>268</v>
      </c>
      <c r="E1" s="76" t="s">
        <v>269</v>
      </c>
      <c r="F1" s="76" t="s">
        <v>145</v>
      </c>
      <c r="G1" s="74" t="s">
        <v>146</v>
      </c>
      <c r="H1" s="77" t="s">
        <v>407</v>
      </c>
      <c r="I1" s="77" t="s">
        <v>276</v>
      </c>
      <c r="J1" s="77" t="s">
        <v>277</v>
      </c>
      <c r="K1" s="76" t="s">
        <v>278</v>
      </c>
      <c r="L1" s="78" t="s">
        <v>279</v>
      </c>
      <c r="M1" s="79" t="s">
        <v>280</v>
      </c>
      <c r="N1" s="80" t="s">
        <v>281</v>
      </c>
      <c r="O1" s="80" t="s">
        <v>282</v>
      </c>
      <c r="P1" s="80" t="s">
        <v>283</v>
      </c>
      <c r="Q1" s="80" t="s">
        <v>409</v>
      </c>
      <c r="R1" s="80" t="s">
        <v>410</v>
      </c>
      <c r="S1" s="80" t="s">
        <v>411</v>
      </c>
      <c r="T1" s="80" t="s">
        <v>412</v>
      </c>
      <c r="U1" s="80" t="s">
        <v>191</v>
      </c>
      <c r="V1" s="81" t="s">
        <v>99</v>
      </c>
      <c r="W1" s="82" t="s">
        <v>115</v>
      </c>
      <c r="X1" s="82" t="s">
        <v>210</v>
      </c>
      <c r="Y1" s="82" t="s">
        <v>213</v>
      </c>
      <c r="Z1" s="82" t="s">
        <v>214</v>
      </c>
      <c r="AA1" s="82" t="s">
        <v>215</v>
      </c>
      <c r="AB1" s="82" t="s">
        <v>216</v>
      </c>
      <c r="AC1" s="82" t="s">
        <v>217</v>
      </c>
      <c r="AD1" s="82" t="s">
        <v>218</v>
      </c>
      <c r="AE1" s="83" t="s">
        <v>219</v>
      </c>
      <c r="AF1" s="84" t="s">
        <v>112</v>
      </c>
      <c r="AG1" s="84" t="s">
        <v>113</v>
      </c>
      <c r="AH1" s="85" t="s">
        <v>114</v>
      </c>
      <c r="AI1" s="85" t="s">
        <v>316</v>
      </c>
      <c r="AJ1" s="85" t="s">
        <v>271</v>
      </c>
      <c r="AK1" s="85" t="s">
        <v>272</v>
      </c>
      <c r="AL1" s="85"/>
      <c r="AM1" s="85"/>
      <c r="AN1" s="85"/>
      <c r="AO1" s="86" t="s">
        <v>273</v>
      </c>
      <c r="AP1" s="87" t="s">
        <v>274</v>
      </c>
      <c r="AQ1" s="87" t="s">
        <v>275</v>
      </c>
      <c r="AR1" s="88" t="s">
        <v>170</v>
      </c>
      <c r="AS1" s="89" t="s">
        <v>616</v>
      </c>
      <c r="AT1" s="90" t="s">
        <v>150</v>
      </c>
      <c r="AU1" s="91" t="s">
        <v>151</v>
      </c>
      <c r="AV1" s="92" t="s">
        <v>152</v>
      </c>
      <c r="AW1" s="93" t="s">
        <v>176</v>
      </c>
      <c r="AX1" s="94" t="s">
        <v>177</v>
      </c>
      <c r="AY1" s="93" t="s">
        <v>297</v>
      </c>
      <c r="AZ1" s="94" t="s">
        <v>298</v>
      </c>
      <c r="BA1" s="93" t="s">
        <v>299</v>
      </c>
      <c r="BB1" s="94" t="s">
        <v>300</v>
      </c>
      <c r="BC1" s="93" t="s">
        <v>301</v>
      </c>
      <c r="BD1" s="95" t="s">
        <v>302</v>
      </c>
      <c r="BE1" s="158" t="s">
        <v>617</v>
      </c>
      <c r="BF1" s="159" t="s">
        <v>618</v>
      </c>
      <c r="BG1" s="93" t="s">
        <v>382</v>
      </c>
      <c r="BH1" s="95" t="s">
        <v>305</v>
      </c>
      <c r="BI1" s="77" t="s">
        <v>402</v>
      </c>
      <c r="BJ1" s="77" t="s">
        <v>403</v>
      </c>
      <c r="BK1" s="77" t="s">
        <v>404</v>
      </c>
      <c r="BL1" s="77" t="s">
        <v>405</v>
      </c>
      <c r="BM1" s="77" t="s">
        <v>619</v>
      </c>
      <c r="BN1" s="77" t="s">
        <v>620</v>
      </c>
      <c r="BO1" s="77" t="s">
        <v>621</v>
      </c>
      <c r="BP1" s="77" t="s">
        <v>622</v>
      </c>
      <c r="BQ1" s="75" t="s">
        <v>56</v>
      </c>
      <c r="BR1" s="75" t="s">
        <v>159</v>
      </c>
      <c r="BS1" s="77" t="s">
        <v>160</v>
      </c>
      <c r="BT1" s="77" t="s">
        <v>346</v>
      </c>
      <c r="BU1" s="75" t="s">
        <v>347</v>
      </c>
      <c r="BV1" s="77" t="s">
        <v>348</v>
      </c>
      <c r="BW1" s="74" t="s">
        <v>460</v>
      </c>
    </row>
    <row r="2" spans="1:75" x14ac:dyDescent="0.15">
      <c r="A2" s="96">
        <v>952</v>
      </c>
      <c r="B2" s="155">
        <v>41864</v>
      </c>
      <c r="C2" s="98" t="s">
        <v>27</v>
      </c>
      <c r="D2" s="99" t="s">
        <v>1</v>
      </c>
      <c r="E2" s="99"/>
      <c r="F2" s="99" t="s">
        <v>2</v>
      </c>
      <c r="G2" s="167">
        <v>41851</v>
      </c>
      <c r="H2" s="100" t="s">
        <v>8</v>
      </c>
      <c r="I2" s="100" t="s">
        <v>23</v>
      </c>
      <c r="J2" s="100"/>
      <c r="K2" s="99" t="s">
        <v>60</v>
      </c>
      <c r="L2" s="99" t="s">
        <v>422</v>
      </c>
      <c r="M2" s="99">
        <v>83</v>
      </c>
      <c r="N2" s="99">
        <v>37.799999999999997</v>
      </c>
      <c r="O2" s="99"/>
      <c r="P2" s="101"/>
      <c r="Q2" s="99"/>
      <c r="R2" s="101"/>
      <c r="S2" s="99"/>
      <c r="T2" s="101"/>
      <c r="U2" s="99"/>
      <c r="V2" s="99"/>
      <c r="W2" s="99"/>
      <c r="X2" s="99"/>
      <c r="Y2" s="99"/>
      <c r="Z2" s="101"/>
      <c r="AA2" s="99"/>
      <c r="AB2" s="101"/>
      <c r="AC2" s="99"/>
      <c r="AD2" s="99"/>
      <c r="AE2" s="99"/>
      <c r="AF2" s="101"/>
      <c r="AG2" s="99"/>
      <c r="AH2" s="99"/>
      <c r="AI2" s="99"/>
      <c r="AJ2" s="99"/>
      <c r="AK2" s="99"/>
      <c r="AL2" s="99"/>
      <c r="AM2" s="99"/>
      <c r="AN2" s="99"/>
      <c r="AO2" s="99" t="s">
        <v>16</v>
      </c>
      <c r="AP2" s="100" t="s">
        <v>23</v>
      </c>
      <c r="AQ2" s="100"/>
      <c r="AR2" s="100"/>
      <c r="AS2" s="102"/>
      <c r="AT2" s="100">
        <v>16.3</v>
      </c>
      <c r="AU2" s="100" t="s">
        <v>10</v>
      </c>
      <c r="AV2" s="99"/>
      <c r="AW2" s="100">
        <v>0</v>
      </c>
      <c r="AX2" s="100">
        <v>0</v>
      </c>
      <c r="AY2" s="100">
        <v>0</v>
      </c>
      <c r="AZ2" s="100">
        <v>11</v>
      </c>
      <c r="BA2" s="100">
        <v>0</v>
      </c>
      <c r="BB2" s="100">
        <v>0</v>
      </c>
      <c r="BC2" s="100">
        <v>0</v>
      </c>
      <c r="BD2" s="100">
        <v>0</v>
      </c>
      <c r="BE2" s="100">
        <v>0</v>
      </c>
      <c r="BF2" s="100">
        <v>0</v>
      </c>
      <c r="BG2" s="100">
        <v>0</v>
      </c>
      <c r="BH2" s="100">
        <v>0</v>
      </c>
      <c r="BI2" s="100"/>
      <c r="BJ2" s="100" t="s">
        <v>23</v>
      </c>
      <c r="BK2" s="100">
        <v>12</v>
      </c>
      <c r="BL2" s="100" t="s">
        <v>23</v>
      </c>
      <c r="BM2" s="100"/>
      <c r="BN2" s="100"/>
      <c r="BO2" s="100"/>
      <c r="BP2" s="100"/>
      <c r="BQ2" s="103"/>
      <c r="BR2" s="103"/>
      <c r="BS2" s="100"/>
      <c r="BT2" s="100" t="s">
        <v>9</v>
      </c>
      <c r="BU2" s="103"/>
      <c r="BV2" s="156" t="s">
        <v>570</v>
      </c>
      <c r="BW2" s="157" t="s">
        <v>426</v>
      </c>
    </row>
    <row r="3" spans="1:75" x14ac:dyDescent="0.15">
      <c r="A3" s="96">
        <v>956</v>
      </c>
      <c r="B3" s="155">
        <v>41865</v>
      </c>
      <c r="C3" s="98" t="s">
        <v>27</v>
      </c>
      <c r="D3" s="99" t="s">
        <v>1</v>
      </c>
      <c r="E3" s="99"/>
      <c r="F3" s="99" t="s">
        <v>2</v>
      </c>
      <c r="G3" s="165">
        <v>41865</v>
      </c>
      <c r="H3" s="100" t="s">
        <v>8</v>
      </c>
      <c r="I3" s="100" t="s">
        <v>23</v>
      </c>
      <c r="J3" s="100"/>
      <c r="K3" s="99" t="s">
        <v>310</v>
      </c>
      <c r="L3" s="99" t="s">
        <v>338</v>
      </c>
      <c r="M3" s="99">
        <v>83</v>
      </c>
      <c r="N3" s="99">
        <v>39</v>
      </c>
      <c r="O3" s="99" t="s">
        <v>15</v>
      </c>
      <c r="P3" s="101">
        <v>300</v>
      </c>
      <c r="Q3" s="99">
        <v>43.45</v>
      </c>
      <c r="R3" s="101">
        <v>1000</v>
      </c>
      <c r="S3" s="99">
        <v>43.45</v>
      </c>
      <c r="T3" s="101">
        <v>2500</v>
      </c>
      <c r="U3" s="99">
        <v>43.45</v>
      </c>
      <c r="V3" s="99"/>
      <c r="W3" s="99"/>
      <c r="X3" s="99"/>
      <c r="Y3" s="99"/>
      <c r="Z3" s="99"/>
      <c r="AA3" s="99"/>
      <c r="AB3" s="99"/>
      <c r="AC3" s="99"/>
      <c r="AD3" s="99"/>
      <c r="AE3" s="99"/>
      <c r="AF3" s="101"/>
      <c r="AG3" s="99"/>
      <c r="AH3" s="99"/>
      <c r="AI3" s="99"/>
      <c r="AJ3" s="99"/>
      <c r="AK3" s="99"/>
      <c r="AL3" s="99"/>
      <c r="AM3" s="99"/>
      <c r="AN3" s="99"/>
      <c r="AO3" s="99" t="s">
        <v>16</v>
      </c>
      <c r="AP3" s="100" t="s">
        <v>23</v>
      </c>
      <c r="AQ3" s="100"/>
      <c r="AR3" s="100"/>
      <c r="AS3" s="102"/>
      <c r="AT3" s="100">
        <v>9.5</v>
      </c>
      <c r="AU3" s="100" t="s">
        <v>23</v>
      </c>
      <c r="AV3" s="99"/>
      <c r="AW3" s="100">
        <v>0</v>
      </c>
      <c r="AX3" s="100">
        <v>0</v>
      </c>
      <c r="AY3" s="100">
        <v>0</v>
      </c>
      <c r="AZ3" s="100">
        <v>25</v>
      </c>
      <c r="BA3" s="100">
        <v>0</v>
      </c>
      <c r="BB3" s="100">
        <v>0</v>
      </c>
      <c r="BC3" s="100">
        <v>0</v>
      </c>
      <c r="BD3" s="100">
        <v>0</v>
      </c>
      <c r="BE3" s="100">
        <v>0</v>
      </c>
      <c r="BF3" s="100">
        <v>0</v>
      </c>
      <c r="BG3" s="100">
        <v>0</v>
      </c>
      <c r="BH3" s="100">
        <v>0</v>
      </c>
      <c r="BI3" s="163"/>
      <c r="BJ3" s="100" t="s">
        <v>23</v>
      </c>
      <c r="BK3" s="100">
        <v>24</v>
      </c>
      <c r="BL3" s="100" t="s">
        <v>23</v>
      </c>
      <c r="BM3" s="100"/>
      <c r="BN3" s="100"/>
      <c r="BO3" s="100"/>
      <c r="BP3" s="100"/>
      <c r="BQ3" s="99"/>
      <c r="BR3" s="99"/>
      <c r="BS3" s="100"/>
      <c r="BT3" s="100" t="s">
        <v>9</v>
      </c>
      <c r="BU3" s="99"/>
      <c r="BV3" s="156" t="s">
        <v>570</v>
      </c>
      <c r="BW3" s="157" t="s">
        <v>426</v>
      </c>
    </row>
    <row r="4" spans="1:75" x14ac:dyDescent="0.15">
      <c r="A4" s="96">
        <v>6224</v>
      </c>
      <c r="B4" s="155">
        <v>41839</v>
      </c>
      <c r="C4" s="98" t="s">
        <v>27</v>
      </c>
      <c r="D4" s="99" t="s">
        <v>1</v>
      </c>
      <c r="E4" s="99"/>
      <c r="F4" s="99" t="s">
        <v>2</v>
      </c>
      <c r="G4" s="97">
        <v>41698</v>
      </c>
      <c r="H4" s="100" t="s">
        <v>23</v>
      </c>
      <c r="I4" s="100" t="s">
        <v>59</v>
      </c>
      <c r="J4" s="100"/>
      <c r="K4" s="99" t="s">
        <v>209</v>
      </c>
      <c r="L4" s="99" t="s">
        <v>623</v>
      </c>
      <c r="M4" s="99">
        <v>90.6</v>
      </c>
      <c r="N4" s="99">
        <v>47.8</v>
      </c>
      <c r="O4" s="99" t="s">
        <v>15</v>
      </c>
      <c r="P4" s="101">
        <v>1000</v>
      </c>
      <c r="Q4" s="99">
        <v>50</v>
      </c>
      <c r="R4" s="162">
        <v>1000</v>
      </c>
      <c r="S4" s="162">
        <v>50</v>
      </c>
      <c r="T4" s="162">
        <v>1000</v>
      </c>
      <c r="U4" s="162">
        <v>50</v>
      </c>
      <c r="V4" s="99"/>
      <c r="W4" s="99"/>
      <c r="X4" s="99"/>
      <c r="Y4" s="99"/>
      <c r="Z4" s="99"/>
      <c r="AA4" s="99"/>
      <c r="AB4" s="99"/>
      <c r="AC4" s="99"/>
      <c r="AD4" s="99"/>
      <c r="AE4" s="99"/>
      <c r="AF4" s="101"/>
      <c r="AG4" s="99"/>
      <c r="AH4" s="99"/>
      <c r="AI4" s="99"/>
      <c r="AJ4" s="99"/>
      <c r="AK4" s="99"/>
      <c r="AL4" s="99"/>
      <c r="AM4" s="99"/>
      <c r="AN4" s="99"/>
      <c r="AO4" s="99" t="s">
        <v>16</v>
      </c>
      <c r="AP4" s="100" t="s">
        <v>23</v>
      </c>
      <c r="AQ4" s="100"/>
      <c r="AR4" s="100"/>
      <c r="AS4" s="102"/>
      <c r="AT4" s="100"/>
      <c r="AU4" s="100" t="s">
        <v>23</v>
      </c>
      <c r="AV4" s="99"/>
      <c r="AW4" s="100">
        <v>0</v>
      </c>
      <c r="AX4" s="100">
        <v>0</v>
      </c>
      <c r="AY4" s="100">
        <v>25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>
        <v>0</v>
      </c>
      <c r="BH4" s="100">
        <v>0</v>
      </c>
      <c r="BI4" s="100"/>
      <c r="BJ4" s="100" t="s">
        <v>23</v>
      </c>
      <c r="BK4" s="100"/>
      <c r="BL4" s="100" t="s">
        <v>23</v>
      </c>
      <c r="BM4" s="100"/>
      <c r="BN4" s="100"/>
      <c r="BO4" s="100"/>
      <c r="BP4" s="100"/>
      <c r="BQ4" s="103"/>
      <c r="BR4" s="99"/>
      <c r="BS4" s="100"/>
      <c r="BT4" s="100" t="s">
        <v>9</v>
      </c>
      <c r="BU4" s="103" t="s">
        <v>487</v>
      </c>
      <c r="BV4" t="s">
        <v>572</v>
      </c>
      <c r="BW4" s="157" t="s">
        <v>588</v>
      </c>
    </row>
    <row r="5" spans="1:75" x14ac:dyDescent="0.15">
      <c r="A5" s="96">
        <v>958</v>
      </c>
      <c r="B5" s="155">
        <v>41864</v>
      </c>
      <c r="C5" s="98" t="s">
        <v>624</v>
      </c>
      <c r="D5" s="99" t="s">
        <v>625</v>
      </c>
      <c r="E5" s="99"/>
      <c r="F5" s="99" t="s">
        <v>626</v>
      </c>
      <c r="G5" s="165">
        <v>41847</v>
      </c>
      <c r="H5" s="100" t="s">
        <v>627</v>
      </c>
      <c r="I5" s="100" t="s">
        <v>628</v>
      </c>
      <c r="J5" s="100"/>
      <c r="K5" s="99" t="s">
        <v>629</v>
      </c>
      <c r="L5" s="99" t="s">
        <v>630</v>
      </c>
      <c r="M5" s="99">
        <v>80.95</v>
      </c>
      <c r="N5" s="99">
        <v>40.9</v>
      </c>
      <c r="O5" s="99" t="s">
        <v>631</v>
      </c>
      <c r="P5" s="101">
        <v>1000</v>
      </c>
      <c r="Q5" s="99">
        <v>44.4</v>
      </c>
      <c r="R5" s="162">
        <v>1000</v>
      </c>
      <c r="S5" s="99">
        <v>44.4</v>
      </c>
      <c r="T5" s="162">
        <v>1000</v>
      </c>
      <c r="U5" s="99">
        <v>44.4</v>
      </c>
      <c r="V5" s="99"/>
      <c r="W5" s="99"/>
      <c r="X5" s="99"/>
      <c r="Y5" s="99"/>
      <c r="Z5" s="99"/>
      <c r="AA5" s="99"/>
      <c r="AB5" s="99"/>
      <c r="AC5" s="99"/>
      <c r="AD5" s="99"/>
      <c r="AE5" s="99"/>
      <c r="AF5" s="101"/>
      <c r="AG5" s="99"/>
      <c r="AH5" s="99"/>
      <c r="AI5" s="99"/>
      <c r="AJ5" s="99"/>
      <c r="AK5" s="99"/>
      <c r="AL5" s="99"/>
      <c r="AM5" s="99"/>
      <c r="AN5" s="99"/>
      <c r="AO5" s="99" t="s">
        <v>632</v>
      </c>
      <c r="AP5" s="100" t="s">
        <v>628</v>
      </c>
      <c r="AQ5" s="100"/>
      <c r="AR5" s="100"/>
      <c r="AS5" s="102"/>
      <c r="AT5" s="100">
        <v>11.6</v>
      </c>
      <c r="AU5" s="100" t="s">
        <v>628</v>
      </c>
      <c r="AV5" s="99"/>
      <c r="AW5" s="100">
        <v>0</v>
      </c>
      <c r="AX5" s="100">
        <v>0</v>
      </c>
      <c r="AY5" s="100">
        <v>0</v>
      </c>
      <c r="AZ5" s="100">
        <v>20</v>
      </c>
      <c r="BA5" s="100">
        <v>0</v>
      </c>
      <c r="BB5" s="100">
        <v>0</v>
      </c>
      <c r="BC5" s="100">
        <v>0</v>
      </c>
      <c r="BD5" s="100">
        <v>0</v>
      </c>
      <c r="BE5" s="100">
        <v>0</v>
      </c>
      <c r="BF5" s="100">
        <v>0</v>
      </c>
      <c r="BG5" s="100">
        <v>0</v>
      </c>
      <c r="BH5" s="100">
        <v>0</v>
      </c>
      <c r="BI5" s="100"/>
      <c r="BJ5" s="100" t="s">
        <v>628</v>
      </c>
      <c r="BK5" s="100"/>
      <c r="BL5" s="100" t="s">
        <v>628</v>
      </c>
      <c r="BM5" s="100"/>
      <c r="BN5" s="100"/>
      <c r="BO5" s="100"/>
      <c r="BP5" s="100"/>
      <c r="BQ5" s="99" t="s">
        <v>633</v>
      </c>
      <c r="BR5" s="99"/>
      <c r="BS5" s="100"/>
      <c r="BT5" s="100" t="s">
        <v>634</v>
      </c>
      <c r="BU5" s="99"/>
      <c r="BV5" t="s">
        <v>635</v>
      </c>
      <c r="BW5" s="70" t="s">
        <v>426</v>
      </c>
    </row>
    <row r="6" spans="1:75" x14ac:dyDescent="0.15">
      <c r="A6" s="96">
        <v>960</v>
      </c>
      <c r="B6" s="155">
        <v>41839</v>
      </c>
      <c r="C6" s="98" t="s">
        <v>27</v>
      </c>
      <c r="D6" s="99" t="s">
        <v>1</v>
      </c>
      <c r="E6" s="99"/>
      <c r="F6" s="99" t="s">
        <v>2</v>
      </c>
      <c r="G6" s="104">
        <v>41820</v>
      </c>
      <c r="H6" s="100" t="s">
        <v>8</v>
      </c>
      <c r="I6" s="100" t="s">
        <v>23</v>
      </c>
      <c r="J6" s="100"/>
      <c r="K6" s="99" t="s">
        <v>97</v>
      </c>
      <c r="L6" s="99" t="s">
        <v>14</v>
      </c>
      <c r="M6" s="99">
        <v>86.95</v>
      </c>
      <c r="N6" s="160">
        <v>33.26</v>
      </c>
      <c r="O6" s="99" t="s">
        <v>15</v>
      </c>
      <c r="P6" s="101">
        <v>300</v>
      </c>
      <c r="Q6" s="99">
        <v>35.89</v>
      </c>
      <c r="R6" s="101">
        <v>1000</v>
      </c>
      <c r="S6" s="99">
        <v>38.950000000000003</v>
      </c>
      <c r="T6" s="101">
        <v>2500</v>
      </c>
      <c r="U6" s="99">
        <v>39.869999999999997</v>
      </c>
      <c r="V6" s="99"/>
      <c r="W6" s="99"/>
      <c r="X6" s="99"/>
      <c r="Y6" s="99"/>
      <c r="Z6" s="99"/>
      <c r="AA6" s="99"/>
      <c r="AB6" s="99"/>
      <c r="AC6" s="99"/>
      <c r="AD6" s="99"/>
      <c r="AE6" s="99"/>
      <c r="AF6" s="101"/>
      <c r="AG6" s="99"/>
      <c r="AH6" s="99"/>
      <c r="AI6" s="99"/>
      <c r="AJ6" s="99"/>
      <c r="AK6" s="99"/>
      <c r="AL6" s="99"/>
      <c r="AM6" s="99"/>
      <c r="AN6" s="99"/>
      <c r="AO6" s="99" t="s">
        <v>16</v>
      </c>
      <c r="AP6" s="100" t="s">
        <v>23</v>
      </c>
      <c r="AQ6" s="100"/>
      <c r="AR6" s="100"/>
      <c r="AS6" s="102">
        <v>10</v>
      </c>
      <c r="AT6" s="100">
        <v>12</v>
      </c>
      <c r="AU6" s="100" t="s">
        <v>23</v>
      </c>
      <c r="AV6" s="99"/>
      <c r="AW6" s="100">
        <v>0</v>
      </c>
      <c r="AX6" s="100">
        <v>0</v>
      </c>
      <c r="AY6" s="100">
        <v>7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0</v>
      </c>
      <c r="BF6" s="100">
        <v>0</v>
      </c>
      <c r="BG6" s="100">
        <v>0</v>
      </c>
      <c r="BH6" s="100">
        <v>0</v>
      </c>
      <c r="BI6" s="100"/>
      <c r="BJ6" s="100" t="s">
        <v>23</v>
      </c>
      <c r="BK6" s="100"/>
      <c r="BL6" s="100" t="s">
        <v>23</v>
      </c>
      <c r="BM6" s="100"/>
      <c r="BN6" s="100"/>
      <c r="BO6" s="100"/>
      <c r="BP6" s="100"/>
      <c r="BQ6" s="99"/>
      <c r="BR6" s="99"/>
      <c r="BS6" s="100"/>
      <c r="BT6" s="100" t="s">
        <v>9</v>
      </c>
      <c r="BU6" s="99"/>
      <c r="BV6" t="s">
        <v>570</v>
      </c>
      <c r="BW6" s="157" t="s">
        <v>426</v>
      </c>
    </row>
    <row r="7" spans="1:75" x14ac:dyDescent="0.15">
      <c r="A7" s="96">
        <v>962</v>
      </c>
      <c r="B7" s="155">
        <v>41864</v>
      </c>
      <c r="C7" s="98" t="s">
        <v>624</v>
      </c>
      <c r="D7" s="99" t="s">
        <v>625</v>
      </c>
      <c r="E7" s="99"/>
      <c r="F7" s="99" t="s">
        <v>626</v>
      </c>
      <c r="G7" s="165">
        <v>41846</v>
      </c>
      <c r="H7" s="100" t="s">
        <v>627</v>
      </c>
      <c r="I7" s="100" t="s">
        <v>628</v>
      </c>
      <c r="J7" s="100"/>
      <c r="K7" s="99" t="s">
        <v>636</v>
      </c>
      <c r="L7" s="99" t="s">
        <v>630</v>
      </c>
      <c r="M7" s="99">
        <v>80.95</v>
      </c>
      <c r="N7" s="99">
        <v>42.65</v>
      </c>
      <c r="O7" s="99" t="s">
        <v>631</v>
      </c>
      <c r="P7" s="101">
        <v>1000</v>
      </c>
      <c r="Q7" s="99">
        <v>46.25</v>
      </c>
      <c r="R7" s="162">
        <v>1000</v>
      </c>
      <c r="S7" s="99">
        <v>46.25</v>
      </c>
      <c r="T7" s="162">
        <v>1000</v>
      </c>
      <c r="U7" s="99">
        <v>46.25</v>
      </c>
      <c r="V7" s="99"/>
      <c r="W7" s="99"/>
      <c r="X7" s="99"/>
      <c r="Y7" s="99"/>
      <c r="Z7" s="99"/>
      <c r="AA7" s="99"/>
      <c r="AB7" s="99"/>
      <c r="AC7" s="99"/>
      <c r="AD7" s="99"/>
      <c r="AE7" s="99"/>
      <c r="AF7" s="101"/>
      <c r="AG7" s="99"/>
      <c r="AH7" s="99"/>
      <c r="AI7" s="99"/>
      <c r="AJ7" s="99"/>
      <c r="AK7" s="99"/>
      <c r="AL7" s="99"/>
      <c r="AM7" s="99"/>
      <c r="AN7" s="99"/>
      <c r="AO7" s="99" t="s">
        <v>632</v>
      </c>
      <c r="AP7" s="100" t="s">
        <v>628</v>
      </c>
      <c r="AQ7" s="100"/>
      <c r="AR7" s="100"/>
      <c r="AS7" s="102"/>
      <c r="AT7" s="100">
        <v>11.6</v>
      </c>
      <c r="AU7" s="100" t="s">
        <v>637</v>
      </c>
      <c r="AV7" s="99"/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25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0</v>
      </c>
      <c r="BI7" s="100"/>
      <c r="BJ7" s="100" t="s">
        <v>628</v>
      </c>
      <c r="BK7" s="100"/>
      <c r="BL7" s="100" t="s">
        <v>628</v>
      </c>
      <c r="BM7" s="100"/>
      <c r="BN7" s="100"/>
      <c r="BO7" s="100"/>
      <c r="BP7" s="100"/>
      <c r="BQ7" s="99"/>
      <c r="BR7" s="99"/>
      <c r="BS7" s="100"/>
      <c r="BT7" s="100" t="s">
        <v>634</v>
      </c>
      <c r="BU7" s="99"/>
      <c r="BV7" s="156" t="s">
        <v>570</v>
      </c>
      <c r="BW7" s="70" t="s">
        <v>426</v>
      </c>
    </row>
    <row r="8" spans="1:75" x14ac:dyDescent="0.15">
      <c r="A8" s="96">
        <v>3301</v>
      </c>
      <c r="B8" s="155">
        <v>41864</v>
      </c>
      <c r="C8" s="98" t="s">
        <v>27</v>
      </c>
      <c r="D8" s="99" t="s">
        <v>1</v>
      </c>
      <c r="E8" s="99"/>
      <c r="F8" s="99" t="s">
        <v>2</v>
      </c>
      <c r="G8" s="165">
        <v>41859</v>
      </c>
      <c r="H8" s="100" t="s">
        <v>8</v>
      </c>
      <c r="I8" s="100" t="s">
        <v>23</v>
      </c>
      <c r="J8" s="100"/>
      <c r="K8" s="99" t="s">
        <v>90</v>
      </c>
      <c r="L8" s="99" t="s">
        <v>649</v>
      </c>
      <c r="M8" s="99">
        <v>89.6</v>
      </c>
      <c r="N8" s="99">
        <v>42.27</v>
      </c>
      <c r="O8" s="99" t="s">
        <v>15</v>
      </c>
      <c r="P8" s="101">
        <v>1000</v>
      </c>
      <c r="Q8" s="99">
        <v>45.43</v>
      </c>
      <c r="R8" s="162">
        <v>1000</v>
      </c>
      <c r="S8" s="99">
        <v>45.43</v>
      </c>
      <c r="T8" s="162">
        <v>1000</v>
      </c>
      <c r="U8" s="99">
        <v>45.43</v>
      </c>
      <c r="V8" s="99"/>
      <c r="W8" s="99"/>
      <c r="X8" s="101"/>
      <c r="Y8" s="99"/>
      <c r="Z8" s="101"/>
      <c r="AA8" s="99"/>
      <c r="AB8" s="101"/>
      <c r="AC8" s="99"/>
      <c r="AD8" s="99"/>
      <c r="AE8" s="99"/>
      <c r="AF8" s="101"/>
      <c r="AG8" s="99"/>
      <c r="AH8" s="99"/>
      <c r="AI8" s="99"/>
      <c r="AJ8" s="99"/>
      <c r="AK8" s="99"/>
      <c r="AL8" s="99"/>
      <c r="AM8" s="99"/>
      <c r="AN8" s="99"/>
      <c r="AO8" s="99" t="s">
        <v>16</v>
      </c>
      <c r="AP8" s="100" t="s">
        <v>23</v>
      </c>
      <c r="AQ8" s="100"/>
      <c r="AR8" s="100"/>
      <c r="AS8" s="102"/>
      <c r="AT8" s="100">
        <v>15</v>
      </c>
      <c r="AU8" s="100" t="s">
        <v>10</v>
      </c>
      <c r="AV8" s="99"/>
      <c r="AW8" s="100">
        <v>0</v>
      </c>
      <c r="AX8" s="100">
        <v>20</v>
      </c>
      <c r="AY8" s="100">
        <v>0</v>
      </c>
      <c r="AZ8" s="100">
        <v>0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>
        <v>0</v>
      </c>
      <c r="BH8" s="100">
        <v>0</v>
      </c>
      <c r="BI8" s="100"/>
      <c r="BJ8" s="100" t="s">
        <v>23</v>
      </c>
      <c r="BK8" s="100">
        <v>12</v>
      </c>
      <c r="BL8" s="100" t="s">
        <v>23</v>
      </c>
      <c r="BM8" s="100"/>
      <c r="BN8" s="100"/>
      <c r="BO8" s="100"/>
      <c r="BP8" s="100"/>
      <c r="BQ8" s="103" t="s">
        <v>549</v>
      </c>
      <c r="BR8" s="103" t="s">
        <v>64</v>
      </c>
      <c r="BS8" s="100">
        <v>50</v>
      </c>
      <c r="BT8" s="100" t="s">
        <v>9</v>
      </c>
      <c r="BU8" s="99"/>
      <c r="BV8" t="s">
        <v>570</v>
      </c>
      <c r="BW8" s="157" t="s">
        <v>426</v>
      </c>
    </row>
    <row r="9" spans="1:75" x14ac:dyDescent="0.15">
      <c r="A9" s="96">
        <v>980</v>
      </c>
      <c r="B9" s="155">
        <v>41865</v>
      </c>
      <c r="C9" s="98" t="s">
        <v>27</v>
      </c>
      <c r="D9" s="99" t="s">
        <v>1</v>
      </c>
      <c r="E9" s="99"/>
      <c r="F9" s="99" t="s">
        <v>2</v>
      </c>
      <c r="G9" s="165">
        <v>41851</v>
      </c>
      <c r="H9" s="100" t="s">
        <v>8</v>
      </c>
      <c r="I9" s="100" t="s">
        <v>23</v>
      </c>
      <c r="J9" s="100"/>
      <c r="K9" s="99" t="s">
        <v>296</v>
      </c>
      <c r="L9" s="99" t="s">
        <v>5</v>
      </c>
      <c r="M9" s="99">
        <v>88</v>
      </c>
      <c r="N9" s="99">
        <v>39</v>
      </c>
      <c r="O9" s="99" t="s">
        <v>15</v>
      </c>
      <c r="P9" s="101">
        <v>1000</v>
      </c>
      <c r="Q9" s="99">
        <v>39.5</v>
      </c>
      <c r="R9" s="162">
        <v>1000</v>
      </c>
      <c r="S9" s="99">
        <v>39.5</v>
      </c>
      <c r="T9" s="162">
        <v>1000</v>
      </c>
      <c r="U9" s="99">
        <v>39.5</v>
      </c>
      <c r="V9" s="99"/>
      <c r="W9" s="99"/>
      <c r="X9" s="99"/>
      <c r="Y9" s="99"/>
      <c r="Z9" s="99"/>
      <c r="AA9" s="99"/>
      <c r="AB9" s="99"/>
      <c r="AC9" s="99"/>
      <c r="AD9" s="99"/>
      <c r="AE9" s="99"/>
      <c r="AF9" s="101"/>
      <c r="AG9" s="99"/>
      <c r="AH9" s="99"/>
      <c r="AI9" s="99"/>
      <c r="AJ9" s="99"/>
      <c r="AK9" s="99"/>
      <c r="AL9" s="99"/>
      <c r="AM9" s="99"/>
      <c r="AN9" s="99"/>
      <c r="AO9" s="99" t="s">
        <v>16</v>
      </c>
      <c r="AP9" s="100" t="s">
        <v>23</v>
      </c>
      <c r="AQ9" s="100"/>
      <c r="AR9" s="100"/>
      <c r="AS9" s="102"/>
      <c r="AT9" s="100">
        <v>16</v>
      </c>
      <c r="AU9" s="161" t="s">
        <v>638</v>
      </c>
      <c r="AV9" s="99"/>
      <c r="AW9" s="100">
        <v>0</v>
      </c>
      <c r="AX9" s="100">
        <v>0</v>
      </c>
      <c r="AY9" s="100">
        <v>15</v>
      </c>
      <c r="AZ9" s="100">
        <v>0</v>
      </c>
      <c r="BA9" s="100">
        <v>0</v>
      </c>
      <c r="BB9" s="100">
        <v>0</v>
      </c>
      <c r="BC9" s="100">
        <v>0</v>
      </c>
      <c r="BD9" s="100">
        <v>0</v>
      </c>
      <c r="BE9" s="100">
        <v>0</v>
      </c>
      <c r="BF9" s="100">
        <v>0</v>
      </c>
      <c r="BG9" s="100">
        <v>0</v>
      </c>
      <c r="BH9" s="100">
        <v>0</v>
      </c>
      <c r="BI9" s="100"/>
      <c r="BJ9" s="100" t="s">
        <v>23</v>
      </c>
      <c r="BK9" s="100"/>
      <c r="BL9" s="100" t="s">
        <v>23</v>
      </c>
      <c r="BM9" s="100"/>
      <c r="BN9" s="100"/>
      <c r="BO9" s="100"/>
      <c r="BP9" s="100"/>
      <c r="BQ9" s="99" t="s">
        <v>6</v>
      </c>
      <c r="BR9" s="99"/>
      <c r="BS9" s="100"/>
      <c r="BT9" s="100" t="s">
        <v>9</v>
      </c>
      <c r="BU9" s="99"/>
      <c r="BV9" s="156" t="s">
        <v>570</v>
      </c>
      <c r="BW9" s="157" t="s">
        <v>426</v>
      </c>
    </row>
    <row r="10" spans="1:75" x14ac:dyDescent="0.15">
      <c r="A10" s="96">
        <v>988</v>
      </c>
      <c r="B10" s="155">
        <v>41839</v>
      </c>
      <c r="C10" s="98" t="s">
        <v>624</v>
      </c>
      <c r="D10" s="99" t="s">
        <v>625</v>
      </c>
      <c r="E10" s="99"/>
      <c r="F10" s="99" t="s">
        <v>626</v>
      </c>
      <c r="G10" s="97">
        <v>41820</v>
      </c>
      <c r="H10" s="100" t="s">
        <v>627</v>
      </c>
      <c r="I10" s="100" t="s">
        <v>628</v>
      </c>
      <c r="J10" s="100"/>
      <c r="K10" s="99" t="s">
        <v>639</v>
      </c>
      <c r="L10" s="99" t="s">
        <v>640</v>
      </c>
      <c r="M10" s="99">
        <v>96.97</v>
      </c>
      <c r="N10" s="99">
        <v>36.57</v>
      </c>
      <c r="O10" s="99" t="s">
        <v>631</v>
      </c>
      <c r="P10" s="101">
        <v>600</v>
      </c>
      <c r="Q10" s="99">
        <v>36.57</v>
      </c>
      <c r="R10" s="162">
        <v>600</v>
      </c>
      <c r="S10" s="162">
        <v>36.57</v>
      </c>
      <c r="T10" s="162">
        <v>600</v>
      </c>
      <c r="U10" s="162">
        <v>36.57</v>
      </c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101"/>
      <c r="AG10" s="99"/>
      <c r="AH10" s="99"/>
      <c r="AI10" s="99"/>
      <c r="AJ10" s="99"/>
      <c r="AK10" s="99"/>
      <c r="AL10" s="99"/>
      <c r="AM10" s="99"/>
      <c r="AN10" s="99"/>
      <c r="AO10" s="99" t="s">
        <v>632</v>
      </c>
      <c r="AP10" s="100" t="s">
        <v>628</v>
      </c>
      <c r="AQ10" s="100"/>
      <c r="AR10" s="100"/>
      <c r="AS10" s="102"/>
      <c r="AT10" s="100">
        <v>6.8</v>
      </c>
      <c r="AU10" s="100" t="s">
        <v>628</v>
      </c>
      <c r="AV10" s="99"/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0</v>
      </c>
      <c r="BH10" s="100">
        <v>0</v>
      </c>
      <c r="BI10" s="100"/>
      <c r="BJ10" s="100" t="s">
        <v>23</v>
      </c>
      <c r="BK10" s="100">
        <v>12</v>
      </c>
      <c r="BL10" s="100" t="s">
        <v>628</v>
      </c>
      <c r="BM10" s="100"/>
      <c r="BN10" s="100"/>
      <c r="BO10" s="100"/>
      <c r="BP10" s="100"/>
      <c r="BQ10" s="99"/>
      <c r="BR10" s="99"/>
      <c r="BS10" s="100"/>
      <c r="BT10" s="100" t="s">
        <v>634</v>
      </c>
      <c r="BU10" s="99"/>
      <c r="BV10" s="156" t="s">
        <v>570</v>
      </c>
      <c r="BW10" s="157" t="s">
        <v>426</v>
      </c>
    </row>
    <row r="11" spans="1:75" x14ac:dyDescent="0.15">
      <c r="A11" s="96">
        <v>2283</v>
      </c>
      <c r="B11" s="155">
        <v>41865</v>
      </c>
      <c r="C11" s="98" t="s">
        <v>27</v>
      </c>
      <c r="D11" s="99" t="s">
        <v>1</v>
      </c>
      <c r="E11" s="99"/>
      <c r="F11" s="99" t="s">
        <v>2</v>
      </c>
      <c r="G11" s="164">
        <v>41851</v>
      </c>
      <c r="H11" s="100" t="s">
        <v>8</v>
      </c>
      <c r="I11" s="100" t="s">
        <v>23</v>
      </c>
      <c r="J11" s="100"/>
      <c r="K11" s="99" t="s">
        <v>29</v>
      </c>
      <c r="L11" s="99" t="s">
        <v>30</v>
      </c>
      <c r="M11" s="99">
        <v>82.12</v>
      </c>
      <c r="N11" s="99">
        <v>36.380000000000003</v>
      </c>
      <c r="O11" s="99" t="s">
        <v>15</v>
      </c>
      <c r="P11" s="101">
        <v>1000</v>
      </c>
      <c r="Q11" s="99">
        <v>38.840000000000003</v>
      </c>
      <c r="R11" s="162">
        <v>1000</v>
      </c>
      <c r="S11" s="99">
        <v>38.840000000000003</v>
      </c>
      <c r="T11" s="162">
        <v>1000</v>
      </c>
      <c r="U11" s="99">
        <v>38.840000000000003</v>
      </c>
      <c r="V11" s="99"/>
      <c r="W11" s="99"/>
      <c r="X11" s="99"/>
      <c r="Y11" s="99"/>
      <c r="Z11" s="101"/>
      <c r="AA11" s="99"/>
      <c r="AB11" s="101"/>
      <c r="AC11" s="99"/>
      <c r="AD11" s="99"/>
      <c r="AE11" s="99"/>
      <c r="AF11" s="101"/>
      <c r="AG11" s="99"/>
      <c r="AH11" s="99"/>
      <c r="AI11" s="99"/>
      <c r="AJ11" s="99"/>
      <c r="AK11" s="99"/>
      <c r="AL11" s="99"/>
      <c r="AM11" s="99"/>
      <c r="AN11" s="99"/>
      <c r="AO11" s="99" t="s">
        <v>16</v>
      </c>
      <c r="AP11" s="100" t="s">
        <v>23</v>
      </c>
      <c r="AQ11" s="100"/>
      <c r="AR11" s="100"/>
      <c r="AS11" s="102"/>
      <c r="AT11" s="100">
        <v>10</v>
      </c>
      <c r="AU11" s="100" t="s">
        <v>10</v>
      </c>
      <c r="AV11" s="99"/>
      <c r="AW11" s="100">
        <v>0</v>
      </c>
      <c r="AX11" s="100">
        <v>0</v>
      </c>
      <c r="AY11" s="100">
        <v>0</v>
      </c>
      <c r="AZ11" s="100">
        <v>10</v>
      </c>
      <c r="BA11" s="100">
        <v>0</v>
      </c>
      <c r="BB11" s="100">
        <v>0</v>
      </c>
      <c r="BC11" s="100">
        <v>0</v>
      </c>
      <c r="BD11" s="100">
        <v>0</v>
      </c>
      <c r="BE11" s="100">
        <v>0</v>
      </c>
      <c r="BF11" s="100">
        <v>0</v>
      </c>
      <c r="BG11" s="100">
        <v>0</v>
      </c>
      <c r="BH11" s="100">
        <v>0</v>
      </c>
      <c r="BI11" s="100"/>
      <c r="BJ11" s="100" t="s">
        <v>23</v>
      </c>
      <c r="BK11" s="100">
        <v>12</v>
      </c>
      <c r="BL11" s="100" t="s">
        <v>23</v>
      </c>
      <c r="BM11" s="100"/>
      <c r="BN11" s="100"/>
      <c r="BO11" s="100"/>
      <c r="BP11" s="100"/>
      <c r="BQ11" s="103"/>
      <c r="BR11" s="103"/>
      <c r="BS11" s="100"/>
      <c r="BT11" s="100" t="s">
        <v>9</v>
      </c>
      <c r="BU11" s="103"/>
      <c r="BV11" s="156" t="s">
        <v>570</v>
      </c>
      <c r="BW11" s="156" t="s">
        <v>426</v>
      </c>
    </row>
    <row r="12" spans="1:75" x14ac:dyDescent="0.15">
      <c r="A12" s="96">
        <v>3783</v>
      </c>
      <c r="B12" s="155">
        <v>41839</v>
      </c>
      <c r="C12" s="98" t="s">
        <v>27</v>
      </c>
      <c r="D12" s="99" t="s">
        <v>1</v>
      </c>
      <c r="E12" s="99"/>
      <c r="F12" s="99" t="s">
        <v>2</v>
      </c>
      <c r="G12" s="97">
        <v>41823</v>
      </c>
      <c r="H12" s="100" t="s">
        <v>8</v>
      </c>
      <c r="I12" s="100" t="s">
        <v>23</v>
      </c>
      <c r="J12" s="100"/>
      <c r="K12" s="99" t="s">
        <v>122</v>
      </c>
      <c r="L12" s="99" t="s">
        <v>236</v>
      </c>
      <c r="M12" s="99">
        <v>83</v>
      </c>
      <c r="N12" s="99">
        <v>37.799999999999997</v>
      </c>
      <c r="O12" s="99"/>
      <c r="P12" s="101"/>
      <c r="Q12" s="99"/>
      <c r="R12" s="101"/>
      <c r="S12" s="99"/>
      <c r="T12" s="101"/>
      <c r="U12" s="99"/>
      <c r="V12" s="99"/>
      <c r="W12" s="99"/>
      <c r="X12" s="99"/>
      <c r="Y12" s="99"/>
      <c r="Z12" s="101"/>
      <c r="AA12" s="99"/>
      <c r="AB12" s="101"/>
      <c r="AC12" s="99"/>
      <c r="AD12" s="99"/>
      <c r="AE12" s="99"/>
      <c r="AF12" s="101"/>
      <c r="AG12" s="99"/>
      <c r="AH12" s="99"/>
      <c r="AI12" s="99"/>
      <c r="AJ12" s="99"/>
      <c r="AK12" s="99"/>
      <c r="AL12" s="99"/>
      <c r="AM12" s="99"/>
      <c r="AN12" s="99"/>
      <c r="AO12" s="99" t="s">
        <v>16</v>
      </c>
      <c r="AP12" s="100" t="s">
        <v>23</v>
      </c>
      <c r="AQ12" s="100"/>
      <c r="AR12" s="100"/>
      <c r="AS12" s="102"/>
      <c r="AT12" s="100">
        <v>16.3</v>
      </c>
      <c r="AU12" s="100" t="s">
        <v>10</v>
      </c>
      <c r="AV12" s="99"/>
      <c r="AW12" s="100">
        <v>0</v>
      </c>
      <c r="AX12" s="100">
        <v>0</v>
      </c>
      <c r="AY12" s="100">
        <v>0</v>
      </c>
      <c r="AZ12" s="100">
        <v>17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0</v>
      </c>
      <c r="BH12" s="100">
        <v>0</v>
      </c>
      <c r="BI12" s="100"/>
      <c r="BJ12" s="100" t="s">
        <v>23</v>
      </c>
      <c r="BK12" s="100">
        <v>12</v>
      </c>
      <c r="BL12" s="100" t="s">
        <v>23</v>
      </c>
      <c r="BM12" s="100"/>
      <c r="BN12" s="100"/>
      <c r="BO12" s="100"/>
      <c r="BP12" s="100"/>
      <c r="BQ12" s="99"/>
      <c r="BR12" s="99"/>
      <c r="BS12" s="100"/>
      <c r="BT12" s="100" t="s">
        <v>9</v>
      </c>
      <c r="BU12" s="99"/>
      <c r="BV12" t="s">
        <v>525</v>
      </c>
      <c r="BW12" s="156" t="s">
        <v>426</v>
      </c>
    </row>
    <row r="13" spans="1:75" x14ac:dyDescent="0.15">
      <c r="A13" s="96">
        <v>1016</v>
      </c>
      <c r="B13" s="155">
        <v>41865</v>
      </c>
      <c r="C13" s="98" t="s">
        <v>624</v>
      </c>
      <c r="D13" s="99" t="s">
        <v>625</v>
      </c>
      <c r="E13" s="99"/>
      <c r="F13" s="99" t="s">
        <v>626</v>
      </c>
      <c r="G13" s="164">
        <v>41844</v>
      </c>
      <c r="H13" s="100" t="s">
        <v>627</v>
      </c>
      <c r="I13" s="100" t="s">
        <v>628</v>
      </c>
      <c r="J13" s="100"/>
      <c r="K13" s="99" t="s">
        <v>641</v>
      </c>
      <c r="L13" s="99" t="s">
        <v>642</v>
      </c>
      <c r="M13" s="99">
        <v>84.95</v>
      </c>
      <c r="N13" s="99">
        <v>37.65</v>
      </c>
      <c r="O13" s="99" t="s">
        <v>631</v>
      </c>
      <c r="P13" s="101">
        <v>1000</v>
      </c>
      <c r="Q13" s="99">
        <v>39.950000000000003</v>
      </c>
      <c r="R13" s="162">
        <v>1000</v>
      </c>
      <c r="S13" s="99">
        <v>39.950000000000003</v>
      </c>
      <c r="T13" s="162">
        <v>1000</v>
      </c>
      <c r="U13" s="99">
        <v>39.950000000000003</v>
      </c>
      <c r="V13" s="99"/>
      <c r="W13" s="99"/>
      <c r="X13" s="101"/>
      <c r="Y13" s="99"/>
      <c r="Z13" s="101"/>
      <c r="AA13" s="99"/>
      <c r="AB13" s="101"/>
      <c r="AC13" s="99"/>
      <c r="AD13" s="99"/>
      <c r="AE13" s="99"/>
      <c r="AF13" s="101"/>
      <c r="AG13" s="99"/>
      <c r="AH13" s="99"/>
      <c r="AI13" s="99"/>
      <c r="AJ13" s="99"/>
      <c r="AK13" s="99"/>
      <c r="AL13" s="99"/>
      <c r="AM13" s="99"/>
      <c r="AN13" s="99"/>
      <c r="AO13" s="99" t="s">
        <v>632</v>
      </c>
      <c r="AP13" s="100" t="s">
        <v>628</v>
      </c>
      <c r="AQ13" s="100"/>
      <c r="AR13" s="100"/>
      <c r="AS13" s="102"/>
      <c r="AT13" s="100">
        <v>16</v>
      </c>
      <c r="AU13" s="100" t="s">
        <v>637</v>
      </c>
      <c r="AV13" s="99"/>
      <c r="AW13" s="100">
        <v>0</v>
      </c>
      <c r="AX13" s="100">
        <v>0</v>
      </c>
      <c r="AY13" s="100">
        <v>10</v>
      </c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>
        <v>0</v>
      </c>
      <c r="BH13" s="100">
        <v>0</v>
      </c>
      <c r="BI13" s="100"/>
      <c r="BJ13" s="100" t="s">
        <v>628</v>
      </c>
      <c r="BK13" s="100"/>
      <c r="BL13" s="100" t="s">
        <v>628</v>
      </c>
      <c r="BM13" s="100"/>
      <c r="BN13" s="100"/>
      <c r="BO13" s="100"/>
      <c r="BP13" s="100"/>
      <c r="BQ13" s="99"/>
      <c r="BR13" s="99"/>
      <c r="BS13" s="100"/>
      <c r="BT13" s="100" t="s">
        <v>634</v>
      </c>
      <c r="BU13" s="99"/>
      <c r="BV13" t="s">
        <v>650</v>
      </c>
      <c r="BW13" s="156" t="s">
        <v>426</v>
      </c>
    </row>
    <row r="14" spans="1:75" x14ac:dyDescent="0.15">
      <c r="A14" s="96">
        <v>1018</v>
      </c>
      <c r="B14" s="155">
        <v>41839</v>
      </c>
      <c r="C14" s="98" t="s">
        <v>27</v>
      </c>
      <c r="D14" s="99" t="s">
        <v>1</v>
      </c>
      <c r="E14" s="99"/>
      <c r="F14" s="99" t="s">
        <v>2</v>
      </c>
      <c r="G14" s="97">
        <v>41455</v>
      </c>
      <c r="H14" s="100" t="s">
        <v>8</v>
      </c>
      <c r="I14" s="100" t="s">
        <v>23</v>
      </c>
      <c r="J14" s="100"/>
      <c r="K14" s="99" t="s">
        <v>129</v>
      </c>
      <c r="L14" s="99" t="s">
        <v>12</v>
      </c>
      <c r="M14" s="99">
        <v>75.486000000000004</v>
      </c>
      <c r="N14" s="99">
        <v>33.499499999999998</v>
      </c>
      <c r="O14" s="99" t="s">
        <v>15</v>
      </c>
      <c r="P14" s="101">
        <v>300</v>
      </c>
      <c r="Q14" s="99">
        <v>34.131999999999998</v>
      </c>
      <c r="R14" s="101">
        <v>1000</v>
      </c>
      <c r="S14" s="99">
        <v>39.0655</v>
      </c>
      <c r="T14" s="101">
        <v>2500</v>
      </c>
      <c r="U14" s="99">
        <v>42.377499999999998</v>
      </c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101"/>
      <c r="AG14" s="99"/>
      <c r="AH14" s="99"/>
      <c r="AI14" s="99"/>
      <c r="AJ14" s="99"/>
      <c r="AK14" s="99"/>
      <c r="AL14" s="99"/>
      <c r="AM14" s="99"/>
      <c r="AN14" s="99"/>
      <c r="AO14" s="99" t="s">
        <v>16</v>
      </c>
      <c r="AP14" s="100" t="s">
        <v>23</v>
      </c>
      <c r="AQ14" s="100"/>
      <c r="AR14" s="100"/>
      <c r="AS14" s="102"/>
      <c r="AT14" s="100">
        <v>6.8</v>
      </c>
      <c r="AU14" s="100" t="s">
        <v>23</v>
      </c>
      <c r="AV14" s="99"/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>
        <v>36</v>
      </c>
      <c r="BJ14" s="100" t="s">
        <v>23</v>
      </c>
      <c r="BK14" s="100"/>
      <c r="BL14" s="100" t="s">
        <v>23</v>
      </c>
      <c r="BM14" s="100"/>
      <c r="BN14" s="100"/>
      <c r="BO14" s="100"/>
      <c r="BP14" s="100"/>
      <c r="BQ14" s="99"/>
      <c r="BR14" s="99"/>
      <c r="BS14" s="100"/>
      <c r="BT14" s="100" t="s">
        <v>9</v>
      </c>
      <c r="BU14" s="99" t="s">
        <v>13</v>
      </c>
      <c r="BV14" t="s">
        <v>565</v>
      </c>
      <c r="BW14" s="156" t="s">
        <v>588</v>
      </c>
    </row>
    <row r="15" spans="1:75" x14ac:dyDescent="0.15">
      <c r="A15" s="96">
        <v>3587</v>
      </c>
      <c r="B15" s="155">
        <v>41865</v>
      </c>
      <c r="C15" s="98" t="s">
        <v>651</v>
      </c>
      <c r="D15" s="99" t="s">
        <v>652</v>
      </c>
      <c r="E15" s="99"/>
      <c r="F15" s="99" t="s">
        <v>653</v>
      </c>
      <c r="G15" s="165">
        <v>41858</v>
      </c>
      <c r="H15" s="100" t="s">
        <v>654</v>
      </c>
      <c r="I15" s="100" t="s">
        <v>655</v>
      </c>
      <c r="J15" s="100"/>
      <c r="K15" s="99" t="s">
        <v>656</v>
      </c>
      <c r="L15" s="99" t="s">
        <v>567</v>
      </c>
      <c r="M15" s="99">
        <v>81.680000000000007</v>
      </c>
      <c r="N15" s="99">
        <v>37.99</v>
      </c>
      <c r="O15" s="99" t="s">
        <v>657</v>
      </c>
      <c r="P15" s="101">
        <v>1000</v>
      </c>
      <c r="Q15" s="99">
        <v>42.61</v>
      </c>
      <c r="R15" s="162">
        <v>1000</v>
      </c>
      <c r="S15" s="99">
        <v>42.61</v>
      </c>
      <c r="T15" s="162">
        <v>1000</v>
      </c>
      <c r="U15" s="99">
        <v>42.61</v>
      </c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 t="s">
        <v>658</v>
      </c>
      <c r="AP15" s="100" t="s">
        <v>655</v>
      </c>
      <c r="AQ15" s="100"/>
      <c r="AR15" s="100"/>
      <c r="AS15" s="102"/>
      <c r="AT15" s="100">
        <v>10</v>
      </c>
      <c r="AU15" s="100" t="s">
        <v>23</v>
      </c>
      <c r="AV15" s="99"/>
      <c r="AW15" s="100">
        <v>0</v>
      </c>
      <c r="AX15" s="100">
        <v>0</v>
      </c>
      <c r="AY15" s="100">
        <v>0</v>
      </c>
      <c r="AZ15" s="100">
        <v>18</v>
      </c>
      <c r="BA15" s="100">
        <v>0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0</v>
      </c>
      <c r="BH15" s="100">
        <v>0</v>
      </c>
      <c r="BI15" s="100"/>
      <c r="BJ15" s="100" t="s">
        <v>23</v>
      </c>
      <c r="BK15" s="100">
        <v>24</v>
      </c>
      <c r="BL15" s="100" t="s">
        <v>23</v>
      </c>
      <c r="BM15" s="100"/>
      <c r="BN15" s="100"/>
      <c r="BO15" s="100"/>
      <c r="BP15" s="100"/>
      <c r="BQ15" s="166" t="s">
        <v>659</v>
      </c>
      <c r="BR15" s="103" t="s">
        <v>569</v>
      </c>
      <c r="BS15" s="100">
        <v>50</v>
      </c>
      <c r="BT15" s="100" t="s">
        <v>9</v>
      </c>
      <c r="BU15" s="99"/>
      <c r="BV15" t="s">
        <v>572</v>
      </c>
      <c r="BW15" s="157" t="s">
        <v>426</v>
      </c>
    </row>
    <row r="16" spans="1:75" x14ac:dyDescent="0.15">
      <c r="A16" s="96">
        <v>8420</v>
      </c>
      <c r="B16" s="155">
        <v>41839</v>
      </c>
      <c r="C16" s="98" t="s">
        <v>27</v>
      </c>
      <c r="D16" s="99" t="s">
        <v>1</v>
      </c>
      <c r="E16" s="99"/>
      <c r="F16" s="99" t="s">
        <v>2</v>
      </c>
      <c r="G16" s="97">
        <v>41787</v>
      </c>
      <c r="H16" s="100" t="s">
        <v>23</v>
      </c>
      <c r="I16" s="100" t="s">
        <v>59</v>
      </c>
      <c r="J16" s="100"/>
      <c r="K16" s="99" t="s">
        <v>614</v>
      </c>
      <c r="L16" s="99" t="s">
        <v>643</v>
      </c>
      <c r="M16" s="99">
        <v>90.6</v>
      </c>
      <c r="N16" s="99">
        <v>47.8</v>
      </c>
      <c r="O16" s="99" t="s">
        <v>15</v>
      </c>
      <c r="P16" s="101">
        <v>1000</v>
      </c>
      <c r="Q16" s="99">
        <v>50</v>
      </c>
      <c r="R16" s="162">
        <v>1000</v>
      </c>
      <c r="S16" s="162">
        <v>50</v>
      </c>
      <c r="T16" s="162">
        <v>1000</v>
      </c>
      <c r="U16" s="162">
        <v>50</v>
      </c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101"/>
      <c r="AG16" s="99"/>
      <c r="AH16" s="99"/>
      <c r="AI16" s="99"/>
      <c r="AJ16" s="99"/>
      <c r="AK16" s="99"/>
      <c r="AL16" s="99"/>
      <c r="AM16" s="99"/>
      <c r="AN16" s="99"/>
      <c r="AO16" s="99" t="s">
        <v>16</v>
      </c>
      <c r="AP16" s="100" t="s">
        <v>23</v>
      </c>
      <c r="AQ16" s="100"/>
      <c r="AR16" s="100"/>
      <c r="AS16" s="102"/>
      <c r="AT16" s="100"/>
      <c r="AU16" s="100" t="s">
        <v>23</v>
      </c>
      <c r="AV16" s="99"/>
      <c r="AW16" s="100">
        <v>0</v>
      </c>
      <c r="AX16" s="100">
        <v>0</v>
      </c>
      <c r="AY16" s="100">
        <v>9</v>
      </c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/>
      <c r="BJ16" s="100" t="s">
        <v>23</v>
      </c>
      <c r="BK16" s="100"/>
      <c r="BL16" s="100" t="s">
        <v>23</v>
      </c>
      <c r="BM16" s="100"/>
      <c r="BN16" s="100"/>
      <c r="BO16" s="100"/>
      <c r="BP16" s="100"/>
      <c r="BQ16" s="103"/>
      <c r="BR16" s="99"/>
      <c r="BS16" s="100"/>
      <c r="BT16" s="100" t="s">
        <v>9</v>
      </c>
      <c r="BU16" s="99" t="s">
        <v>644</v>
      </c>
      <c r="BV16" t="s">
        <v>570</v>
      </c>
      <c r="BW16" t="s">
        <v>588</v>
      </c>
    </row>
    <row r="17" spans="1:75" x14ac:dyDescent="0.15">
      <c r="A17" s="96">
        <v>8498</v>
      </c>
      <c r="B17" s="155">
        <v>41839</v>
      </c>
      <c r="C17" s="98" t="s">
        <v>624</v>
      </c>
      <c r="D17" s="99" t="s">
        <v>625</v>
      </c>
      <c r="E17" s="99"/>
      <c r="F17" s="99" t="s">
        <v>626</v>
      </c>
      <c r="G17" s="97">
        <v>41801</v>
      </c>
      <c r="H17" s="100" t="s">
        <v>23</v>
      </c>
      <c r="I17" s="100" t="s">
        <v>59</v>
      </c>
      <c r="J17" s="100"/>
      <c r="K17" s="99" t="s">
        <v>615</v>
      </c>
      <c r="L17" s="99" t="s">
        <v>645</v>
      </c>
      <c r="M17" s="99">
        <v>80</v>
      </c>
      <c r="N17" s="99">
        <v>31.68</v>
      </c>
      <c r="O17" s="99"/>
      <c r="P17" s="101"/>
      <c r="Q17" s="99"/>
      <c r="R17" s="101"/>
      <c r="S17" s="99"/>
      <c r="T17" s="99"/>
      <c r="U17" s="99"/>
      <c r="V17" s="99"/>
      <c r="W17" s="99"/>
      <c r="X17" s="101"/>
      <c r="Y17" s="99"/>
      <c r="Z17" s="101"/>
      <c r="AA17" s="99"/>
      <c r="AB17" s="101"/>
      <c r="AC17" s="99"/>
      <c r="AD17" s="99"/>
      <c r="AE17" s="99"/>
      <c r="AF17" s="101"/>
      <c r="AG17" s="99"/>
      <c r="AH17" s="99"/>
      <c r="AI17" s="99"/>
      <c r="AJ17" s="99"/>
      <c r="AK17" s="99"/>
      <c r="AL17" s="99"/>
      <c r="AM17" s="99"/>
      <c r="AN17" s="99"/>
      <c r="AO17" s="99" t="s">
        <v>632</v>
      </c>
      <c r="AP17" s="100" t="s">
        <v>628</v>
      </c>
      <c r="AQ17" s="100"/>
      <c r="AR17" s="100"/>
      <c r="AS17" s="102"/>
      <c r="AT17" s="100"/>
      <c r="AU17" s="100" t="s">
        <v>638</v>
      </c>
      <c r="AV17" s="99"/>
      <c r="AW17" s="100">
        <v>0</v>
      </c>
      <c r="AX17" s="100">
        <v>0</v>
      </c>
      <c r="AY17" s="100">
        <v>0</v>
      </c>
      <c r="AZ17" s="100">
        <v>0</v>
      </c>
      <c r="BA17" s="100">
        <v>0</v>
      </c>
      <c r="BB17" s="100">
        <v>0</v>
      </c>
      <c r="BC17" s="100">
        <v>0</v>
      </c>
      <c r="BD17" s="100">
        <v>0</v>
      </c>
      <c r="BE17" s="100">
        <v>0</v>
      </c>
      <c r="BF17" s="100">
        <v>0</v>
      </c>
      <c r="BG17" s="100">
        <v>0</v>
      </c>
      <c r="BH17" s="100">
        <v>0</v>
      </c>
      <c r="BI17" s="100">
        <v>24</v>
      </c>
      <c r="BJ17" s="100" t="s">
        <v>23</v>
      </c>
      <c r="BK17" s="100"/>
      <c r="BL17" s="100" t="s">
        <v>23</v>
      </c>
      <c r="BM17" s="100"/>
      <c r="BN17" s="100"/>
      <c r="BO17" s="100"/>
      <c r="BP17" s="100"/>
      <c r="BQ17" s="99"/>
      <c r="BR17" s="99"/>
      <c r="BS17" s="100"/>
      <c r="BT17" s="100" t="s">
        <v>634</v>
      </c>
      <c r="BU17" s="103" t="s">
        <v>644</v>
      </c>
      <c r="BV17" t="s">
        <v>646</v>
      </c>
      <c r="BW17" t="s">
        <v>588</v>
      </c>
    </row>
    <row r="18" spans="1:75" x14ac:dyDescent="0.15">
      <c r="A18" s="96">
        <v>948</v>
      </c>
      <c r="B18" s="155">
        <v>41864</v>
      </c>
      <c r="C18" s="98" t="s">
        <v>27</v>
      </c>
      <c r="D18" s="99" t="s">
        <v>1</v>
      </c>
      <c r="E18" s="99"/>
      <c r="F18" s="99" t="s">
        <v>47</v>
      </c>
      <c r="G18" s="167">
        <v>41851</v>
      </c>
      <c r="H18" s="100" t="s">
        <v>8</v>
      </c>
      <c r="I18" s="100" t="s">
        <v>23</v>
      </c>
      <c r="J18" s="100"/>
      <c r="K18" s="99" t="s">
        <v>60</v>
      </c>
      <c r="L18" s="99" t="s">
        <v>422</v>
      </c>
      <c r="M18" s="99">
        <v>83</v>
      </c>
      <c r="N18" s="99">
        <v>37.799999999999997</v>
      </c>
      <c r="O18" s="99"/>
      <c r="P18" s="101"/>
      <c r="Q18" s="99"/>
      <c r="R18" s="101"/>
      <c r="S18" s="99"/>
      <c r="T18" s="101"/>
      <c r="U18" s="99"/>
      <c r="V18" s="99"/>
      <c r="W18" s="99"/>
      <c r="X18" s="99"/>
      <c r="Y18" s="99"/>
      <c r="Z18" s="101"/>
      <c r="AA18" s="99"/>
      <c r="AB18" s="101"/>
      <c r="AC18" s="99"/>
      <c r="AD18" s="99"/>
      <c r="AE18" s="99">
        <v>21.9</v>
      </c>
      <c r="AF18" s="101"/>
      <c r="AG18" s="99"/>
      <c r="AH18" s="99"/>
      <c r="AI18" s="99"/>
      <c r="AJ18" s="99"/>
      <c r="AK18" s="99"/>
      <c r="AL18" s="99"/>
      <c r="AM18" s="99"/>
      <c r="AN18" s="99"/>
      <c r="AO18" s="99" t="s">
        <v>24</v>
      </c>
      <c r="AP18" s="100" t="s">
        <v>23</v>
      </c>
      <c r="AQ18" s="100"/>
      <c r="AR18" s="100"/>
      <c r="AS18" s="102"/>
      <c r="AT18" s="100">
        <v>16.3</v>
      </c>
      <c r="AU18" s="100" t="s">
        <v>10</v>
      </c>
      <c r="AV18" s="99"/>
      <c r="AW18" s="100">
        <v>0</v>
      </c>
      <c r="AX18" s="100">
        <v>0</v>
      </c>
      <c r="AY18" s="100">
        <v>0</v>
      </c>
      <c r="AZ18" s="100">
        <v>11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/>
      <c r="BJ18" s="100" t="s">
        <v>23</v>
      </c>
      <c r="BK18" s="100">
        <v>12</v>
      </c>
      <c r="BL18" s="100" t="s">
        <v>23</v>
      </c>
      <c r="BM18" s="100"/>
      <c r="BN18" s="100"/>
      <c r="BO18" s="100"/>
      <c r="BP18" s="100"/>
      <c r="BQ18" s="103"/>
      <c r="BR18" s="103"/>
      <c r="BS18" s="100"/>
      <c r="BT18" s="100" t="s">
        <v>9</v>
      </c>
      <c r="BU18" s="103"/>
      <c r="BV18" s="156" t="s">
        <v>570</v>
      </c>
      <c r="BW18" s="157" t="s">
        <v>426</v>
      </c>
    </row>
    <row r="19" spans="1:75" x14ac:dyDescent="0.15">
      <c r="A19" s="96">
        <v>955</v>
      </c>
      <c r="B19" s="155">
        <v>41865</v>
      </c>
      <c r="C19" s="98" t="s">
        <v>27</v>
      </c>
      <c r="D19" s="99" t="s">
        <v>1</v>
      </c>
      <c r="E19" s="99"/>
      <c r="F19" s="99" t="s">
        <v>47</v>
      </c>
      <c r="G19" s="165">
        <v>41865</v>
      </c>
      <c r="H19" s="100" t="s">
        <v>8</v>
      </c>
      <c r="I19" s="100" t="s">
        <v>23</v>
      </c>
      <c r="J19" s="100"/>
      <c r="K19" s="99" t="s">
        <v>310</v>
      </c>
      <c r="L19" s="99" t="s">
        <v>338</v>
      </c>
      <c r="M19" s="99">
        <v>83</v>
      </c>
      <c r="N19" s="99">
        <v>39</v>
      </c>
      <c r="O19" s="99" t="s">
        <v>15</v>
      </c>
      <c r="P19" s="101">
        <v>300</v>
      </c>
      <c r="Q19" s="99">
        <v>43.45</v>
      </c>
      <c r="R19" s="101">
        <v>1000</v>
      </c>
      <c r="S19" s="99">
        <v>43.45</v>
      </c>
      <c r="T19" s="101">
        <v>2500</v>
      </c>
      <c r="U19" s="99">
        <v>43.45</v>
      </c>
      <c r="V19" s="99"/>
      <c r="W19" s="99"/>
      <c r="X19" s="99"/>
      <c r="Y19" s="99"/>
      <c r="Z19" s="99"/>
      <c r="AA19" s="99"/>
      <c r="AB19" s="99"/>
      <c r="AC19" s="99"/>
      <c r="AD19" s="99"/>
      <c r="AE19" s="99">
        <v>21.5</v>
      </c>
      <c r="AF19" s="101"/>
      <c r="AG19" s="99"/>
      <c r="AH19" s="99"/>
      <c r="AI19" s="99"/>
      <c r="AJ19" s="99"/>
      <c r="AK19" s="99"/>
      <c r="AL19" s="99"/>
      <c r="AM19" s="99"/>
      <c r="AN19" s="99"/>
      <c r="AO19" s="99" t="s">
        <v>24</v>
      </c>
      <c r="AP19" s="100" t="s">
        <v>23</v>
      </c>
      <c r="AQ19" s="100"/>
      <c r="AR19" s="100"/>
      <c r="AS19" s="102"/>
      <c r="AT19" s="100">
        <v>9.5</v>
      </c>
      <c r="AU19" s="100" t="s">
        <v>23</v>
      </c>
      <c r="AV19" s="99"/>
      <c r="AW19" s="100">
        <v>0</v>
      </c>
      <c r="AX19" s="100">
        <v>0</v>
      </c>
      <c r="AY19" s="100">
        <v>0</v>
      </c>
      <c r="AZ19" s="100">
        <v>25</v>
      </c>
      <c r="BA19" s="100">
        <v>0</v>
      </c>
      <c r="BB19" s="100">
        <v>0</v>
      </c>
      <c r="BC19" s="100">
        <v>0</v>
      </c>
      <c r="BD19" s="100">
        <v>0</v>
      </c>
      <c r="BE19" s="100">
        <v>0</v>
      </c>
      <c r="BF19" s="100">
        <v>0</v>
      </c>
      <c r="BG19" s="100">
        <v>0</v>
      </c>
      <c r="BH19" s="100">
        <v>0</v>
      </c>
      <c r="BI19" s="163"/>
      <c r="BJ19" s="100" t="s">
        <v>23</v>
      </c>
      <c r="BK19" s="100">
        <v>24</v>
      </c>
      <c r="BL19" s="100" t="s">
        <v>23</v>
      </c>
      <c r="BM19" s="100"/>
      <c r="BN19" s="100"/>
      <c r="BO19" s="100"/>
      <c r="BP19" s="100"/>
      <c r="BQ19" s="99"/>
      <c r="BR19" s="99"/>
      <c r="BS19" s="100"/>
      <c r="BT19" s="100" t="s">
        <v>9</v>
      </c>
      <c r="BU19" s="99"/>
      <c r="BV19" s="156" t="s">
        <v>570</v>
      </c>
      <c r="BW19" s="157" t="s">
        <v>426</v>
      </c>
    </row>
    <row r="20" spans="1:75" x14ac:dyDescent="0.15">
      <c r="A20" s="96">
        <v>6225</v>
      </c>
      <c r="B20" s="155">
        <v>41839</v>
      </c>
      <c r="C20" s="98" t="s">
        <v>27</v>
      </c>
      <c r="D20" s="99" t="s">
        <v>1</v>
      </c>
      <c r="E20" s="99"/>
      <c r="F20" s="99" t="s">
        <v>47</v>
      </c>
      <c r="G20" s="97">
        <v>41698</v>
      </c>
      <c r="H20" s="100" t="s">
        <v>23</v>
      </c>
      <c r="I20" s="100" t="s">
        <v>59</v>
      </c>
      <c r="J20" s="100"/>
      <c r="K20" s="99" t="s">
        <v>209</v>
      </c>
      <c r="L20" s="99" t="s">
        <v>623</v>
      </c>
      <c r="M20" s="99">
        <v>90.6</v>
      </c>
      <c r="N20" s="99">
        <v>47.8</v>
      </c>
      <c r="O20" s="99" t="s">
        <v>15</v>
      </c>
      <c r="P20" s="101">
        <v>1000</v>
      </c>
      <c r="Q20" s="99">
        <v>50</v>
      </c>
      <c r="R20" s="162">
        <v>1000</v>
      </c>
      <c r="S20" s="162">
        <v>50</v>
      </c>
      <c r="T20" s="162">
        <v>1000</v>
      </c>
      <c r="U20" s="162">
        <v>50</v>
      </c>
      <c r="V20" s="99"/>
      <c r="W20" s="99"/>
      <c r="X20" s="99"/>
      <c r="Y20" s="99"/>
      <c r="Z20" s="99"/>
      <c r="AA20" s="99"/>
      <c r="AB20" s="99"/>
      <c r="AC20" s="99"/>
      <c r="AD20" s="99"/>
      <c r="AE20" s="99">
        <v>39.200000000000003</v>
      </c>
      <c r="AF20" s="101"/>
      <c r="AG20" s="99"/>
      <c r="AH20" s="99"/>
      <c r="AI20" s="99"/>
      <c r="AJ20" s="99"/>
      <c r="AK20" s="99"/>
      <c r="AL20" s="99"/>
      <c r="AM20" s="99"/>
      <c r="AN20" s="99"/>
      <c r="AO20" s="99" t="s">
        <v>24</v>
      </c>
      <c r="AP20" s="100" t="s">
        <v>23</v>
      </c>
      <c r="AQ20" s="100"/>
      <c r="AR20" s="100"/>
      <c r="AS20" s="102"/>
      <c r="AT20" s="100"/>
      <c r="AU20" s="100" t="s">
        <v>23</v>
      </c>
      <c r="AV20" s="99"/>
      <c r="AW20" s="100">
        <v>0</v>
      </c>
      <c r="AX20" s="100">
        <v>0</v>
      </c>
      <c r="AY20" s="100">
        <v>25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/>
      <c r="BJ20" s="100" t="s">
        <v>23</v>
      </c>
      <c r="BK20" s="100"/>
      <c r="BL20" s="100" t="s">
        <v>23</v>
      </c>
      <c r="BM20" s="100"/>
      <c r="BN20" s="100"/>
      <c r="BO20" s="100"/>
      <c r="BP20" s="100"/>
      <c r="BQ20" s="103"/>
      <c r="BR20" s="99"/>
      <c r="BS20" s="100"/>
      <c r="BT20" s="100" t="s">
        <v>9</v>
      </c>
      <c r="BU20" s="103" t="s">
        <v>487</v>
      </c>
      <c r="BV20" t="s">
        <v>572</v>
      </c>
      <c r="BW20" s="157" t="s">
        <v>588</v>
      </c>
    </row>
    <row r="21" spans="1:75" x14ac:dyDescent="0.15">
      <c r="A21" s="96">
        <v>957</v>
      </c>
      <c r="B21" s="155">
        <v>41864</v>
      </c>
      <c r="C21" s="98" t="s">
        <v>624</v>
      </c>
      <c r="D21" s="99" t="s">
        <v>625</v>
      </c>
      <c r="E21" s="99"/>
      <c r="F21" s="99" t="s">
        <v>647</v>
      </c>
      <c r="G21" s="165">
        <v>41847</v>
      </c>
      <c r="H21" s="100" t="s">
        <v>627</v>
      </c>
      <c r="I21" s="100" t="s">
        <v>628</v>
      </c>
      <c r="J21" s="100"/>
      <c r="K21" s="99" t="s">
        <v>629</v>
      </c>
      <c r="L21" s="99" t="s">
        <v>630</v>
      </c>
      <c r="M21" s="99">
        <v>80.95</v>
      </c>
      <c r="N21" s="99">
        <v>40.9</v>
      </c>
      <c r="O21" s="99" t="s">
        <v>631</v>
      </c>
      <c r="P21" s="101">
        <v>1000</v>
      </c>
      <c r="Q21" s="99">
        <v>44.4</v>
      </c>
      <c r="R21" s="162">
        <v>1000</v>
      </c>
      <c r="S21" s="99">
        <v>44.4</v>
      </c>
      <c r="T21" s="162">
        <v>1000</v>
      </c>
      <c r="U21" s="99">
        <v>44.4</v>
      </c>
      <c r="V21" s="99"/>
      <c r="W21" s="99"/>
      <c r="X21" s="99"/>
      <c r="Y21" s="99"/>
      <c r="Z21" s="99"/>
      <c r="AA21" s="99"/>
      <c r="AB21" s="99"/>
      <c r="AC21" s="99"/>
      <c r="AD21" s="99"/>
      <c r="AE21" s="99">
        <v>22.49</v>
      </c>
      <c r="AF21" s="101"/>
      <c r="AG21" s="99"/>
      <c r="AH21" s="99"/>
      <c r="AI21" s="99"/>
      <c r="AJ21" s="99"/>
      <c r="AK21" s="99"/>
      <c r="AL21" s="99"/>
      <c r="AM21" s="99"/>
      <c r="AN21" s="99"/>
      <c r="AO21" s="99" t="s">
        <v>648</v>
      </c>
      <c r="AP21" s="100" t="s">
        <v>628</v>
      </c>
      <c r="AQ21" s="100"/>
      <c r="AR21" s="100"/>
      <c r="AS21" s="102"/>
      <c r="AT21" s="100">
        <v>11.6</v>
      </c>
      <c r="AU21" s="100" t="s">
        <v>628</v>
      </c>
      <c r="AV21" s="99"/>
      <c r="AW21" s="100">
        <v>0</v>
      </c>
      <c r="AX21" s="100">
        <v>0</v>
      </c>
      <c r="AY21" s="100">
        <v>0</v>
      </c>
      <c r="AZ21" s="100">
        <v>20</v>
      </c>
      <c r="BA21" s="100">
        <v>0</v>
      </c>
      <c r="BB21" s="100">
        <v>0</v>
      </c>
      <c r="BC21" s="100">
        <v>0</v>
      </c>
      <c r="BD21" s="100">
        <v>0</v>
      </c>
      <c r="BE21" s="100">
        <v>0</v>
      </c>
      <c r="BF21" s="100">
        <v>0</v>
      </c>
      <c r="BG21" s="100">
        <v>0</v>
      </c>
      <c r="BH21" s="100">
        <v>0</v>
      </c>
      <c r="BI21" s="100"/>
      <c r="BJ21" s="100" t="s">
        <v>628</v>
      </c>
      <c r="BK21" s="100"/>
      <c r="BL21" s="100" t="s">
        <v>628</v>
      </c>
      <c r="BM21" s="100"/>
      <c r="BN21" s="100"/>
      <c r="BO21" s="100"/>
      <c r="BP21" s="100"/>
      <c r="BQ21" s="99" t="s">
        <v>633</v>
      </c>
      <c r="BR21" s="99"/>
      <c r="BS21" s="100"/>
      <c r="BT21" s="100" t="s">
        <v>634</v>
      </c>
      <c r="BU21" s="99"/>
      <c r="BV21" t="s">
        <v>635</v>
      </c>
      <c r="BW21" s="70" t="s">
        <v>426</v>
      </c>
    </row>
    <row r="22" spans="1:75" x14ac:dyDescent="0.15">
      <c r="A22" s="96">
        <v>959</v>
      </c>
      <c r="B22" s="155">
        <v>41839</v>
      </c>
      <c r="C22" s="98" t="s">
        <v>27</v>
      </c>
      <c r="D22" s="99" t="s">
        <v>1</v>
      </c>
      <c r="E22" s="99"/>
      <c r="F22" s="99" t="s">
        <v>47</v>
      </c>
      <c r="G22" s="104">
        <v>41820</v>
      </c>
      <c r="H22" s="100" t="s">
        <v>8</v>
      </c>
      <c r="I22" s="100" t="s">
        <v>23</v>
      </c>
      <c r="J22" s="100"/>
      <c r="K22" s="99" t="s">
        <v>97</v>
      </c>
      <c r="L22" s="99" t="s">
        <v>14</v>
      </c>
      <c r="M22" s="99">
        <v>86.95</v>
      </c>
      <c r="N22" s="99">
        <v>33.26</v>
      </c>
      <c r="O22" s="99" t="s">
        <v>15</v>
      </c>
      <c r="P22" s="101">
        <v>300</v>
      </c>
      <c r="Q22" s="99">
        <v>35.89</v>
      </c>
      <c r="R22" s="101">
        <v>1000</v>
      </c>
      <c r="S22" s="99">
        <v>38.950000000000003</v>
      </c>
      <c r="T22" s="101">
        <v>2500</v>
      </c>
      <c r="U22" s="99">
        <v>39.869999999999997</v>
      </c>
      <c r="V22" s="99"/>
      <c r="W22" s="99"/>
      <c r="X22" s="99"/>
      <c r="Y22" s="99"/>
      <c r="Z22" s="99"/>
      <c r="AA22" s="99"/>
      <c r="AB22" s="99"/>
      <c r="AC22" s="99"/>
      <c r="AD22" s="99"/>
      <c r="AE22" s="99">
        <v>19.95</v>
      </c>
      <c r="AF22" s="101"/>
      <c r="AG22" s="99"/>
      <c r="AH22" s="99"/>
      <c r="AI22" s="99"/>
      <c r="AJ22" s="99"/>
      <c r="AK22" s="99"/>
      <c r="AL22" s="99"/>
      <c r="AM22" s="99"/>
      <c r="AN22" s="99"/>
      <c r="AO22" s="99" t="s">
        <v>24</v>
      </c>
      <c r="AP22" s="100" t="s">
        <v>23</v>
      </c>
      <c r="AQ22" s="100"/>
      <c r="AR22" s="100"/>
      <c r="AS22" s="102">
        <v>10</v>
      </c>
      <c r="AT22" s="100">
        <v>12</v>
      </c>
      <c r="AU22" s="100" t="s">
        <v>23</v>
      </c>
      <c r="AV22" s="99"/>
      <c r="AW22" s="100">
        <v>0</v>
      </c>
      <c r="AX22" s="100">
        <v>0</v>
      </c>
      <c r="AY22" s="100">
        <v>7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/>
      <c r="BJ22" s="100" t="s">
        <v>23</v>
      </c>
      <c r="BK22" s="100"/>
      <c r="BL22" s="100" t="s">
        <v>23</v>
      </c>
      <c r="BM22" s="100"/>
      <c r="BN22" s="100"/>
      <c r="BO22" s="100"/>
      <c r="BP22" s="100"/>
      <c r="BQ22" s="99"/>
      <c r="BR22" s="99"/>
      <c r="BS22" s="100"/>
      <c r="BT22" s="100" t="s">
        <v>9</v>
      </c>
      <c r="BU22" s="99"/>
      <c r="BV22" t="s">
        <v>570</v>
      </c>
      <c r="BW22" s="157" t="s">
        <v>426</v>
      </c>
    </row>
    <row r="23" spans="1:75" x14ac:dyDescent="0.15">
      <c r="A23" s="96">
        <v>961</v>
      </c>
      <c r="B23" s="155">
        <v>41864</v>
      </c>
      <c r="C23" s="98" t="s">
        <v>624</v>
      </c>
      <c r="D23" s="99" t="s">
        <v>625</v>
      </c>
      <c r="E23" s="99"/>
      <c r="F23" s="99" t="s">
        <v>647</v>
      </c>
      <c r="G23" s="165">
        <v>41846</v>
      </c>
      <c r="H23" s="100" t="s">
        <v>627</v>
      </c>
      <c r="I23" s="100" t="s">
        <v>628</v>
      </c>
      <c r="J23" s="100"/>
      <c r="K23" s="99" t="s">
        <v>636</v>
      </c>
      <c r="L23" s="99" t="s">
        <v>630</v>
      </c>
      <c r="M23" s="99">
        <v>80.95</v>
      </c>
      <c r="N23" s="99">
        <v>42.65</v>
      </c>
      <c r="O23" s="99" t="s">
        <v>631</v>
      </c>
      <c r="P23" s="101">
        <v>1000</v>
      </c>
      <c r="Q23" s="99">
        <v>46.25</v>
      </c>
      <c r="R23" s="162">
        <v>1000</v>
      </c>
      <c r="S23" s="99">
        <v>46.25</v>
      </c>
      <c r="T23" s="162">
        <v>1000</v>
      </c>
      <c r="U23" s="99">
        <v>46.25</v>
      </c>
      <c r="V23" s="99"/>
      <c r="W23" s="99"/>
      <c r="X23" s="99"/>
      <c r="Y23" s="99"/>
      <c r="Z23" s="99"/>
      <c r="AA23" s="99"/>
      <c r="AB23" s="99"/>
      <c r="AC23" s="99"/>
      <c r="AD23" s="99"/>
      <c r="AE23" s="99">
        <v>23.45</v>
      </c>
      <c r="AF23" s="101"/>
      <c r="AG23" s="99"/>
      <c r="AH23" s="99"/>
      <c r="AI23" s="99"/>
      <c r="AJ23" s="99"/>
      <c r="AK23" s="99"/>
      <c r="AL23" s="99"/>
      <c r="AM23" s="99"/>
      <c r="AN23" s="99"/>
      <c r="AO23" s="99" t="s">
        <v>648</v>
      </c>
      <c r="AP23" s="100" t="s">
        <v>628</v>
      </c>
      <c r="AQ23" s="100"/>
      <c r="AR23" s="100"/>
      <c r="AS23" s="102"/>
      <c r="AT23" s="100">
        <v>11.6</v>
      </c>
      <c r="AU23" s="100" t="s">
        <v>637</v>
      </c>
      <c r="AV23" s="99"/>
      <c r="AW23" s="100">
        <v>0</v>
      </c>
      <c r="AX23" s="100">
        <v>0</v>
      </c>
      <c r="AY23" s="100">
        <v>0</v>
      </c>
      <c r="AZ23" s="100">
        <v>0</v>
      </c>
      <c r="BA23" s="100">
        <v>0</v>
      </c>
      <c r="BB23" s="100">
        <v>25</v>
      </c>
      <c r="BC23" s="100">
        <v>0</v>
      </c>
      <c r="BD23" s="100">
        <v>0</v>
      </c>
      <c r="BE23" s="100">
        <v>0</v>
      </c>
      <c r="BF23" s="100">
        <v>0</v>
      </c>
      <c r="BG23" s="100">
        <v>0</v>
      </c>
      <c r="BH23" s="100">
        <v>0</v>
      </c>
      <c r="BI23" s="100"/>
      <c r="BJ23" s="100" t="s">
        <v>628</v>
      </c>
      <c r="BK23" s="100"/>
      <c r="BL23" s="100" t="s">
        <v>628</v>
      </c>
      <c r="BM23" s="100"/>
      <c r="BN23" s="100"/>
      <c r="BO23" s="100"/>
      <c r="BP23" s="100"/>
      <c r="BQ23" s="99"/>
      <c r="BR23" s="99"/>
      <c r="BS23" s="100"/>
      <c r="BT23" s="100" t="s">
        <v>634</v>
      </c>
      <c r="BU23" s="99"/>
      <c r="BV23" s="156" t="s">
        <v>570</v>
      </c>
      <c r="BW23" s="70" t="s">
        <v>426</v>
      </c>
    </row>
    <row r="24" spans="1:75" x14ac:dyDescent="0.15">
      <c r="A24" s="96">
        <v>3300</v>
      </c>
      <c r="B24" s="155">
        <v>41864</v>
      </c>
      <c r="C24" s="98" t="s">
        <v>27</v>
      </c>
      <c r="D24" s="99" t="s">
        <v>1</v>
      </c>
      <c r="E24" s="99"/>
      <c r="F24" s="99" t="s">
        <v>47</v>
      </c>
      <c r="G24" s="165">
        <v>41859</v>
      </c>
      <c r="H24" s="100" t="s">
        <v>8</v>
      </c>
      <c r="I24" s="100" t="s">
        <v>23</v>
      </c>
      <c r="J24" s="100"/>
      <c r="K24" s="99" t="s">
        <v>90</v>
      </c>
      <c r="L24" s="99" t="s">
        <v>649</v>
      </c>
      <c r="M24" s="99">
        <v>89.6</v>
      </c>
      <c r="N24" s="99">
        <v>42.27</v>
      </c>
      <c r="O24" s="99" t="s">
        <v>15</v>
      </c>
      <c r="P24" s="101">
        <v>1000</v>
      </c>
      <c r="Q24" s="99">
        <v>45.43</v>
      </c>
      <c r="R24" s="162">
        <v>1000</v>
      </c>
      <c r="S24" s="99">
        <v>45.43</v>
      </c>
      <c r="T24" s="162">
        <v>1000</v>
      </c>
      <c r="U24" s="99">
        <v>45.43</v>
      </c>
      <c r="V24" s="99"/>
      <c r="W24" s="99"/>
      <c r="X24" s="101"/>
      <c r="Y24" s="99"/>
      <c r="Z24" s="101"/>
      <c r="AA24" s="99"/>
      <c r="AB24" s="101"/>
      <c r="AC24" s="99"/>
      <c r="AD24" s="99"/>
      <c r="AE24" s="99">
        <v>16.91</v>
      </c>
      <c r="AF24" s="101"/>
      <c r="AG24" s="99"/>
      <c r="AH24" s="99"/>
      <c r="AI24" s="99"/>
      <c r="AJ24" s="99"/>
      <c r="AK24" s="99"/>
      <c r="AL24" s="99"/>
      <c r="AM24" s="99"/>
      <c r="AN24" s="99"/>
      <c r="AO24" s="99" t="s">
        <v>24</v>
      </c>
      <c r="AP24" s="100" t="s">
        <v>23</v>
      </c>
      <c r="AQ24" s="100"/>
      <c r="AR24" s="100"/>
      <c r="AS24" s="102"/>
      <c r="AT24" s="100">
        <v>15</v>
      </c>
      <c r="AU24" s="100" t="s">
        <v>10</v>
      </c>
      <c r="AV24" s="99"/>
      <c r="AW24" s="100">
        <v>0</v>
      </c>
      <c r="AX24" s="100">
        <v>20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0</v>
      </c>
      <c r="BI24" s="100"/>
      <c r="BJ24" s="100" t="s">
        <v>23</v>
      </c>
      <c r="BK24" s="100">
        <v>12</v>
      </c>
      <c r="BL24" s="100" t="s">
        <v>23</v>
      </c>
      <c r="BM24" s="100"/>
      <c r="BN24" s="100"/>
      <c r="BO24" s="100"/>
      <c r="BP24" s="100"/>
      <c r="BQ24" s="103" t="s">
        <v>549</v>
      </c>
      <c r="BR24" s="103" t="s">
        <v>64</v>
      </c>
      <c r="BS24" s="100">
        <v>50</v>
      </c>
      <c r="BT24" s="100" t="s">
        <v>9</v>
      </c>
      <c r="BU24" s="99"/>
      <c r="BV24" t="s">
        <v>570</v>
      </c>
      <c r="BW24" s="157" t="s">
        <v>426</v>
      </c>
    </row>
    <row r="25" spans="1:75" x14ac:dyDescent="0.15">
      <c r="A25" s="96">
        <v>975</v>
      </c>
      <c r="B25" s="155">
        <v>41865</v>
      </c>
      <c r="C25" s="98" t="s">
        <v>27</v>
      </c>
      <c r="D25" s="99" t="s">
        <v>1</v>
      </c>
      <c r="E25" s="99"/>
      <c r="F25" s="99" t="s">
        <v>47</v>
      </c>
      <c r="G25" s="165">
        <v>41851</v>
      </c>
      <c r="H25" s="100" t="s">
        <v>8</v>
      </c>
      <c r="I25" s="100" t="s">
        <v>23</v>
      </c>
      <c r="J25" s="100"/>
      <c r="K25" s="99" t="s">
        <v>296</v>
      </c>
      <c r="L25" s="99" t="s">
        <v>5</v>
      </c>
      <c r="M25" s="99">
        <v>88</v>
      </c>
      <c r="N25" s="99">
        <v>39</v>
      </c>
      <c r="O25" s="99" t="s">
        <v>15</v>
      </c>
      <c r="P25" s="101">
        <v>1000</v>
      </c>
      <c r="Q25" s="99">
        <v>39.5</v>
      </c>
      <c r="R25" s="162">
        <v>1000</v>
      </c>
      <c r="S25" s="99">
        <v>39.5</v>
      </c>
      <c r="T25" s="162">
        <v>1000</v>
      </c>
      <c r="U25" s="99">
        <v>39.5</v>
      </c>
      <c r="V25" s="99"/>
      <c r="W25" s="99"/>
      <c r="X25" s="99"/>
      <c r="Y25" s="99"/>
      <c r="Z25" s="99"/>
      <c r="AA25" s="99"/>
      <c r="AB25" s="99"/>
      <c r="AC25" s="99"/>
      <c r="AD25" s="99"/>
      <c r="AE25" s="99">
        <v>20</v>
      </c>
      <c r="AF25" s="101"/>
      <c r="AG25" s="99"/>
      <c r="AH25" s="99"/>
      <c r="AI25" s="99"/>
      <c r="AJ25" s="99"/>
      <c r="AK25" s="99"/>
      <c r="AL25" s="99"/>
      <c r="AM25" s="99"/>
      <c r="AN25" s="99"/>
      <c r="AO25" s="99" t="s">
        <v>24</v>
      </c>
      <c r="AP25" s="100" t="s">
        <v>23</v>
      </c>
      <c r="AQ25" s="100"/>
      <c r="AR25" s="100"/>
      <c r="AS25" s="102"/>
      <c r="AT25" s="100">
        <v>16</v>
      </c>
      <c r="AU25" s="161" t="s">
        <v>638</v>
      </c>
      <c r="AV25" s="99"/>
      <c r="AW25" s="100">
        <v>0</v>
      </c>
      <c r="AX25" s="100">
        <v>0</v>
      </c>
      <c r="AY25" s="100">
        <v>15</v>
      </c>
      <c r="AZ25" s="100">
        <v>0</v>
      </c>
      <c r="BA25" s="100">
        <v>0</v>
      </c>
      <c r="BB25" s="100">
        <v>0</v>
      </c>
      <c r="BC25" s="100">
        <v>0</v>
      </c>
      <c r="BD25" s="100">
        <v>0</v>
      </c>
      <c r="BE25" s="100">
        <v>0</v>
      </c>
      <c r="BF25" s="100">
        <v>0</v>
      </c>
      <c r="BG25" s="100">
        <v>0</v>
      </c>
      <c r="BH25" s="100">
        <v>0</v>
      </c>
      <c r="BI25" s="100"/>
      <c r="BJ25" s="100" t="s">
        <v>23</v>
      </c>
      <c r="BK25" s="100"/>
      <c r="BL25" s="100" t="s">
        <v>23</v>
      </c>
      <c r="BM25" s="100"/>
      <c r="BN25" s="100"/>
      <c r="BO25" s="100"/>
      <c r="BP25" s="100"/>
      <c r="BQ25" s="99" t="s">
        <v>6</v>
      </c>
      <c r="BR25" s="99"/>
      <c r="BS25" s="100"/>
      <c r="BT25" s="100" t="s">
        <v>9</v>
      </c>
      <c r="BU25" s="99"/>
      <c r="BV25" s="156" t="s">
        <v>570</v>
      </c>
      <c r="BW25" s="157" t="s">
        <v>426</v>
      </c>
    </row>
    <row r="26" spans="1:75" x14ac:dyDescent="0.15">
      <c r="A26" s="96">
        <v>985</v>
      </c>
      <c r="B26" s="155">
        <v>41839</v>
      </c>
      <c r="C26" s="98" t="s">
        <v>624</v>
      </c>
      <c r="D26" s="99" t="s">
        <v>625</v>
      </c>
      <c r="E26" s="99"/>
      <c r="F26" s="99" t="s">
        <v>647</v>
      </c>
      <c r="G26" s="97">
        <v>41820</v>
      </c>
      <c r="H26" s="100" t="s">
        <v>627</v>
      </c>
      <c r="I26" s="100" t="s">
        <v>628</v>
      </c>
      <c r="J26" s="100"/>
      <c r="K26" s="99" t="s">
        <v>639</v>
      </c>
      <c r="L26" s="99" t="s">
        <v>640</v>
      </c>
      <c r="M26" s="99">
        <v>104.87</v>
      </c>
      <c r="N26" s="99">
        <v>36.270000000000003</v>
      </c>
      <c r="O26" s="99" t="s">
        <v>631</v>
      </c>
      <c r="P26" s="101">
        <v>600</v>
      </c>
      <c r="Q26" s="99">
        <v>36.270000000000003</v>
      </c>
      <c r="R26" s="162">
        <v>600</v>
      </c>
      <c r="S26" s="162">
        <v>36.270000000000003</v>
      </c>
      <c r="T26" s="162">
        <v>600</v>
      </c>
      <c r="U26" s="162">
        <v>36.270000000000003</v>
      </c>
      <c r="V26" s="99"/>
      <c r="W26" s="99"/>
      <c r="X26" s="99"/>
      <c r="Y26" s="99"/>
      <c r="Z26" s="99"/>
      <c r="AA26" s="99"/>
      <c r="AB26" s="99"/>
      <c r="AC26" s="99"/>
      <c r="AD26" s="99"/>
      <c r="AE26" s="99">
        <v>22.57</v>
      </c>
      <c r="AF26" s="101"/>
      <c r="AG26" s="99"/>
      <c r="AH26" s="99"/>
      <c r="AI26" s="99"/>
      <c r="AJ26" s="99"/>
      <c r="AK26" s="99"/>
      <c r="AL26" s="99"/>
      <c r="AM26" s="99"/>
      <c r="AN26" s="99"/>
      <c r="AO26" s="99" t="s">
        <v>648</v>
      </c>
      <c r="AP26" s="100" t="s">
        <v>628</v>
      </c>
      <c r="AQ26" s="100"/>
      <c r="AR26" s="100"/>
      <c r="AS26" s="102"/>
      <c r="AT26" s="100">
        <v>6.8</v>
      </c>
      <c r="AU26" s="100" t="s">
        <v>628</v>
      </c>
      <c r="AV26" s="99"/>
      <c r="AW26" s="100">
        <v>0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0</v>
      </c>
      <c r="BI26" s="100"/>
      <c r="BJ26" s="100" t="s">
        <v>23</v>
      </c>
      <c r="BK26" s="100">
        <v>12</v>
      </c>
      <c r="BL26" s="100" t="s">
        <v>628</v>
      </c>
      <c r="BM26" s="100"/>
      <c r="BN26" s="100"/>
      <c r="BO26" s="100"/>
      <c r="BP26" s="100"/>
      <c r="BQ26" s="99"/>
      <c r="BR26" s="99"/>
      <c r="BS26" s="100"/>
      <c r="BT26" s="100" t="s">
        <v>634</v>
      </c>
      <c r="BU26" s="99"/>
      <c r="BV26" s="156" t="s">
        <v>570</v>
      </c>
      <c r="BW26" s="157" t="s">
        <v>426</v>
      </c>
    </row>
    <row r="27" spans="1:75" x14ac:dyDescent="0.15">
      <c r="A27" s="96">
        <v>2284</v>
      </c>
      <c r="B27" s="155">
        <v>41865</v>
      </c>
      <c r="C27" s="98" t="s">
        <v>27</v>
      </c>
      <c r="D27" s="99" t="s">
        <v>1</v>
      </c>
      <c r="E27" s="99"/>
      <c r="F27" s="99" t="s">
        <v>47</v>
      </c>
      <c r="G27" s="164">
        <v>41851</v>
      </c>
      <c r="H27" s="100" t="s">
        <v>8</v>
      </c>
      <c r="I27" s="100" t="s">
        <v>23</v>
      </c>
      <c r="J27" s="100"/>
      <c r="K27" s="99" t="s">
        <v>29</v>
      </c>
      <c r="L27" s="99" t="s">
        <v>30</v>
      </c>
      <c r="M27" s="99">
        <v>82.12</v>
      </c>
      <c r="N27" s="99">
        <v>36.380000000000003</v>
      </c>
      <c r="O27" s="99" t="s">
        <v>15</v>
      </c>
      <c r="P27" s="101">
        <v>1000</v>
      </c>
      <c r="Q27" s="99">
        <v>38.840000000000003</v>
      </c>
      <c r="R27" s="162">
        <v>1000</v>
      </c>
      <c r="S27" s="99">
        <v>38.840000000000003</v>
      </c>
      <c r="T27" s="162">
        <v>1000</v>
      </c>
      <c r="U27" s="99">
        <v>38.840000000000003</v>
      </c>
      <c r="V27" s="99"/>
      <c r="W27" s="99"/>
      <c r="X27" s="99"/>
      <c r="Y27" s="99"/>
      <c r="Z27" s="101"/>
      <c r="AA27" s="99"/>
      <c r="AB27" s="101"/>
      <c r="AC27" s="99"/>
      <c r="AD27" s="99"/>
      <c r="AE27" s="99">
        <v>19.059999999999999</v>
      </c>
      <c r="AF27" s="101"/>
      <c r="AG27" s="99"/>
      <c r="AH27" s="99"/>
      <c r="AI27" s="99"/>
      <c r="AJ27" s="99"/>
      <c r="AK27" s="99"/>
      <c r="AL27" s="99"/>
      <c r="AM27" s="99"/>
      <c r="AN27" s="99"/>
      <c r="AO27" s="99" t="s">
        <v>24</v>
      </c>
      <c r="AP27" s="100" t="s">
        <v>23</v>
      </c>
      <c r="AQ27" s="100"/>
      <c r="AR27" s="100"/>
      <c r="AS27" s="102"/>
      <c r="AT27" s="100">
        <v>10</v>
      </c>
      <c r="AU27" s="100" t="s">
        <v>10</v>
      </c>
      <c r="AV27" s="99"/>
      <c r="AW27" s="100">
        <v>0</v>
      </c>
      <c r="AX27" s="100">
        <v>0</v>
      </c>
      <c r="AY27" s="100">
        <v>0</v>
      </c>
      <c r="AZ27" s="100">
        <v>10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>
        <v>0</v>
      </c>
      <c r="BH27" s="100">
        <v>0</v>
      </c>
      <c r="BI27" s="100"/>
      <c r="BJ27" s="100" t="s">
        <v>23</v>
      </c>
      <c r="BK27" s="100">
        <v>12</v>
      </c>
      <c r="BL27" s="100" t="s">
        <v>23</v>
      </c>
      <c r="BM27" s="100"/>
      <c r="BN27" s="100"/>
      <c r="BO27" s="100"/>
      <c r="BP27" s="100"/>
      <c r="BQ27" s="103"/>
      <c r="BR27" s="103"/>
      <c r="BS27" s="100"/>
      <c r="BT27" s="100" t="s">
        <v>9</v>
      </c>
      <c r="BU27" s="103"/>
      <c r="BV27" s="156" t="s">
        <v>570</v>
      </c>
      <c r="BW27" s="156" t="s">
        <v>426</v>
      </c>
    </row>
    <row r="28" spans="1:75" x14ac:dyDescent="0.15">
      <c r="A28" s="96">
        <v>3782</v>
      </c>
      <c r="B28" s="155">
        <v>41839</v>
      </c>
      <c r="C28" s="98" t="s">
        <v>27</v>
      </c>
      <c r="D28" s="99" t="s">
        <v>1</v>
      </c>
      <c r="E28" s="99"/>
      <c r="F28" s="99" t="s">
        <v>47</v>
      </c>
      <c r="G28" s="97">
        <v>41823</v>
      </c>
      <c r="H28" s="100" t="s">
        <v>8</v>
      </c>
      <c r="I28" s="100" t="s">
        <v>23</v>
      </c>
      <c r="J28" s="100"/>
      <c r="K28" s="99" t="s">
        <v>122</v>
      </c>
      <c r="L28" s="99" t="s">
        <v>236</v>
      </c>
      <c r="M28" s="99">
        <v>83</v>
      </c>
      <c r="N28" s="99">
        <v>37.799999999999997</v>
      </c>
      <c r="O28" s="99"/>
      <c r="P28" s="101"/>
      <c r="Q28" s="99"/>
      <c r="R28" s="101"/>
      <c r="S28" s="99"/>
      <c r="T28" s="101"/>
      <c r="U28" s="99"/>
      <c r="V28" s="99"/>
      <c r="W28" s="99"/>
      <c r="X28" s="99"/>
      <c r="Y28" s="99"/>
      <c r="Z28" s="101"/>
      <c r="AA28" s="99"/>
      <c r="AB28" s="101"/>
      <c r="AC28" s="99"/>
      <c r="AD28" s="99"/>
      <c r="AE28" s="99">
        <v>21.9</v>
      </c>
      <c r="AF28" s="101"/>
      <c r="AG28" s="99"/>
      <c r="AH28" s="99"/>
      <c r="AI28" s="99"/>
      <c r="AJ28" s="99"/>
      <c r="AK28" s="99"/>
      <c r="AL28" s="99"/>
      <c r="AM28" s="99"/>
      <c r="AN28" s="99"/>
      <c r="AO28" t="s">
        <v>24</v>
      </c>
      <c r="AP28" s="100" t="s">
        <v>23</v>
      </c>
      <c r="AQ28" s="100"/>
      <c r="AR28" s="100"/>
      <c r="AS28" s="102"/>
      <c r="AT28" s="100">
        <v>16.3</v>
      </c>
      <c r="AU28" s="100" t="s">
        <v>10</v>
      </c>
      <c r="AV28" s="99"/>
      <c r="AW28" s="100">
        <v>0</v>
      </c>
      <c r="AX28" s="100">
        <v>0</v>
      </c>
      <c r="AY28" s="100">
        <v>0</v>
      </c>
      <c r="AZ28" s="100">
        <v>17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0</v>
      </c>
      <c r="BI28" s="100"/>
      <c r="BJ28" s="100" t="s">
        <v>23</v>
      </c>
      <c r="BK28" s="100">
        <v>12</v>
      </c>
      <c r="BL28" s="100" t="s">
        <v>23</v>
      </c>
      <c r="BM28" s="100"/>
      <c r="BN28" s="100"/>
      <c r="BO28" s="100"/>
      <c r="BP28" s="100"/>
      <c r="BQ28" s="99"/>
      <c r="BR28" s="99"/>
      <c r="BS28" s="100"/>
      <c r="BT28" s="100" t="s">
        <v>9</v>
      </c>
      <c r="BU28" s="99"/>
      <c r="BV28" t="s">
        <v>525</v>
      </c>
      <c r="BW28" s="156" t="s">
        <v>426</v>
      </c>
    </row>
    <row r="29" spans="1:75" x14ac:dyDescent="0.15">
      <c r="A29" s="96">
        <v>1014</v>
      </c>
      <c r="B29" s="155">
        <v>41865</v>
      </c>
      <c r="C29" s="98" t="s">
        <v>624</v>
      </c>
      <c r="D29" s="99" t="s">
        <v>625</v>
      </c>
      <c r="E29" s="99"/>
      <c r="F29" s="99" t="s">
        <v>647</v>
      </c>
      <c r="G29" s="164">
        <v>41844</v>
      </c>
      <c r="H29" s="100" t="s">
        <v>627</v>
      </c>
      <c r="I29" s="100" t="s">
        <v>628</v>
      </c>
      <c r="J29" s="100"/>
      <c r="K29" s="99" t="s">
        <v>641</v>
      </c>
      <c r="L29" s="99" t="s">
        <v>642</v>
      </c>
      <c r="M29" s="99">
        <v>84.95</v>
      </c>
      <c r="N29" s="99">
        <v>37.65</v>
      </c>
      <c r="O29" s="99" t="s">
        <v>631</v>
      </c>
      <c r="P29" s="101">
        <v>1000</v>
      </c>
      <c r="Q29" s="99">
        <v>39.950000000000003</v>
      </c>
      <c r="R29" s="162">
        <v>1000</v>
      </c>
      <c r="S29" s="99">
        <v>39.950000000000003</v>
      </c>
      <c r="T29" s="162">
        <v>1000</v>
      </c>
      <c r="U29" s="99">
        <v>39.950000000000003</v>
      </c>
      <c r="V29" s="99"/>
      <c r="W29" s="99"/>
      <c r="X29" s="101"/>
      <c r="Y29" s="99"/>
      <c r="Z29" s="101"/>
      <c r="AA29" s="99"/>
      <c r="AB29" s="101"/>
      <c r="AC29" s="99"/>
      <c r="AD29" s="99"/>
      <c r="AE29" s="99">
        <v>19.350000000000001</v>
      </c>
      <c r="AF29" s="101"/>
      <c r="AG29" s="99"/>
      <c r="AH29" s="99"/>
      <c r="AI29" s="99"/>
      <c r="AJ29" s="99"/>
      <c r="AK29" s="99"/>
      <c r="AL29" s="99"/>
      <c r="AM29" s="99"/>
      <c r="AN29" s="99"/>
      <c r="AO29" s="99" t="s">
        <v>648</v>
      </c>
      <c r="AP29" s="100" t="s">
        <v>628</v>
      </c>
      <c r="AQ29" s="100"/>
      <c r="AR29" s="100"/>
      <c r="AS29" s="102"/>
      <c r="AT29" s="100">
        <v>16</v>
      </c>
      <c r="AU29" s="100" t="s">
        <v>637</v>
      </c>
      <c r="AV29" s="99"/>
      <c r="AW29" s="100">
        <v>0</v>
      </c>
      <c r="AX29" s="100">
        <v>0</v>
      </c>
      <c r="AY29" s="100">
        <v>10</v>
      </c>
      <c r="AZ29" s="100">
        <v>0</v>
      </c>
      <c r="BA29" s="100">
        <v>0</v>
      </c>
      <c r="BB29" s="100">
        <v>0</v>
      </c>
      <c r="BC29" s="100">
        <v>0</v>
      </c>
      <c r="BD29" s="100">
        <v>0</v>
      </c>
      <c r="BE29" s="100">
        <v>0</v>
      </c>
      <c r="BF29" s="100">
        <v>0</v>
      </c>
      <c r="BG29" s="100">
        <v>0</v>
      </c>
      <c r="BH29" s="100">
        <v>0</v>
      </c>
      <c r="BI29" s="100"/>
      <c r="BJ29" s="100" t="s">
        <v>628</v>
      </c>
      <c r="BK29" s="100"/>
      <c r="BL29" s="100" t="s">
        <v>628</v>
      </c>
      <c r="BM29" s="100"/>
      <c r="BN29" s="100"/>
      <c r="BO29" s="100"/>
      <c r="BP29" s="100"/>
      <c r="BQ29" s="99"/>
      <c r="BR29" s="99"/>
      <c r="BS29" s="100"/>
      <c r="BT29" s="100" t="s">
        <v>634</v>
      </c>
      <c r="BU29" s="99"/>
      <c r="BV29" t="s">
        <v>650</v>
      </c>
      <c r="BW29" s="156" t="s">
        <v>426</v>
      </c>
    </row>
    <row r="30" spans="1:75" x14ac:dyDescent="0.15">
      <c r="A30" s="96">
        <v>1017</v>
      </c>
      <c r="B30" s="155">
        <v>41839</v>
      </c>
      <c r="C30" s="98" t="s">
        <v>27</v>
      </c>
      <c r="D30" s="99" t="s">
        <v>1</v>
      </c>
      <c r="E30" s="99"/>
      <c r="F30" s="99" t="s">
        <v>47</v>
      </c>
      <c r="G30" s="97">
        <v>41455</v>
      </c>
      <c r="H30" s="100" t="s">
        <v>8</v>
      </c>
      <c r="I30" s="100" t="s">
        <v>23</v>
      </c>
      <c r="J30" s="100"/>
      <c r="K30" s="99" t="s">
        <v>129</v>
      </c>
      <c r="L30" s="99" t="s">
        <v>12</v>
      </c>
      <c r="M30" s="99">
        <v>75.486000000000004</v>
      </c>
      <c r="N30" s="99">
        <v>33.499499999999998</v>
      </c>
      <c r="O30" s="99" t="s">
        <v>15</v>
      </c>
      <c r="P30" s="101">
        <v>300</v>
      </c>
      <c r="Q30" s="99">
        <v>34.131999999999998</v>
      </c>
      <c r="R30" s="101">
        <v>1000</v>
      </c>
      <c r="S30" s="99">
        <v>39.0655</v>
      </c>
      <c r="T30" s="101">
        <v>2500</v>
      </c>
      <c r="U30" s="99">
        <v>42.377499999999998</v>
      </c>
      <c r="V30" s="99"/>
      <c r="W30" s="99"/>
      <c r="X30" s="101"/>
      <c r="Y30" s="99"/>
      <c r="Z30" s="101"/>
      <c r="AA30" s="99"/>
      <c r="AB30" s="99"/>
      <c r="AC30" s="99"/>
      <c r="AD30" s="99"/>
      <c r="AE30" s="99">
        <v>16.203499999999998</v>
      </c>
      <c r="AF30" s="101">
        <v>2000</v>
      </c>
      <c r="AG30" s="99">
        <v>17.491499999999998</v>
      </c>
      <c r="AH30" s="99"/>
      <c r="AI30" s="99"/>
      <c r="AJ30" s="99"/>
      <c r="AK30" s="99"/>
      <c r="AL30" s="99"/>
      <c r="AM30" s="99"/>
      <c r="AN30" s="99"/>
      <c r="AO30" s="99" t="s">
        <v>24</v>
      </c>
      <c r="AP30" s="100" t="s">
        <v>23</v>
      </c>
      <c r="AQ30" s="100"/>
      <c r="AR30" s="100"/>
      <c r="AS30" s="102"/>
      <c r="AT30" s="100">
        <v>6.8</v>
      </c>
      <c r="AU30" s="100" t="s">
        <v>23</v>
      </c>
      <c r="AV30" s="99"/>
      <c r="AW30" s="100">
        <v>0</v>
      </c>
      <c r="AX30" s="100">
        <v>0</v>
      </c>
      <c r="AY30" s="100">
        <v>0</v>
      </c>
      <c r="AZ30" s="100">
        <v>0</v>
      </c>
      <c r="BA30" s="100">
        <v>0</v>
      </c>
      <c r="BB30" s="100">
        <v>0</v>
      </c>
      <c r="BC30" s="100">
        <v>0</v>
      </c>
      <c r="BD30" s="100">
        <v>0</v>
      </c>
      <c r="BE30" s="100">
        <v>0</v>
      </c>
      <c r="BF30" s="100">
        <v>0</v>
      </c>
      <c r="BG30" s="100">
        <v>0</v>
      </c>
      <c r="BH30" s="100">
        <v>0</v>
      </c>
      <c r="BI30" s="100">
        <v>36</v>
      </c>
      <c r="BJ30" s="100" t="s">
        <v>23</v>
      </c>
      <c r="BK30" s="100"/>
      <c r="BL30" s="100" t="s">
        <v>23</v>
      </c>
      <c r="BM30" s="100"/>
      <c r="BN30" s="100"/>
      <c r="BO30" s="100"/>
      <c r="BP30" s="100"/>
      <c r="BQ30" s="99"/>
      <c r="BR30" s="99"/>
      <c r="BS30" s="100"/>
      <c r="BT30" s="100" t="s">
        <v>9</v>
      </c>
      <c r="BU30" s="99" t="s">
        <v>13</v>
      </c>
      <c r="BV30" t="s">
        <v>565</v>
      </c>
      <c r="BW30" s="156" t="s">
        <v>588</v>
      </c>
    </row>
    <row r="31" spans="1:75" x14ac:dyDescent="0.15">
      <c r="A31" s="96">
        <v>3588</v>
      </c>
      <c r="B31" s="155">
        <v>41865</v>
      </c>
      <c r="C31" s="98" t="s">
        <v>651</v>
      </c>
      <c r="D31" s="99" t="s">
        <v>652</v>
      </c>
      <c r="E31" s="99"/>
      <c r="F31" s="99" t="s">
        <v>660</v>
      </c>
      <c r="G31" s="165">
        <v>41858</v>
      </c>
      <c r="H31" s="100" t="s">
        <v>654</v>
      </c>
      <c r="I31" s="100" t="s">
        <v>655</v>
      </c>
      <c r="J31" s="100"/>
      <c r="K31" s="99" t="s">
        <v>656</v>
      </c>
      <c r="L31" s="99" t="s">
        <v>567</v>
      </c>
      <c r="M31" s="99">
        <v>81.680000000000007</v>
      </c>
      <c r="N31" s="99">
        <v>37.99</v>
      </c>
      <c r="O31" s="99" t="s">
        <v>657</v>
      </c>
      <c r="P31" s="101">
        <v>1000</v>
      </c>
      <c r="Q31" s="99">
        <v>42.61</v>
      </c>
      <c r="R31" s="162">
        <v>1000</v>
      </c>
      <c r="S31" s="99">
        <v>42.61</v>
      </c>
      <c r="T31" s="162">
        <v>1000</v>
      </c>
      <c r="U31" s="99">
        <v>42.61</v>
      </c>
      <c r="V31" s="99"/>
      <c r="W31" s="99"/>
      <c r="X31" s="99"/>
      <c r="Y31" s="99"/>
      <c r="Z31" s="99"/>
      <c r="AA31" s="99"/>
      <c r="AB31" s="99"/>
      <c r="AC31" s="99"/>
      <c r="AD31" s="99"/>
      <c r="AE31" s="99">
        <v>27.49</v>
      </c>
      <c r="AF31" s="101"/>
      <c r="AG31" s="99"/>
      <c r="AH31" s="99"/>
      <c r="AI31" s="99"/>
      <c r="AJ31" s="99"/>
      <c r="AK31" s="99"/>
      <c r="AL31" s="99"/>
      <c r="AM31" s="99"/>
      <c r="AN31" s="99"/>
      <c r="AO31" s="99" t="s">
        <v>661</v>
      </c>
      <c r="AP31" s="100" t="s">
        <v>655</v>
      </c>
      <c r="AQ31" s="100"/>
      <c r="AR31" s="100"/>
      <c r="AS31" s="102"/>
      <c r="AT31" s="100">
        <v>10</v>
      </c>
      <c r="AU31" s="100" t="s">
        <v>23</v>
      </c>
      <c r="AV31" s="99"/>
      <c r="AW31" s="100">
        <v>0</v>
      </c>
      <c r="AX31" s="100">
        <v>0</v>
      </c>
      <c r="AY31" s="100">
        <v>0</v>
      </c>
      <c r="AZ31" s="100">
        <v>18</v>
      </c>
      <c r="BA31" s="100">
        <v>0</v>
      </c>
      <c r="BB31" s="100">
        <v>0</v>
      </c>
      <c r="BC31" s="100">
        <v>0</v>
      </c>
      <c r="BD31" s="100">
        <v>0</v>
      </c>
      <c r="BE31" s="100">
        <v>0</v>
      </c>
      <c r="BF31" s="100">
        <v>0</v>
      </c>
      <c r="BG31" s="100">
        <v>0</v>
      </c>
      <c r="BH31" s="100">
        <v>0</v>
      </c>
      <c r="BI31" s="100"/>
      <c r="BJ31" s="100" t="s">
        <v>23</v>
      </c>
      <c r="BK31" s="100">
        <v>24</v>
      </c>
      <c r="BL31" s="100" t="s">
        <v>23</v>
      </c>
      <c r="BM31" s="100"/>
      <c r="BN31" s="100"/>
      <c r="BO31" s="100"/>
      <c r="BP31" s="100"/>
      <c r="BQ31" s="166" t="s">
        <v>659</v>
      </c>
      <c r="BR31" s="103" t="s">
        <v>569</v>
      </c>
      <c r="BS31" s="100">
        <v>50</v>
      </c>
      <c r="BT31" s="100" t="s">
        <v>9</v>
      </c>
      <c r="BU31" s="99"/>
      <c r="BV31" t="s">
        <v>572</v>
      </c>
      <c r="BW31" s="157" t="s">
        <v>426</v>
      </c>
    </row>
    <row r="32" spans="1:75" x14ac:dyDescent="0.15">
      <c r="A32" s="96">
        <v>8421</v>
      </c>
      <c r="B32" s="155">
        <v>41839</v>
      </c>
      <c r="C32" s="98" t="s">
        <v>27</v>
      </c>
      <c r="D32" s="99" t="s">
        <v>1</v>
      </c>
      <c r="E32" s="99"/>
      <c r="F32" s="99" t="s">
        <v>47</v>
      </c>
      <c r="G32" s="97">
        <v>41787</v>
      </c>
      <c r="H32" s="100" t="s">
        <v>23</v>
      </c>
      <c r="I32" s="100" t="s">
        <v>59</v>
      </c>
      <c r="J32" s="100"/>
      <c r="K32" s="99" t="s">
        <v>614</v>
      </c>
      <c r="L32" s="99" t="s">
        <v>643</v>
      </c>
      <c r="M32" s="99">
        <v>90.6</v>
      </c>
      <c r="N32" s="99">
        <v>47.8</v>
      </c>
      <c r="O32" s="99" t="s">
        <v>15</v>
      </c>
      <c r="P32" s="101">
        <v>1000</v>
      </c>
      <c r="Q32" s="99">
        <v>50</v>
      </c>
      <c r="R32" s="162">
        <v>1000</v>
      </c>
      <c r="S32" s="162">
        <v>50</v>
      </c>
      <c r="T32" s="162">
        <v>1000</v>
      </c>
      <c r="U32" s="162">
        <v>50</v>
      </c>
      <c r="V32" s="99"/>
      <c r="W32" s="99"/>
      <c r="X32" s="99"/>
      <c r="Y32" s="99"/>
      <c r="Z32" s="99"/>
      <c r="AA32" s="99"/>
      <c r="AB32" s="99"/>
      <c r="AC32" s="99"/>
      <c r="AD32" s="99"/>
      <c r="AE32" s="99">
        <v>39.200000000000003</v>
      </c>
      <c r="AF32" s="101"/>
      <c r="AG32" s="99"/>
      <c r="AH32" s="99"/>
      <c r="AI32" s="99"/>
      <c r="AJ32" s="99"/>
      <c r="AK32" s="99"/>
      <c r="AL32" s="99"/>
      <c r="AM32" s="99"/>
      <c r="AN32" s="99"/>
      <c r="AO32" s="99" t="s">
        <v>24</v>
      </c>
      <c r="AP32" s="100" t="s">
        <v>23</v>
      </c>
      <c r="AQ32" s="100"/>
      <c r="AR32" s="100"/>
      <c r="AS32" s="102"/>
      <c r="AT32" s="100"/>
      <c r="AU32" s="100" t="s">
        <v>23</v>
      </c>
      <c r="AV32" s="99"/>
      <c r="AW32" s="100">
        <v>0</v>
      </c>
      <c r="AX32" s="100">
        <v>0</v>
      </c>
      <c r="AY32" s="100">
        <v>9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/>
      <c r="BJ32" s="100" t="s">
        <v>23</v>
      </c>
      <c r="BK32" s="100"/>
      <c r="BL32" s="100" t="s">
        <v>23</v>
      </c>
      <c r="BM32" s="100"/>
      <c r="BN32" s="100"/>
      <c r="BO32" s="100"/>
      <c r="BP32" s="100"/>
      <c r="BQ32" s="103"/>
      <c r="BR32" s="99"/>
      <c r="BS32" s="100"/>
      <c r="BT32" s="100" t="s">
        <v>9</v>
      </c>
      <c r="BU32" s="99" t="s">
        <v>644</v>
      </c>
      <c r="BV32" t="s">
        <v>570</v>
      </c>
      <c r="BW32" t="s">
        <v>588</v>
      </c>
    </row>
    <row r="33" spans="1:75" x14ac:dyDescent="0.15">
      <c r="A33" s="96">
        <v>8497</v>
      </c>
      <c r="B33" s="155">
        <v>41839</v>
      </c>
      <c r="C33" s="98" t="s">
        <v>624</v>
      </c>
      <c r="D33" s="99" t="s">
        <v>625</v>
      </c>
      <c r="E33" s="99"/>
      <c r="F33" s="99" t="s">
        <v>647</v>
      </c>
      <c r="G33" s="97">
        <v>41801</v>
      </c>
      <c r="H33" s="100" t="s">
        <v>23</v>
      </c>
      <c r="I33" s="100" t="s">
        <v>59</v>
      </c>
      <c r="J33" s="100"/>
      <c r="K33" s="99" t="s">
        <v>615</v>
      </c>
      <c r="L33" s="99" t="s">
        <v>645</v>
      </c>
      <c r="M33" s="99">
        <v>80</v>
      </c>
      <c r="N33" s="99">
        <v>31.68</v>
      </c>
      <c r="O33" s="99"/>
      <c r="P33" s="101"/>
      <c r="Q33" s="99"/>
      <c r="R33" s="101"/>
      <c r="S33" s="99"/>
      <c r="T33" s="99"/>
      <c r="U33" s="99"/>
      <c r="V33" s="99"/>
      <c r="W33" s="99"/>
      <c r="X33" s="101"/>
      <c r="Y33" s="99"/>
      <c r="Z33" s="101"/>
      <c r="AA33" s="99"/>
      <c r="AB33" s="101"/>
      <c r="AC33" s="99"/>
      <c r="AD33" s="99"/>
      <c r="AE33" s="99">
        <v>13.613</v>
      </c>
      <c r="AF33" s="101"/>
      <c r="AG33" s="99"/>
      <c r="AH33" s="99"/>
      <c r="AI33" s="99"/>
      <c r="AJ33" s="99"/>
      <c r="AK33" s="99"/>
      <c r="AL33" s="99"/>
      <c r="AM33" s="99"/>
      <c r="AN33" s="99"/>
      <c r="AO33" s="99" t="s">
        <v>648</v>
      </c>
      <c r="AP33" s="100" t="s">
        <v>628</v>
      </c>
      <c r="AQ33" s="100"/>
      <c r="AR33" s="100"/>
      <c r="AS33" s="102"/>
      <c r="AT33" s="100"/>
      <c r="AU33" s="100" t="s">
        <v>638</v>
      </c>
      <c r="AV33" s="99"/>
      <c r="AW33" s="100">
        <v>0</v>
      </c>
      <c r="AX33" s="100">
        <v>0</v>
      </c>
      <c r="AY33" s="100">
        <v>0</v>
      </c>
      <c r="AZ33" s="100">
        <v>0</v>
      </c>
      <c r="BA33" s="100">
        <v>0</v>
      </c>
      <c r="BB33" s="100"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0</v>
      </c>
      <c r="BH33" s="100">
        <v>0</v>
      </c>
      <c r="BI33" s="100">
        <v>24</v>
      </c>
      <c r="BJ33" s="100" t="s">
        <v>23</v>
      </c>
      <c r="BK33" s="100"/>
      <c r="BL33" s="100" t="s">
        <v>23</v>
      </c>
      <c r="BM33" s="100"/>
      <c r="BN33" s="100"/>
      <c r="BO33" s="100"/>
      <c r="BP33" s="100"/>
      <c r="BQ33" s="99"/>
      <c r="BR33" s="99"/>
      <c r="BS33" s="100"/>
      <c r="BT33" s="100" t="s">
        <v>634</v>
      </c>
      <c r="BU33" s="103" t="s">
        <v>644</v>
      </c>
      <c r="BV33" t="s">
        <v>646</v>
      </c>
      <c r="BW33" t="s">
        <v>588</v>
      </c>
    </row>
  </sheetData>
  <sheetProtection algorithmName="SHA-512" hashValue="Wb5LpWXHZcvc3EWX0asS8Wj4cGj+VoQVx6bozDebKKjOyE2zbLk3/kM0GEPbdTsOip1jfH1Vp1Wigka5G8carQ==" saltValue="gBTyQUlCgK8Wd0WjNbmPQA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BR29"/>
  <sheetViews>
    <sheetView workbookViewId="0">
      <selection activeCell="M2" sqref="M2:M15"/>
    </sheetView>
  </sheetViews>
  <sheetFormatPr baseColWidth="10" defaultRowHeight="13" x14ac:dyDescent="0.15"/>
  <cols>
    <col min="11" max="11" width="17" bestFit="1" customWidth="1"/>
    <col min="12" max="12" width="19" bestFit="1" customWidth="1"/>
    <col min="69" max="69" width="17.33203125" customWidth="1"/>
  </cols>
  <sheetData>
    <row r="1" spans="1:70" ht="70" x14ac:dyDescent="0.15">
      <c r="A1" s="74" t="s">
        <v>265</v>
      </c>
      <c r="B1" s="74" t="s">
        <v>266</v>
      </c>
      <c r="C1" s="75" t="s">
        <v>267</v>
      </c>
      <c r="D1" s="76" t="s">
        <v>268</v>
      </c>
      <c r="E1" s="76" t="s">
        <v>269</v>
      </c>
      <c r="F1" s="76" t="s">
        <v>145</v>
      </c>
      <c r="G1" s="74" t="s">
        <v>146</v>
      </c>
      <c r="H1" s="77" t="s">
        <v>407</v>
      </c>
      <c r="I1" s="77" t="s">
        <v>276</v>
      </c>
      <c r="J1" s="77" t="s">
        <v>277</v>
      </c>
      <c r="K1" s="76" t="s">
        <v>278</v>
      </c>
      <c r="L1" s="78" t="s">
        <v>279</v>
      </c>
      <c r="M1" s="79" t="s">
        <v>280</v>
      </c>
      <c r="N1" s="80" t="s">
        <v>281</v>
      </c>
      <c r="O1" s="80" t="s">
        <v>282</v>
      </c>
      <c r="P1" s="80" t="s">
        <v>283</v>
      </c>
      <c r="Q1" s="80" t="s">
        <v>409</v>
      </c>
      <c r="R1" s="80" t="s">
        <v>410</v>
      </c>
      <c r="S1" s="80" t="s">
        <v>411</v>
      </c>
      <c r="T1" s="80" t="s">
        <v>412</v>
      </c>
      <c r="U1" s="80" t="s">
        <v>191</v>
      </c>
      <c r="V1" s="81" t="s">
        <v>99</v>
      </c>
      <c r="W1" s="82" t="s">
        <v>115</v>
      </c>
      <c r="X1" s="82" t="s">
        <v>210</v>
      </c>
      <c r="Y1" s="82" t="s">
        <v>213</v>
      </c>
      <c r="Z1" s="82" t="s">
        <v>214</v>
      </c>
      <c r="AA1" s="82" t="s">
        <v>215</v>
      </c>
      <c r="AB1" s="82" t="s">
        <v>216</v>
      </c>
      <c r="AC1" s="82" t="s">
        <v>217</v>
      </c>
      <c r="AD1" s="82" t="s">
        <v>218</v>
      </c>
      <c r="AE1" s="83" t="s">
        <v>219</v>
      </c>
      <c r="AF1" s="84" t="s">
        <v>112</v>
      </c>
      <c r="AG1" s="84" t="s">
        <v>113</v>
      </c>
      <c r="AH1" s="85" t="s">
        <v>114</v>
      </c>
      <c r="AI1" s="85" t="s">
        <v>316</v>
      </c>
      <c r="AJ1" s="85" t="s">
        <v>271</v>
      </c>
      <c r="AK1" s="85" t="s">
        <v>272</v>
      </c>
      <c r="AL1" s="85"/>
      <c r="AM1" s="85"/>
      <c r="AN1" s="85"/>
      <c r="AO1" s="86" t="s">
        <v>273</v>
      </c>
      <c r="AP1" s="87" t="s">
        <v>274</v>
      </c>
      <c r="AQ1" s="87" t="s">
        <v>275</v>
      </c>
      <c r="AR1" s="88" t="s">
        <v>170</v>
      </c>
      <c r="AS1" s="89" t="s">
        <v>149</v>
      </c>
      <c r="AT1" s="90" t="s">
        <v>150</v>
      </c>
      <c r="AU1" s="91" t="s">
        <v>151</v>
      </c>
      <c r="AV1" s="92" t="s">
        <v>152</v>
      </c>
      <c r="AW1" s="93" t="s">
        <v>176</v>
      </c>
      <c r="AX1" s="94" t="s">
        <v>177</v>
      </c>
      <c r="AY1" s="93" t="s">
        <v>297</v>
      </c>
      <c r="AZ1" s="94" t="s">
        <v>298</v>
      </c>
      <c r="BA1" s="93" t="s">
        <v>299</v>
      </c>
      <c r="BB1" s="94" t="s">
        <v>300</v>
      </c>
      <c r="BC1" s="93" t="s">
        <v>301</v>
      </c>
      <c r="BD1" s="95" t="s">
        <v>302</v>
      </c>
      <c r="BE1" s="93" t="s">
        <v>382</v>
      </c>
      <c r="BF1" s="95" t="s">
        <v>305</v>
      </c>
      <c r="BG1" s="77" t="s">
        <v>402</v>
      </c>
      <c r="BH1" s="77" t="s">
        <v>403</v>
      </c>
      <c r="BI1" s="77" t="s">
        <v>404</v>
      </c>
      <c r="BJ1" s="77" t="s">
        <v>405</v>
      </c>
      <c r="BK1" s="77" t="s">
        <v>406</v>
      </c>
      <c r="BL1" s="75" t="s">
        <v>56</v>
      </c>
      <c r="BM1" s="75" t="s">
        <v>159</v>
      </c>
      <c r="BN1" s="77" t="s">
        <v>160</v>
      </c>
      <c r="BO1" s="77" t="s">
        <v>346</v>
      </c>
      <c r="BP1" s="75" t="s">
        <v>347</v>
      </c>
      <c r="BQ1" s="77" t="s">
        <v>348</v>
      </c>
      <c r="BR1" s="74" t="s">
        <v>460</v>
      </c>
    </row>
    <row r="2" spans="1:70" x14ac:dyDescent="0.15">
      <c r="A2" s="96">
        <v>952</v>
      </c>
      <c r="B2" s="146">
        <v>41467</v>
      </c>
      <c r="C2" s="98" t="s">
        <v>79</v>
      </c>
      <c r="D2" s="99" t="s">
        <v>80</v>
      </c>
      <c r="E2" s="99"/>
      <c r="F2" s="99" t="s">
        <v>125</v>
      </c>
      <c r="G2" s="97">
        <v>41457</v>
      </c>
      <c r="H2" s="100" t="s">
        <v>83</v>
      </c>
      <c r="I2" s="100" t="s">
        <v>82</v>
      </c>
      <c r="J2" s="100"/>
      <c r="K2" s="99" t="s">
        <v>421</v>
      </c>
      <c r="L2" s="99" t="s">
        <v>422</v>
      </c>
      <c r="M2" s="99">
        <v>83</v>
      </c>
      <c r="N2" s="99">
        <v>38</v>
      </c>
      <c r="O2" s="99"/>
      <c r="P2" s="101"/>
      <c r="Q2" s="99"/>
      <c r="R2" s="101"/>
      <c r="S2" s="99"/>
      <c r="T2" s="101"/>
      <c r="U2" s="99"/>
      <c r="V2" s="99"/>
      <c r="W2" s="99"/>
      <c r="X2" s="99"/>
      <c r="Y2" s="99"/>
      <c r="Z2" s="101"/>
      <c r="AA2" s="99"/>
      <c r="AB2" s="101"/>
      <c r="AC2" s="99"/>
      <c r="AD2" s="99"/>
      <c r="AE2" s="99"/>
      <c r="AF2" s="101"/>
      <c r="AG2" s="99"/>
      <c r="AH2" s="99"/>
      <c r="AI2" s="99"/>
      <c r="AJ2" s="99"/>
      <c r="AK2" s="99"/>
      <c r="AL2" s="99"/>
      <c r="AM2" s="99"/>
      <c r="AN2" s="99"/>
      <c r="AO2" s="99" t="s">
        <v>423</v>
      </c>
      <c r="AP2" s="100" t="s">
        <v>82</v>
      </c>
      <c r="AQ2" s="100"/>
      <c r="AR2" s="100"/>
      <c r="AS2" s="102" t="s">
        <v>424</v>
      </c>
      <c r="AT2" s="100">
        <v>16.3</v>
      </c>
      <c r="AU2" s="100" t="s">
        <v>85</v>
      </c>
      <c r="AV2" s="99"/>
      <c r="AW2" s="100">
        <v>0</v>
      </c>
      <c r="AX2" s="100">
        <v>0</v>
      </c>
      <c r="AY2" s="100">
        <v>0</v>
      </c>
      <c r="AZ2" s="100">
        <v>10</v>
      </c>
      <c r="BA2" s="100">
        <v>0</v>
      </c>
      <c r="BB2" s="100">
        <v>0</v>
      </c>
      <c r="BC2" s="100">
        <v>0</v>
      </c>
      <c r="BD2" s="100">
        <v>0</v>
      </c>
      <c r="BE2" s="100">
        <v>0</v>
      </c>
      <c r="BF2" s="100">
        <v>2</v>
      </c>
      <c r="BG2" s="100"/>
      <c r="BH2" s="100" t="s">
        <v>82</v>
      </c>
      <c r="BI2" s="100">
        <v>12</v>
      </c>
      <c r="BJ2" s="100" t="s">
        <v>82</v>
      </c>
      <c r="BK2" s="100"/>
      <c r="BL2" s="103"/>
      <c r="BM2" s="103"/>
      <c r="BN2" s="100"/>
      <c r="BO2" s="100" t="s">
        <v>86</v>
      </c>
      <c r="BP2" s="103"/>
      <c r="BQ2" t="s">
        <v>425</v>
      </c>
      <c r="BR2" s="70" t="s">
        <v>426</v>
      </c>
    </row>
    <row r="3" spans="1:70" x14ac:dyDescent="0.15">
      <c r="A3" s="96">
        <v>956</v>
      </c>
      <c r="B3" s="146">
        <v>41467</v>
      </c>
      <c r="C3" s="98" t="s">
        <v>79</v>
      </c>
      <c r="D3" s="99" t="s">
        <v>80</v>
      </c>
      <c r="E3" s="99"/>
      <c r="F3" s="99" t="s">
        <v>125</v>
      </c>
      <c r="G3" s="97">
        <v>41449</v>
      </c>
      <c r="H3" s="100" t="s">
        <v>83</v>
      </c>
      <c r="I3" s="100" t="s">
        <v>82</v>
      </c>
      <c r="J3" s="100"/>
      <c r="K3" s="99" t="s">
        <v>475</v>
      </c>
      <c r="L3" s="99" t="s">
        <v>476</v>
      </c>
      <c r="M3" s="99">
        <v>97.18</v>
      </c>
      <c r="N3" s="99">
        <v>39.03</v>
      </c>
      <c r="O3" s="99" t="s">
        <v>477</v>
      </c>
      <c r="P3" s="101">
        <v>300</v>
      </c>
      <c r="Q3" s="99">
        <v>40.619999999999997</v>
      </c>
      <c r="R3" s="101">
        <v>1000</v>
      </c>
      <c r="S3" s="99">
        <v>44.68</v>
      </c>
      <c r="T3" s="101">
        <v>2500</v>
      </c>
      <c r="U3" s="99">
        <v>48.44</v>
      </c>
      <c r="V3" s="99"/>
      <c r="W3" s="99"/>
      <c r="X3" s="99"/>
      <c r="Y3" s="99"/>
      <c r="Z3" s="99"/>
      <c r="AA3" s="99"/>
      <c r="AB3" s="99"/>
      <c r="AC3" s="99"/>
      <c r="AD3" s="99"/>
      <c r="AE3" s="99"/>
      <c r="AF3" s="101"/>
      <c r="AG3" s="99"/>
      <c r="AH3" s="99"/>
      <c r="AI3" s="99"/>
      <c r="AJ3" s="99"/>
      <c r="AK3" s="99"/>
      <c r="AL3" s="99"/>
      <c r="AM3" s="99"/>
      <c r="AN3" s="99"/>
      <c r="AO3" s="99" t="s">
        <v>423</v>
      </c>
      <c r="AP3" s="100" t="s">
        <v>82</v>
      </c>
      <c r="AQ3" s="100"/>
      <c r="AR3" s="100"/>
      <c r="AS3" s="102" t="s">
        <v>424</v>
      </c>
      <c r="AT3" s="100">
        <v>6.8</v>
      </c>
      <c r="AU3" s="100" t="s">
        <v>82</v>
      </c>
      <c r="AV3" s="99"/>
      <c r="AW3" s="100">
        <v>0</v>
      </c>
      <c r="AX3" s="100">
        <v>0</v>
      </c>
      <c r="AY3" s="100">
        <v>0</v>
      </c>
      <c r="AZ3" s="100">
        <v>25</v>
      </c>
      <c r="BA3" s="100">
        <v>0</v>
      </c>
      <c r="BB3" s="100">
        <v>0</v>
      </c>
      <c r="BC3" s="100">
        <v>0</v>
      </c>
      <c r="BD3" s="100">
        <v>0</v>
      </c>
      <c r="BE3" s="100">
        <v>0</v>
      </c>
      <c r="BF3" s="100">
        <v>0</v>
      </c>
      <c r="BG3" s="100"/>
      <c r="BH3" s="100" t="s">
        <v>82</v>
      </c>
      <c r="BI3" s="100">
        <v>24</v>
      </c>
      <c r="BJ3" s="100" t="s">
        <v>82</v>
      </c>
      <c r="BK3" s="100"/>
      <c r="BL3" s="99"/>
      <c r="BM3" s="99"/>
      <c r="BN3" s="100"/>
      <c r="BO3" s="100" t="s">
        <v>86</v>
      </c>
      <c r="BP3" s="99"/>
      <c r="BQ3" t="s">
        <v>478</v>
      </c>
      <c r="BR3" t="s">
        <v>426</v>
      </c>
    </row>
    <row r="4" spans="1:70" x14ac:dyDescent="0.15">
      <c r="A4" s="96">
        <v>2547</v>
      </c>
      <c r="B4" s="146">
        <v>41467</v>
      </c>
      <c r="C4" s="98" t="s">
        <v>79</v>
      </c>
      <c r="D4" s="99" t="s">
        <v>80</v>
      </c>
      <c r="E4" s="99"/>
      <c r="F4" s="99" t="s">
        <v>125</v>
      </c>
      <c r="G4" s="97">
        <v>41455</v>
      </c>
      <c r="H4" s="100" t="s">
        <v>82</v>
      </c>
      <c r="I4" s="100" t="s">
        <v>309</v>
      </c>
      <c r="J4" s="100"/>
      <c r="K4" s="99" t="s">
        <v>209</v>
      </c>
      <c r="L4" s="99" t="s">
        <v>211</v>
      </c>
      <c r="M4" s="99">
        <v>84.257999999999996</v>
      </c>
      <c r="N4" s="99">
        <v>44.454000000000001</v>
      </c>
      <c r="O4" s="99" t="s">
        <v>166</v>
      </c>
      <c r="P4" s="101">
        <v>1000</v>
      </c>
      <c r="Q4" s="99">
        <v>46.5</v>
      </c>
      <c r="R4" s="105">
        <v>1000</v>
      </c>
      <c r="S4" s="106">
        <v>46.5</v>
      </c>
      <c r="T4" s="105">
        <v>1000</v>
      </c>
      <c r="U4" s="106">
        <v>46.5</v>
      </c>
      <c r="V4" s="99"/>
      <c r="W4" s="99"/>
      <c r="X4" s="99"/>
      <c r="Y4" s="99"/>
      <c r="Z4" s="99"/>
      <c r="AA4" s="99"/>
      <c r="AB4" s="99"/>
      <c r="AC4" s="99"/>
      <c r="AD4" s="99"/>
      <c r="AE4" s="99"/>
      <c r="AF4" s="101"/>
      <c r="AG4" s="99"/>
      <c r="AH4" s="99"/>
      <c r="AI4" s="99"/>
      <c r="AJ4" s="99"/>
      <c r="AK4" s="99"/>
      <c r="AL4" s="99"/>
      <c r="AM4" s="99"/>
      <c r="AN4" s="99"/>
      <c r="AO4" s="99" t="s">
        <v>208</v>
      </c>
      <c r="AP4" s="100" t="s">
        <v>82</v>
      </c>
      <c r="AQ4" s="100"/>
      <c r="AR4" s="100"/>
      <c r="AS4" s="102"/>
      <c r="AT4" s="100"/>
      <c r="AU4" s="100" t="s">
        <v>82</v>
      </c>
      <c r="AV4" s="99"/>
      <c r="AW4" s="100">
        <v>0</v>
      </c>
      <c r="AX4" s="100">
        <v>0</v>
      </c>
      <c r="AY4" s="100">
        <v>15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/>
      <c r="BH4" s="100" t="s">
        <v>82</v>
      </c>
      <c r="BI4" s="100"/>
      <c r="BJ4" s="100" t="s">
        <v>82</v>
      </c>
      <c r="BK4" s="100"/>
      <c r="BL4" s="103"/>
      <c r="BM4" s="99"/>
      <c r="BN4" s="100"/>
      <c r="BO4" s="100" t="s">
        <v>86</v>
      </c>
      <c r="BP4" s="103" t="s">
        <v>487</v>
      </c>
      <c r="BQ4" t="s">
        <v>234</v>
      </c>
      <c r="BR4" s="70" t="s">
        <v>426</v>
      </c>
    </row>
    <row r="5" spans="1:70" x14ac:dyDescent="0.15">
      <c r="A5" s="96">
        <v>958</v>
      </c>
      <c r="B5" s="146">
        <v>41464</v>
      </c>
      <c r="C5" s="98" t="s">
        <v>79</v>
      </c>
      <c r="D5" s="99" t="s">
        <v>80</v>
      </c>
      <c r="E5" s="99"/>
      <c r="F5" s="99" t="s">
        <v>125</v>
      </c>
      <c r="G5" s="97">
        <v>41495</v>
      </c>
      <c r="H5" s="100" t="s">
        <v>83</v>
      </c>
      <c r="I5" s="100" t="s">
        <v>82</v>
      </c>
      <c r="J5" s="100"/>
      <c r="K5" s="99" t="s">
        <v>573</v>
      </c>
      <c r="L5" s="99" t="s">
        <v>574</v>
      </c>
      <c r="M5" s="99">
        <v>80.95</v>
      </c>
      <c r="N5" s="99">
        <v>40.9</v>
      </c>
      <c r="O5" s="99" t="s">
        <v>477</v>
      </c>
      <c r="P5" s="101">
        <v>1000</v>
      </c>
      <c r="Q5" s="99">
        <v>44.4</v>
      </c>
      <c r="R5" s="105">
        <v>1000</v>
      </c>
      <c r="S5" s="106">
        <v>44.4</v>
      </c>
      <c r="T5" s="105">
        <v>1000</v>
      </c>
      <c r="U5" s="106">
        <v>44.4</v>
      </c>
      <c r="V5" s="99"/>
      <c r="W5" s="99"/>
      <c r="X5" s="99"/>
      <c r="Y5" s="99"/>
      <c r="Z5" s="99"/>
      <c r="AA5" s="99"/>
      <c r="AB5" s="99"/>
      <c r="AC5" s="99"/>
      <c r="AD5" s="99"/>
      <c r="AE5" s="99"/>
      <c r="AF5" s="101"/>
      <c r="AG5" s="99"/>
      <c r="AH5" s="99"/>
      <c r="AI5" s="99"/>
      <c r="AJ5" s="99"/>
      <c r="AK5" s="99"/>
      <c r="AL5" s="99"/>
      <c r="AM5" s="99"/>
      <c r="AN5" s="99"/>
      <c r="AO5" s="99" t="s">
        <v>423</v>
      </c>
      <c r="AP5" s="100" t="s">
        <v>82</v>
      </c>
      <c r="AQ5" s="100"/>
      <c r="AR5" s="100"/>
      <c r="AS5" s="102" t="s">
        <v>424</v>
      </c>
      <c r="AT5" s="100">
        <v>11.6</v>
      </c>
      <c r="AU5" s="100" t="s">
        <v>82</v>
      </c>
      <c r="AV5" s="99"/>
      <c r="AW5" s="100">
        <v>0</v>
      </c>
      <c r="AX5" s="100">
        <v>0</v>
      </c>
      <c r="AY5" s="100">
        <v>0</v>
      </c>
      <c r="AZ5" s="100">
        <v>20</v>
      </c>
      <c r="BA5" s="100">
        <v>0</v>
      </c>
      <c r="BB5" s="100">
        <v>0</v>
      </c>
      <c r="BC5" s="100">
        <v>0</v>
      </c>
      <c r="BD5" s="100">
        <v>0</v>
      </c>
      <c r="BE5" s="100">
        <v>0</v>
      </c>
      <c r="BF5" s="100">
        <v>0</v>
      </c>
      <c r="BG5" s="100"/>
      <c r="BH5" s="100" t="s">
        <v>82</v>
      </c>
      <c r="BI5" s="100"/>
      <c r="BJ5" s="100" t="s">
        <v>82</v>
      </c>
      <c r="BK5" s="100"/>
      <c r="BL5" s="99" t="s">
        <v>575</v>
      </c>
      <c r="BM5" s="99"/>
      <c r="BN5" s="100"/>
      <c r="BO5" s="100" t="s">
        <v>86</v>
      </c>
      <c r="BP5" s="99"/>
      <c r="BQ5" t="s">
        <v>576</v>
      </c>
      <c r="BR5" s="70" t="s">
        <v>577</v>
      </c>
    </row>
    <row r="6" spans="1:70" x14ac:dyDescent="0.15">
      <c r="A6" s="96">
        <v>960</v>
      </c>
      <c r="B6" s="146">
        <v>41464</v>
      </c>
      <c r="C6" s="98" t="s">
        <v>79</v>
      </c>
      <c r="D6" s="99" t="s">
        <v>80</v>
      </c>
      <c r="E6" s="99"/>
      <c r="F6" s="99" t="s">
        <v>125</v>
      </c>
      <c r="G6" s="104">
        <v>41455</v>
      </c>
      <c r="H6" s="100" t="s">
        <v>83</v>
      </c>
      <c r="I6" s="100" t="s">
        <v>82</v>
      </c>
      <c r="J6" s="100"/>
      <c r="K6" s="99" t="s">
        <v>580</v>
      </c>
      <c r="L6" s="99" t="s">
        <v>581</v>
      </c>
      <c r="M6" s="99">
        <v>86.95</v>
      </c>
      <c r="N6" s="99">
        <v>33.26</v>
      </c>
      <c r="O6" s="99" t="s">
        <v>67</v>
      </c>
      <c r="P6" s="101">
        <v>300</v>
      </c>
      <c r="Q6" s="99">
        <v>35.89</v>
      </c>
      <c r="R6" s="101">
        <v>1000</v>
      </c>
      <c r="S6" s="99">
        <v>38.950000000000003</v>
      </c>
      <c r="T6" s="101">
        <v>2500</v>
      </c>
      <c r="U6" s="99">
        <v>39.869999999999997</v>
      </c>
      <c r="V6" s="99"/>
      <c r="W6" s="99"/>
      <c r="X6" s="99"/>
      <c r="Y6" s="99"/>
      <c r="Z6" s="99"/>
      <c r="AA6" s="99"/>
      <c r="AB6" s="99"/>
      <c r="AC6" s="99"/>
      <c r="AD6" s="99"/>
      <c r="AE6" s="99"/>
      <c r="AF6" s="101"/>
      <c r="AG6" s="99"/>
      <c r="AH6" s="99"/>
      <c r="AI6" s="99"/>
      <c r="AJ6" s="99"/>
      <c r="AK6" s="99"/>
      <c r="AL6" s="99"/>
      <c r="AM6" s="99"/>
      <c r="AN6" s="99"/>
      <c r="AO6" s="99" t="s">
        <v>423</v>
      </c>
      <c r="AP6" s="100" t="s">
        <v>82</v>
      </c>
      <c r="AQ6" s="100"/>
      <c r="AR6" s="100"/>
      <c r="AS6" s="102" t="s">
        <v>424</v>
      </c>
      <c r="AT6" s="100">
        <v>12</v>
      </c>
      <c r="AU6" s="100" t="s">
        <v>82</v>
      </c>
      <c r="AV6" s="99"/>
      <c r="AW6" s="100">
        <v>0</v>
      </c>
      <c r="AX6" s="100">
        <v>0</v>
      </c>
      <c r="AY6" s="100">
        <v>7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0</v>
      </c>
      <c r="BF6" s="100">
        <v>0</v>
      </c>
      <c r="BG6" s="100">
        <v>24</v>
      </c>
      <c r="BH6" s="100" t="s">
        <v>83</v>
      </c>
      <c r="BI6" s="100"/>
      <c r="BJ6" s="100" t="s">
        <v>82</v>
      </c>
      <c r="BK6" s="100"/>
      <c r="BL6" s="99"/>
      <c r="BM6" s="99"/>
      <c r="BN6" s="100"/>
      <c r="BO6" s="100" t="s">
        <v>86</v>
      </c>
      <c r="BP6" s="99" t="s">
        <v>541</v>
      </c>
      <c r="BQ6" t="s">
        <v>542</v>
      </c>
      <c r="BR6" s="70" t="s">
        <v>426</v>
      </c>
    </row>
    <row r="7" spans="1:70" x14ac:dyDescent="0.15">
      <c r="A7" s="96">
        <v>962</v>
      </c>
      <c r="B7" s="146">
        <v>41464</v>
      </c>
      <c r="C7" s="98" t="s">
        <v>79</v>
      </c>
      <c r="D7" s="99" t="s">
        <v>80</v>
      </c>
      <c r="E7" s="99"/>
      <c r="F7" s="99" t="s">
        <v>125</v>
      </c>
      <c r="G7" s="97">
        <v>41495</v>
      </c>
      <c r="H7" s="100" t="s">
        <v>83</v>
      </c>
      <c r="I7" s="100" t="s">
        <v>82</v>
      </c>
      <c r="J7" s="100"/>
      <c r="K7" s="99" t="s">
        <v>545</v>
      </c>
      <c r="L7" s="99" t="s">
        <v>574</v>
      </c>
      <c r="M7" s="99">
        <v>80.95</v>
      </c>
      <c r="N7" s="99">
        <v>42.65</v>
      </c>
      <c r="O7" s="99" t="s">
        <v>67</v>
      </c>
      <c r="P7" s="101">
        <v>1000</v>
      </c>
      <c r="Q7" s="99">
        <v>46.25</v>
      </c>
      <c r="R7" s="105">
        <v>1000</v>
      </c>
      <c r="S7" s="106">
        <v>46.25</v>
      </c>
      <c r="T7" s="105">
        <v>1000</v>
      </c>
      <c r="U7" s="106">
        <v>46.25</v>
      </c>
      <c r="V7" s="99"/>
      <c r="W7" s="99"/>
      <c r="X7" s="99"/>
      <c r="Y7" s="99"/>
      <c r="Z7" s="99"/>
      <c r="AA7" s="99"/>
      <c r="AB7" s="99"/>
      <c r="AC7" s="99"/>
      <c r="AD7" s="99"/>
      <c r="AE7" s="99"/>
      <c r="AF7" s="101"/>
      <c r="AG7" s="99"/>
      <c r="AH7" s="99"/>
      <c r="AI7" s="99"/>
      <c r="AJ7" s="99"/>
      <c r="AK7" s="99"/>
      <c r="AL7" s="99"/>
      <c r="AM7" s="99"/>
      <c r="AN7" s="99"/>
      <c r="AO7" s="99" t="s">
        <v>423</v>
      </c>
      <c r="AP7" s="100" t="s">
        <v>82</v>
      </c>
      <c r="AQ7" s="100"/>
      <c r="AR7" s="100"/>
      <c r="AS7" s="102" t="s">
        <v>424</v>
      </c>
      <c r="AT7" s="100">
        <v>11.6</v>
      </c>
      <c r="AU7" s="100" t="s">
        <v>85</v>
      </c>
      <c r="AV7" s="99"/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25</v>
      </c>
      <c r="BC7" s="100">
        <v>0</v>
      </c>
      <c r="BD7" s="100">
        <v>0</v>
      </c>
      <c r="BE7" s="100">
        <v>0</v>
      </c>
      <c r="BF7" s="100">
        <v>0</v>
      </c>
      <c r="BG7" s="100"/>
      <c r="BH7" s="100" t="s">
        <v>82</v>
      </c>
      <c r="BI7" s="100"/>
      <c r="BJ7" s="100" t="s">
        <v>82</v>
      </c>
      <c r="BK7" s="100"/>
      <c r="BL7" s="99"/>
      <c r="BM7" s="99"/>
      <c r="BN7" s="100"/>
      <c r="BO7" s="100" t="s">
        <v>86</v>
      </c>
      <c r="BP7" s="99"/>
      <c r="BQ7" t="s">
        <v>546</v>
      </c>
      <c r="BR7" s="70" t="s">
        <v>577</v>
      </c>
    </row>
    <row r="8" spans="1:70" x14ac:dyDescent="0.15">
      <c r="A8" s="96">
        <v>972</v>
      </c>
      <c r="B8" s="146">
        <v>41467</v>
      </c>
      <c r="C8" s="98" t="s">
        <v>79</v>
      </c>
      <c r="D8" s="99" t="s">
        <v>80</v>
      </c>
      <c r="E8" s="99"/>
      <c r="F8" s="99" t="s">
        <v>125</v>
      </c>
      <c r="G8" s="97">
        <v>41467</v>
      </c>
      <c r="H8" s="100" t="s">
        <v>83</v>
      </c>
      <c r="I8" s="100" t="s">
        <v>82</v>
      </c>
      <c r="J8" s="100"/>
      <c r="K8" s="99" t="s">
        <v>547</v>
      </c>
      <c r="L8" s="99" t="s">
        <v>548</v>
      </c>
      <c r="M8" s="99">
        <v>89.6</v>
      </c>
      <c r="N8" s="99">
        <v>42.27</v>
      </c>
      <c r="O8" s="99" t="s">
        <v>477</v>
      </c>
      <c r="P8" s="101">
        <v>1000</v>
      </c>
      <c r="Q8" s="99">
        <v>45.43</v>
      </c>
      <c r="R8" s="105">
        <v>1000</v>
      </c>
      <c r="S8" s="106">
        <v>45.43</v>
      </c>
      <c r="T8" s="105">
        <v>1000</v>
      </c>
      <c r="U8" s="106">
        <v>45.43</v>
      </c>
      <c r="V8" s="99"/>
      <c r="W8" s="99"/>
      <c r="X8" s="101"/>
      <c r="Y8" s="99"/>
      <c r="Z8" s="101"/>
      <c r="AA8" s="99"/>
      <c r="AB8" s="101"/>
      <c r="AC8" s="99"/>
      <c r="AD8" s="99"/>
      <c r="AE8" s="99"/>
      <c r="AF8" s="101"/>
      <c r="AG8" s="99"/>
      <c r="AH8" s="99"/>
      <c r="AI8" s="99"/>
      <c r="AJ8" s="99"/>
      <c r="AK8" s="99"/>
      <c r="AL8" s="99"/>
      <c r="AM8" s="99"/>
      <c r="AN8" s="99"/>
      <c r="AO8" s="99" t="s">
        <v>423</v>
      </c>
      <c r="AP8" s="100" t="s">
        <v>82</v>
      </c>
      <c r="AQ8" s="100"/>
      <c r="AR8" s="100"/>
      <c r="AS8" s="102" t="s">
        <v>424</v>
      </c>
      <c r="AT8" s="100">
        <v>15</v>
      </c>
      <c r="AU8" s="100" t="s">
        <v>85</v>
      </c>
      <c r="AV8" s="99"/>
      <c r="AW8" s="100">
        <v>0</v>
      </c>
      <c r="AX8" s="100">
        <v>0</v>
      </c>
      <c r="AY8" s="100">
        <v>0</v>
      </c>
      <c r="AZ8" s="100">
        <v>18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/>
      <c r="BH8" s="100" t="s">
        <v>82</v>
      </c>
      <c r="BI8" s="100">
        <v>12</v>
      </c>
      <c r="BJ8" s="100" t="s">
        <v>82</v>
      </c>
      <c r="BK8" s="100"/>
      <c r="BL8" s="103" t="s">
        <v>549</v>
      </c>
      <c r="BM8" s="103" t="s">
        <v>64</v>
      </c>
      <c r="BN8" s="100">
        <v>50</v>
      </c>
      <c r="BO8" s="100" t="s">
        <v>86</v>
      </c>
      <c r="BP8" s="99"/>
      <c r="BQ8" t="s">
        <v>582</v>
      </c>
      <c r="BR8" s="70" t="s">
        <v>426</v>
      </c>
    </row>
    <row r="9" spans="1:70" x14ac:dyDescent="0.15">
      <c r="A9" s="96">
        <v>980</v>
      </c>
      <c r="B9" s="146">
        <v>41467</v>
      </c>
      <c r="C9" s="98" t="s">
        <v>79</v>
      </c>
      <c r="D9" s="99" t="s">
        <v>80</v>
      </c>
      <c r="E9" s="99"/>
      <c r="F9" s="99" t="s">
        <v>125</v>
      </c>
      <c r="G9" s="97">
        <v>41468</v>
      </c>
      <c r="H9" s="100" t="s">
        <v>83</v>
      </c>
      <c r="I9" s="100" t="s">
        <v>82</v>
      </c>
      <c r="J9" s="100"/>
      <c r="K9" s="99" t="s">
        <v>584</v>
      </c>
      <c r="L9" s="99" t="s">
        <v>585</v>
      </c>
      <c r="M9" s="99">
        <v>85.85</v>
      </c>
      <c r="N9" s="99">
        <v>37.700000000000003</v>
      </c>
      <c r="O9" s="99" t="s">
        <v>477</v>
      </c>
      <c r="P9" s="101">
        <v>1000</v>
      </c>
      <c r="Q9" s="99">
        <v>42.1</v>
      </c>
      <c r="R9" s="105">
        <v>1000</v>
      </c>
      <c r="S9" s="106">
        <v>42.1</v>
      </c>
      <c r="T9" s="105">
        <v>1000</v>
      </c>
      <c r="U9" s="106">
        <v>42.1</v>
      </c>
      <c r="V9" s="99"/>
      <c r="W9" s="99"/>
      <c r="X9" s="99"/>
      <c r="Y9" s="99"/>
      <c r="Z9" s="99"/>
      <c r="AA9" s="99"/>
      <c r="AB9" s="99"/>
      <c r="AC9" s="99"/>
      <c r="AD9" s="99"/>
      <c r="AE9" s="99"/>
      <c r="AF9" s="101"/>
      <c r="AG9" s="99"/>
      <c r="AH9" s="99"/>
      <c r="AI9" s="99"/>
      <c r="AJ9" s="99"/>
      <c r="AK9" s="99"/>
      <c r="AL9" s="99"/>
      <c r="AM9" s="99"/>
      <c r="AN9" s="99"/>
      <c r="AO9" s="99" t="s">
        <v>423</v>
      </c>
      <c r="AP9" s="100" t="s">
        <v>82</v>
      </c>
      <c r="AQ9" s="100"/>
      <c r="AR9" s="100"/>
      <c r="AS9" s="102" t="s">
        <v>424</v>
      </c>
      <c r="AT9" s="100">
        <v>16</v>
      </c>
      <c r="AU9" s="100" t="s">
        <v>82</v>
      </c>
      <c r="AV9" s="99"/>
      <c r="AW9" s="100">
        <v>0</v>
      </c>
      <c r="AX9" s="100">
        <v>0</v>
      </c>
      <c r="AY9" s="100">
        <v>10</v>
      </c>
      <c r="AZ9" s="100">
        <v>0</v>
      </c>
      <c r="BA9" s="100">
        <v>0</v>
      </c>
      <c r="BB9" s="100">
        <v>0</v>
      </c>
      <c r="BC9" s="100">
        <v>0</v>
      </c>
      <c r="BD9" s="100">
        <v>0</v>
      </c>
      <c r="BE9" s="100">
        <v>0</v>
      </c>
      <c r="BF9" s="100">
        <v>0</v>
      </c>
      <c r="BG9" s="100"/>
      <c r="BH9" s="100" t="s">
        <v>82</v>
      </c>
      <c r="BI9" s="100"/>
      <c r="BJ9" s="100" t="s">
        <v>82</v>
      </c>
      <c r="BK9" s="100"/>
      <c r="BL9" s="99" t="s">
        <v>586</v>
      </c>
      <c r="BM9" s="99"/>
      <c r="BN9" s="100"/>
      <c r="BO9" s="100" t="s">
        <v>86</v>
      </c>
      <c r="BP9" s="99"/>
      <c r="BQ9" t="s">
        <v>587</v>
      </c>
      <c r="BR9" t="s">
        <v>588</v>
      </c>
    </row>
    <row r="10" spans="1:70" x14ac:dyDescent="0.15">
      <c r="A10" s="96">
        <v>988</v>
      </c>
      <c r="B10" s="146">
        <v>41464</v>
      </c>
      <c r="C10" s="98" t="s">
        <v>79</v>
      </c>
      <c r="D10" s="99" t="s">
        <v>80</v>
      </c>
      <c r="E10" s="99"/>
      <c r="F10" s="99" t="s">
        <v>125</v>
      </c>
      <c r="G10" s="97">
        <v>41469</v>
      </c>
      <c r="H10" s="100" t="s">
        <v>589</v>
      </c>
      <c r="I10" s="100" t="s">
        <v>590</v>
      </c>
      <c r="J10" s="100"/>
      <c r="K10" s="99" t="s">
        <v>591</v>
      </c>
      <c r="L10" s="99" t="s">
        <v>592</v>
      </c>
      <c r="M10" s="99">
        <v>82.59</v>
      </c>
      <c r="N10" s="99">
        <v>38.380000000000003</v>
      </c>
      <c r="O10" s="99" t="s">
        <v>477</v>
      </c>
      <c r="P10" s="101">
        <v>600</v>
      </c>
      <c r="Q10" s="99">
        <v>37.619999999999997</v>
      </c>
      <c r="R10" s="105">
        <v>600</v>
      </c>
      <c r="S10" s="106">
        <v>37.619999999999997</v>
      </c>
      <c r="T10" s="105">
        <v>600</v>
      </c>
      <c r="U10" s="106">
        <v>37.619999999999997</v>
      </c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101"/>
      <c r="AG10" s="99"/>
      <c r="AH10" s="99"/>
      <c r="AI10" s="99"/>
      <c r="AJ10" s="99"/>
      <c r="AK10" s="99"/>
      <c r="AL10" s="99"/>
      <c r="AM10" s="99"/>
      <c r="AN10" s="99"/>
      <c r="AO10" s="99" t="s">
        <v>423</v>
      </c>
      <c r="AP10" s="100" t="s">
        <v>590</v>
      </c>
      <c r="AQ10" s="100"/>
      <c r="AR10" s="100"/>
      <c r="AS10" s="102" t="s">
        <v>424</v>
      </c>
      <c r="AT10" s="100">
        <v>6.8</v>
      </c>
      <c r="AU10" s="100" t="s">
        <v>590</v>
      </c>
      <c r="AV10" s="99"/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12</v>
      </c>
      <c r="BH10" s="100" t="s">
        <v>589</v>
      </c>
      <c r="BI10" s="100"/>
      <c r="BJ10" s="100" t="s">
        <v>590</v>
      </c>
      <c r="BK10" s="100"/>
      <c r="BL10" s="99"/>
      <c r="BM10" s="99"/>
      <c r="BN10" s="100"/>
      <c r="BO10" s="100" t="s">
        <v>593</v>
      </c>
      <c r="BP10" s="99"/>
      <c r="BQ10" t="s">
        <v>474</v>
      </c>
      <c r="BR10" s="70" t="s">
        <v>426</v>
      </c>
    </row>
    <row r="11" spans="1:70" x14ac:dyDescent="0.15">
      <c r="A11" s="96">
        <v>2283</v>
      </c>
      <c r="B11" s="146">
        <v>41465</v>
      </c>
      <c r="C11" s="98" t="s">
        <v>79</v>
      </c>
      <c r="D11" s="99" t="s">
        <v>80</v>
      </c>
      <c r="E11" s="99"/>
      <c r="F11" s="99" t="s">
        <v>125</v>
      </c>
      <c r="G11" s="97">
        <v>41455</v>
      </c>
      <c r="H11" s="100" t="s">
        <v>83</v>
      </c>
      <c r="I11" s="100" t="s">
        <v>82</v>
      </c>
      <c r="J11" s="100"/>
      <c r="K11" s="99" t="s">
        <v>603</v>
      </c>
      <c r="L11" s="99" t="s">
        <v>604</v>
      </c>
      <c r="M11" s="99">
        <v>82.95</v>
      </c>
      <c r="N11" s="99">
        <v>36.75</v>
      </c>
      <c r="O11" s="99" t="s">
        <v>477</v>
      </c>
      <c r="P11" s="101">
        <v>1000</v>
      </c>
      <c r="Q11" s="99">
        <v>39.229999999999997</v>
      </c>
      <c r="R11" s="105">
        <v>1000</v>
      </c>
      <c r="S11" s="106">
        <v>39.229999999999997</v>
      </c>
      <c r="T11" s="105">
        <v>1000</v>
      </c>
      <c r="U11" s="106">
        <v>39.229999999999997</v>
      </c>
      <c r="V11" s="99"/>
      <c r="W11" s="99"/>
      <c r="X11" s="99"/>
      <c r="Y11" s="99"/>
      <c r="Z11" s="101"/>
      <c r="AA11" s="99"/>
      <c r="AB11" s="101"/>
      <c r="AC11" s="99"/>
      <c r="AD11" s="99"/>
      <c r="AE11" s="99"/>
      <c r="AF11" s="101"/>
      <c r="AG11" s="99"/>
      <c r="AH11" s="99"/>
      <c r="AI11" s="99"/>
      <c r="AJ11" s="99"/>
      <c r="AK11" s="99"/>
      <c r="AL11" s="99"/>
      <c r="AM11" s="99"/>
      <c r="AN11" s="99"/>
      <c r="AO11" s="99" t="s">
        <v>423</v>
      </c>
      <c r="AP11" s="100" t="s">
        <v>82</v>
      </c>
      <c r="AQ11" s="100"/>
      <c r="AR11" s="100"/>
      <c r="AS11" s="102" t="s">
        <v>424</v>
      </c>
      <c r="AT11" s="100">
        <v>11</v>
      </c>
      <c r="AU11" s="100" t="s">
        <v>85</v>
      </c>
      <c r="AV11" s="99"/>
      <c r="AW11" s="100">
        <v>0</v>
      </c>
      <c r="AX11" s="100">
        <v>0</v>
      </c>
      <c r="AY11" s="100">
        <v>0</v>
      </c>
      <c r="AZ11" s="100">
        <v>14</v>
      </c>
      <c r="BA11" s="100">
        <v>0</v>
      </c>
      <c r="BB11" s="100">
        <v>0</v>
      </c>
      <c r="BC11" s="100">
        <v>0</v>
      </c>
      <c r="BD11" s="100">
        <v>0</v>
      </c>
      <c r="BE11" s="100">
        <v>0</v>
      </c>
      <c r="BF11" s="100">
        <v>0</v>
      </c>
      <c r="BG11" s="100"/>
      <c r="BH11" s="100" t="s">
        <v>82</v>
      </c>
      <c r="BI11" s="100">
        <v>12</v>
      </c>
      <c r="BJ11" s="100" t="s">
        <v>82</v>
      </c>
      <c r="BK11" s="100"/>
      <c r="BL11" s="103"/>
      <c r="BM11" s="103"/>
      <c r="BN11" s="100"/>
      <c r="BO11" s="100" t="s">
        <v>86</v>
      </c>
      <c r="BP11" s="103"/>
      <c r="BQ11" t="s">
        <v>523</v>
      </c>
      <c r="BR11" t="s">
        <v>426</v>
      </c>
    </row>
    <row r="12" spans="1:70" x14ac:dyDescent="0.15">
      <c r="A12" s="96">
        <v>3783</v>
      </c>
      <c r="B12" s="146">
        <v>41464</v>
      </c>
      <c r="C12" s="98" t="s">
        <v>79</v>
      </c>
      <c r="D12" s="99" t="s">
        <v>80</v>
      </c>
      <c r="E12" s="99"/>
      <c r="F12" s="99" t="s">
        <v>125</v>
      </c>
      <c r="G12" s="97">
        <v>41455</v>
      </c>
      <c r="H12" s="100" t="s">
        <v>83</v>
      </c>
      <c r="I12" s="100" t="s">
        <v>82</v>
      </c>
      <c r="J12" s="100"/>
      <c r="K12" s="99" t="s">
        <v>524</v>
      </c>
      <c r="L12" s="99" t="s">
        <v>574</v>
      </c>
      <c r="M12" s="99">
        <v>83</v>
      </c>
      <c r="N12" s="99">
        <v>38</v>
      </c>
      <c r="O12" s="99"/>
      <c r="P12" s="101"/>
      <c r="Q12" s="99"/>
      <c r="R12" s="101"/>
      <c r="S12" s="99"/>
      <c r="T12" s="101"/>
      <c r="U12" s="99"/>
      <c r="V12" s="99"/>
      <c r="W12" s="99"/>
      <c r="X12" s="99"/>
      <c r="Y12" s="99"/>
      <c r="Z12" s="101"/>
      <c r="AA12" s="99"/>
      <c r="AB12" s="101"/>
      <c r="AC12" s="99"/>
      <c r="AD12" s="99"/>
      <c r="AE12" s="99"/>
      <c r="AF12" s="101"/>
      <c r="AG12" s="99"/>
      <c r="AH12" s="99"/>
      <c r="AI12" s="99"/>
      <c r="AJ12" s="99"/>
      <c r="AK12" s="99"/>
      <c r="AL12" s="99"/>
      <c r="AM12" s="99"/>
      <c r="AN12" s="99"/>
      <c r="AO12" s="99" t="s">
        <v>423</v>
      </c>
      <c r="AP12" s="100" t="s">
        <v>82</v>
      </c>
      <c r="AQ12" s="100"/>
      <c r="AR12" s="100"/>
      <c r="AS12" s="102" t="s">
        <v>424</v>
      </c>
      <c r="AT12" s="100">
        <v>16.3</v>
      </c>
      <c r="AU12" s="100" t="s">
        <v>85</v>
      </c>
      <c r="AV12" s="99"/>
      <c r="AW12" s="100">
        <v>0</v>
      </c>
      <c r="AX12" s="100">
        <v>0</v>
      </c>
      <c r="AY12" s="100">
        <v>0</v>
      </c>
      <c r="AZ12" s="100">
        <v>14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24</v>
      </c>
      <c r="BH12" s="100" t="s">
        <v>82</v>
      </c>
      <c r="BI12" s="100"/>
      <c r="BJ12" s="100" t="s">
        <v>82</v>
      </c>
      <c r="BK12" s="100"/>
      <c r="BL12" s="99"/>
      <c r="BM12" s="99"/>
      <c r="BN12" s="100"/>
      <c r="BO12" s="100" t="s">
        <v>86</v>
      </c>
      <c r="BP12" s="99"/>
      <c r="BQ12" t="s">
        <v>525</v>
      </c>
      <c r="BR12" t="s">
        <v>426</v>
      </c>
    </row>
    <row r="13" spans="1:70" x14ac:dyDescent="0.15">
      <c r="A13" s="96">
        <v>1016</v>
      </c>
      <c r="B13" s="146">
        <v>41464</v>
      </c>
      <c r="C13" s="98" t="s">
        <v>79</v>
      </c>
      <c r="D13" s="99" t="s">
        <v>80</v>
      </c>
      <c r="E13" s="99"/>
      <c r="F13" s="99" t="s">
        <v>125</v>
      </c>
      <c r="G13" s="97">
        <v>41479</v>
      </c>
      <c r="H13" s="100" t="s">
        <v>83</v>
      </c>
      <c r="I13" s="100" t="s">
        <v>82</v>
      </c>
      <c r="J13" s="100"/>
      <c r="K13" s="99" t="s">
        <v>526</v>
      </c>
      <c r="L13" s="99" t="s">
        <v>527</v>
      </c>
      <c r="M13" s="99">
        <v>85.85</v>
      </c>
      <c r="N13" s="99">
        <v>37.700000000000003</v>
      </c>
      <c r="O13" s="99" t="s">
        <v>477</v>
      </c>
      <c r="P13" s="101">
        <v>1000</v>
      </c>
      <c r="Q13" s="99">
        <v>42.1</v>
      </c>
      <c r="R13" s="105">
        <v>1000</v>
      </c>
      <c r="S13" s="106">
        <v>42.1</v>
      </c>
      <c r="T13" s="105">
        <v>1000</v>
      </c>
      <c r="U13" s="106">
        <v>42.1</v>
      </c>
      <c r="V13" s="99"/>
      <c r="W13" s="99"/>
      <c r="X13" s="101"/>
      <c r="Y13" s="99"/>
      <c r="Z13" s="101"/>
      <c r="AA13" s="99"/>
      <c r="AB13" s="101"/>
      <c r="AC13" s="99"/>
      <c r="AD13" s="99"/>
      <c r="AE13" s="99"/>
      <c r="AF13" s="101"/>
      <c r="AG13" s="99"/>
      <c r="AH13" s="99"/>
      <c r="AI13" s="99"/>
      <c r="AJ13" s="99"/>
      <c r="AK13" s="99"/>
      <c r="AL13" s="99"/>
      <c r="AM13" s="99"/>
      <c r="AN13" s="99"/>
      <c r="AO13" s="99" t="s">
        <v>423</v>
      </c>
      <c r="AP13" s="100" t="s">
        <v>82</v>
      </c>
      <c r="AQ13" s="100"/>
      <c r="AR13" s="100"/>
      <c r="AS13" s="102" t="s">
        <v>528</v>
      </c>
      <c r="AT13" s="100">
        <v>16</v>
      </c>
      <c r="AU13" s="100" t="s">
        <v>85</v>
      </c>
      <c r="AV13" s="99"/>
      <c r="AW13" s="100">
        <v>0</v>
      </c>
      <c r="AX13" s="100">
        <v>0</v>
      </c>
      <c r="AY13" s="100">
        <v>10</v>
      </c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/>
      <c r="BH13" s="100" t="s">
        <v>82</v>
      </c>
      <c r="BI13" s="100"/>
      <c r="BJ13" s="100" t="s">
        <v>82</v>
      </c>
      <c r="BK13" s="100"/>
      <c r="BL13" s="99"/>
      <c r="BM13" s="99"/>
      <c r="BN13" s="100"/>
      <c r="BO13" s="100" t="s">
        <v>86</v>
      </c>
      <c r="BP13" s="99"/>
      <c r="BQ13" t="s">
        <v>529</v>
      </c>
      <c r="BR13" s="70" t="s">
        <v>426</v>
      </c>
    </row>
    <row r="14" spans="1:70" x14ac:dyDescent="0.15">
      <c r="A14" s="96">
        <v>1018</v>
      </c>
      <c r="B14" s="146">
        <v>41464</v>
      </c>
      <c r="C14" s="98" t="s">
        <v>79</v>
      </c>
      <c r="D14" s="99" t="s">
        <v>80</v>
      </c>
      <c r="E14" s="99"/>
      <c r="F14" s="99" t="s">
        <v>125</v>
      </c>
      <c r="G14" s="97">
        <v>41455</v>
      </c>
      <c r="H14" s="100" t="s">
        <v>83</v>
      </c>
      <c r="I14" s="100" t="s">
        <v>82</v>
      </c>
      <c r="J14" s="100"/>
      <c r="K14" s="99" t="s">
        <v>562</v>
      </c>
      <c r="L14" s="99" t="s">
        <v>563</v>
      </c>
      <c r="M14" s="99">
        <v>75.486000000000004</v>
      </c>
      <c r="N14" s="99">
        <v>33.499499999999998</v>
      </c>
      <c r="O14" s="99" t="s">
        <v>477</v>
      </c>
      <c r="P14" s="101">
        <v>300</v>
      </c>
      <c r="Q14" s="99">
        <v>34.131999999999998</v>
      </c>
      <c r="R14" s="101">
        <v>1000</v>
      </c>
      <c r="S14" s="99">
        <v>39.0655</v>
      </c>
      <c r="T14" s="101">
        <v>2500</v>
      </c>
      <c r="U14" s="99">
        <v>42.377499999999998</v>
      </c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101"/>
      <c r="AG14" s="99"/>
      <c r="AH14" s="99"/>
      <c r="AI14" s="99"/>
      <c r="AJ14" s="99"/>
      <c r="AK14" s="99"/>
      <c r="AL14" s="99"/>
      <c r="AM14" s="99"/>
      <c r="AN14" s="99"/>
      <c r="AO14" s="99" t="s">
        <v>423</v>
      </c>
      <c r="AP14" s="100" t="s">
        <v>82</v>
      </c>
      <c r="AQ14" s="100"/>
      <c r="AR14" s="100"/>
      <c r="AS14" s="102" t="s">
        <v>424</v>
      </c>
      <c r="AT14" s="100">
        <v>6.8</v>
      </c>
      <c r="AU14" s="100" t="s">
        <v>82</v>
      </c>
      <c r="AV14" s="99"/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36</v>
      </c>
      <c r="BH14" s="100" t="s">
        <v>82</v>
      </c>
      <c r="BI14" s="100"/>
      <c r="BJ14" s="100" t="s">
        <v>82</v>
      </c>
      <c r="BK14" s="100"/>
      <c r="BL14" s="99"/>
      <c r="BM14" s="99"/>
      <c r="BN14" s="100"/>
      <c r="BO14" s="100" t="s">
        <v>86</v>
      </c>
      <c r="BP14" s="99" t="s">
        <v>564</v>
      </c>
      <c r="BQ14" t="s">
        <v>565</v>
      </c>
      <c r="BR14" s="70" t="s">
        <v>426</v>
      </c>
    </row>
    <row r="15" spans="1:70" x14ac:dyDescent="0.15">
      <c r="A15" s="96">
        <v>3588</v>
      </c>
      <c r="B15" s="146">
        <v>41464</v>
      </c>
      <c r="C15" s="98" t="s">
        <v>79</v>
      </c>
      <c r="D15" s="99" t="s">
        <v>80</v>
      </c>
      <c r="E15" s="99"/>
      <c r="F15" s="99" t="s">
        <v>125</v>
      </c>
      <c r="G15" s="97">
        <v>41459</v>
      </c>
      <c r="H15" s="100" t="s">
        <v>83</v>
      </c>
      <c r="I15" s="100" t="s">
        <v>82</v>
      </c>
      <c r="J15" s="100"/>
      <c r="K15" s="99" t="s">
        <v>566</v>
      </c>
      <c r="L15" s="99" t="s">
        <v>567</v>
      </c>
      <c r="M15" s="99">
        <v>63.65</v>
      </c>
      <c r="N15" s="99">
        <v>32.44</v>
      </c>
      <c r="O15" s="99" t="s">
        <v>477</v>
      </c>
      <c r="P15" s="101">
        <v>1000</v>
      </c>
      <c r="Q15" s="99">
        <v>36.380000000000003</v>
      </c>
      <c r="R15" s="105">
        <v>1000</v>
      </c>
      <c r="S15" s="106">
        <v>36.380000000000003</v>
      </c>
      <c r="T15" s="105">
        <v>1000</v>
      </c>
      <c r="U15" s="106">
        <v>36.380000000000003</v>
      </c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 t="s">
        <v>423</v>
      </c>
      <c r="AP15" s="100" t="s">
        <v>82</v>
      </c>
      <c r="AQ15" s="100"/>
      <c r="AR15" s="100"/>
      <c r="AS15" s="102" t="s">
        <v>424</v>
      </c>
      <c r="AT15" s="145">
        <v>6.8</v>
      </c>
      <c r="AU15" s="100" t="s">
        <v>82</v>
      </c>
      <c r="AV15" s="99"/>
      <c r="AW15" s="100">
        <v>0</v>
      </c>
      <c r="AX15" s="100">
        <v>0</v>
      </c>
      <c r="AY15" s="100">
        <v>0</v>
      </c>
      <c r="AZ15" s="100">
        <v>15</v>
      </c>
      <c r="BA15" s="100">
        <v>0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24</v>
      </c>
      <c r="BH15" s="100" t="s">
        <v>83</v>
      </c>
      <c r="BI15" s="100"/>
      <c r="BJ15" s="100" t="s">
        <v>82</v>
      </c>
      <c r="BK15" s="100"/>
      <c r="BL15" s="99" t="s">
        <v>568</v>
      </c>
      <c r="BM15" s="99" t="s">
        <v>569</v>
      </c>
      <c r="BN15" s="100">
        <v>25</v>
      </c>
      <c r="BO15" s="100" t="s">
        <v>86</v>
      </c>
      <c r="BP15" s="99"/>
      <c r="BQ15" t="s">
        <v>570</v>
      </c>
      <c r="BR15" s="70" t="s">
        <v>426</v>
      </c>
    </row>
    <row r="16" spans="1:70" x14ac:dyDescent="0.15">
      <c r="A16" s="96">
        <v>948</v>
      </c>
      <c r="B16" s="146">
        <v>41467</v>
      </c>
      <c r="C16" s="98" t="s">
        <v>79</v>
      </c>
      <c r="D16" s="99" t="s">
        <v>80</v>
      </c>
      <c r="E16" s="99"/>
      <c r="F16" s="99" t="s">
        <v>81</v>
      </c>
      <c r="G16" s="97">
        <v>41457</v>
      </c>
      <c r="H16" s="100" t="s">
        <v>83</v>
      </c>
      <c r="I16" s="100" t="s">
        <v>82</v>
      </c>
      <c r="J16" s="100"/>
      <c r="K16" s="99" t="s">
        <v>421</v>
      </c>
      <c r="L16" s="99" t="s">
        <v>422</v>
      </c>
      <c r="M16" s="99">
        <v>83</v>
      </c>
      <c r="N16" s="99">
        <v>38</v>
      </c>
      <c r="O16" s="99"/>
      <c r="P16" s="101"/>
      <c r="Q16" s="99"/>
      <c r="R16" s="101"/>
      <c r="S16" s="99"/>
      <c r="T16" s="101"/>
      <c r="U16" s="99"/>
      <c r="V16" s="99"/>
      <c r="W16" s="99"/>
      <c r="X16" s="99"/>
      <c r="Y16" s="99"/>
      <c r="Z16" s="101"/>
      <c r="AA16" s="99"/>
      <c r="AB16" s="101"/>
      <c r="AC16" s="99"/>
      <c r="AD16" s="99"/>
      <c r="AE16" s="99">
        <v>22</v>
      </c>
      <c r="AF16" s="101"/>
      <c r="AG16" s="99"/>
      <c r="AH16" s="99"/>
      <c r="AI16" s="99"/>
      <c r="AJ16" s="99"/>
      <c r="AK16" s="99"/>
      <c r="AL16" s="99"/>
      <c r="AM16" s="99"/>
      <c r="AN16" s="99"/>
      <c r="AO16" s="99" t="s">
        <v>427</v>
      </c>
      <c r="AP16" s="100" t="s">
        <v>82</v>
      </c>
      <c r="AQ16" s="100"/>
      <c r="AR16" s="100"/>
      <c r="AS16" s="102" t="s">
        <v>424</v>
      </c>
      <c r="AT16" s="100">
        <v>16.3</v>
      </c>
      <c r="AU16" s="100" t="s">
        <v>85</v>
      </c>
      <c r="AV16" s="99"/>
      <c r="AW16" s="100">
        <v>0</v>
      </c>
      <c r="AX16" s="100">
        <v>0</v>
      </c>
      <c r="AY16" s="100">
        <v>0</v>
      </c>
      <c r="AZ16" s="100">
        <v>10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2</v>
      </c>
      <c r="BG16" s="100"/>
      <c r="BH16" s="100" t="s">
        <v>82</v>
      </c>
      <c r="BI16" s="100">
        <v>12</v>
      </c>
      <c r="BJ16" s="100" t="s">
        <v>82</v>
      </c>
      <c r="BK16" s="100"/>
      <c r="BL16" s="103"/>
      <c r="BM16" s="103"/>
      <c r="BN16" s="100"/>
      <c r="BO16" s="100" t="s">
        <v>428</v>
      </c>
      <c r="BP16" s="103"/>
      <c r="BQ16" t="s">
        <v>429</v>
      </c>
      <c r="BR16" s="70" t="s">
        <v>426</v>
      </c>
    </row>
    <row r="17" spans="1:70" x14ac:dyDescent="0.15">
      <c r="A17" s="96">
        <v>955</v>
      </c>
      <c r="B17" s="146">
        <v>41467</v>
      </c>
      <c r="C17" s="98" t="s">
        <v>479</v>
      </c>
      <c r="D17" s="99" t="s">
        <v>480</v>
      </c>
      <c r="E17" s="99"/>
      <c r="F17" s="99" t="s">
        <v>481</v>
      </c>
      <c r="G17" s="97">
        <v>41449</v>
      </c>
      <c r="H17" s="100" t="s">
        <v>482</v>
      </c>
      <c r="I17" s="100" t="s">
        <v>483</v>
      </c>
      <c r="J17" s="100"/>
      <c r="K17" s="99" t="s">
        <v>475</v>
      </c>
      <c r="L17" s="99" t="s">
        <v>476</v>
      </c>
      <c r="M17" s="99">
        <v>97.18</v>
      </c>
      <c r="N17" s="99">
        <v>39.03</v>
      </c>
      <c r="O17" s="99" t="s">
        <v>166</v>
      </c>
      <c r="P17" s="101">
        <v>300</v>
      </c>
      <c r="Q17" s="99">
        <v>40.619999999999997</v>
      </c>
      <c r="R17" s="101">
        <v>1000</v>
      </c>
      <c r="S17" s="99">
        <v>44.68</v>
      </c>
      <c r="T17" s="101">
        <v>2500</v>
      </c>
      <c r="U17" s="99">
        <v>48.44</v>
      </c>
      <c r="V17" s="99"/>
      <c r="W17" s="99"/>
      <c r="X17" s="99"/>
      <c r="Y17" s="99"/>
      <c r="Z17" s="99"/>
      <c r="AA17" s="99"/>
      <c r="AB17" s="99"/>
      <c r="AC17" s="99"/>
      <c r="AD17" s="99"/>
      <c r="AE17" s="99">
        <v>22.03</v>
      </c>
      <c r="AF17" s="101">
        <v>2000</v>
      </c>
      <c r="AG17" s="99">
        <v>22.46</v>
      </c>
      <c r="AH17" s="99"/>
      <c r="AI17" s="99"/>
      <c r="AJ17" s="99"/>
      <c r="AK17" s="99"/>
      <c r="AL17" s="99"/>
      <c r="AM17" s="99"/>
      <c r="AN17" s="99"/>
      <c r="AO17" s="99" t="s">
        <v>484</v>
      </c>
      <c r="AP17" s="100" t="s">
        <v>485</v>
      </c>
      <c r="AQ17" s="100"/>
      <c r="AR17" s="100"/>
      <c r="AS17" s="102" t="s">
        <v>25</v>
      </c>
      <c r="AT17" s="100">
        <v>6.8</v>
      </c>
      <c r="AU17" s="100" t="s">
        <v>485</v>
      </c>
      <c r="AV17" s="99"/>
      <c r="AW17" s="100">
        <v>0</v>
      </c>
      <c r="AX17" s="100">
        <v>0</v>
      </c>
      <c r="AY17" s="100">
        <v>0</v>
      </c>
      <c r="AZ17" s="100">
        <v>25</v>
      </c>
      <c r="BA17" s="100">
        <v>0</v>
      </c>
      <c r="BB17" s="100">
        <v>0</v>
      </c>
      <c r="BC17" s="100">
        <v>0</v>
      </c>
      <c r="BD17" s="100">
        <v>0</v>
      </c>
      <c r="BE17" s="100">
        <v>0</v>
      </c>
      <c r="BF17" s="100">
        <v>0</v>
      </c>
      <c r="BG17" s="100"/>
      <c r="BH17" s="100" t="s">
        <v>485</v>
      </c>
      <c r="BI17" s="100">
        <v>24</v>
      </c>
      <c r="BJ17" s="100" t="s">
        <v>485</v>
      </c>
      <c r="BK17" s="100"/>
      <c r="BL17" s="99"/>
      <c r="BM17" s="99"/>
      <c r="BN17" s="100"/>
      <c r="BO17" s="100" t="s">
        <v>486</v>
      </c>
      <c r="BP17" s="99"/>
      <c r="BQ17" t="s">
        <v>478</v>
      </c>
      <c r="BR17" t="s">
        <v>426</v>
      </c>
    </row>
    <row r="18" spans="1:70" x14ac:dyDescent="0.15">
      <c r="A18" s="96">
        <v>2548</v>
      </c>
      <c r="B18" s="146">
        <v>41467</v>
      </c>
      <c r="C18" s="98" t="s">
        <v>79</v>
      </c>
      <c r="D18" s="99" t="s">
        <v>80</v>
      </c>
      <c r="E18" s="99"/>
      <c r="F18" s="99" t="s">
        <v>81</v>
      </c>
      <c r="G18" s="97">
        <v>41455</v>
      </c>
      <c r="H18" s="100" t="s">
        <v>82</v>
      </c>
      <c r="I18" s="100" t="s">
        <v>309</v>
      </c>
      <c r="J18" s="100"/>
      <c r="K18" s="99" t="s">
        <v>209</v>
      </c>
      <c r="L18" s="99" t="s">
        <v>211</v>
      </c>
      <c r="M18" s="99">
        <v>84.257999999999996</v>
      </c>
      <c r="N18" s="99">
        <v>44.454000000000001</v>
      </c>
      <c r="O18" s="99" t="s">
        <v>166</v>
      </c>
      <c r="P18" s="101">
        <v>1000</v>
      </c>
      <c r="Q18" s="99">
        <v>46.5</v>
      </c>
      <c r="R18" s="105">
        <v>1000</v>
      </c>
      <c r="S18" s="106">
        <v>46.5</v>
      </c>
      <c r="T18" s="105">
        <v>1000</v>
      </c>
      <c r="U18" s="106">
        <v>46.5</v>
      </c>
      <c r="V18" s="99"/>
      <c r="W18" s="99"/>
      <c r="X18" s="99"/>
      <c r="Y18" s="99"/>
      <c r="Z18" s="99"/>
      <c r="AA18" s="99"/>
      <c r="AB18" s="99"/>
      <c r="AC18" s="99"/>
      <c r="AD18" s="99"/>
      <c r="AE18" s="99">
        <v>36.456000000000003</v>
      </c>
      <c r="AF18" s="101"/>
      <c r="AG18" s="99"/>
      <c r="AH18" s="99"/>
      <c r="AI18" s="99"/>
      <c r="AJ18" s="99"/>
      <c r="AK18" s="99"/>
      <c r="AL18" s="99"/>
      <c r="AM18" s="99"/>
      <c r="AN18" s="99"/>
      <c r="AO18" s="99" t="s">
        <v>48</v>
      </c>
      <c r="AP18" s="100" t="s">
        <v>82</v>
      </c>
      <c r="AQ18" s="100"/>
      <c r="AR18" s="100"/>
      <c r="AS18" s="102"/>
      <c r="AT18" s="100"/>
      <c r="AU18" s="100" t="s">
        <v>82</v>
      </c>
      <c r="AV18" s="99"/>
      <c r="AW18" s="100">
        <v>0</v>
      </c>
      <c r="AX18" s="100">
        <v>0</v>
      </c>
      <c r="AY18" s="100">
        <v>15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/>
      <c r="BH18" s="100" t="s">
        <v>82</v>
      </c>
      <c r="BI18" s="100"/>
      <c r="BJ18" s="100" t="s">
        <v>82</v>
      </c>
      <c r="BK18" s="100"/>
      <c r="BL18" s="103"/>
      <c r="BM18" s="99"/>
      <c r="BN18" s="100"/>
      <c r="BO18" s="100" t="s">
        <v>86</v>
      </c>
      <c r="BP18" s="103" t="s">
        <v>488</v>
      </c>
      <c r="BQ18" t="s">
        <v>234</v>
      </c>
      <c r="BR18" s="70" t="s">
        <v>426</v>
      </c>
    </row>
    <row r="19" spans="1:70" x14ac:dyDescent="0.15">
      <c r="A19" s="96">
        <v>957</v>
      </c>
      <c r="B19" s="146">
        <v>41464</v>
      </c>
      <c r="C19" s="98" t="s">
        <v>79</v>
      </c>
      <c r="D19" s="99" t="s">
        <v>578</v>
      </c>
      <c r="E19" s="99"/>
      <c r="F19" s="99" t="s">
        <v>579</v>
      </c>
      <c r="G19" s="97">
        <v>41495</v>
      </c>
      <c r="H19" s="100" t="s">
        <v>83</v>
      </c>
      <c r="I19" s="100" t="s">
        <v>82</v>
      </c>
      <c r="J19" s="100"/>
      <c r="K19" s="99" t="s">
        <v>573</v>
      </c>
      <c r="L19" s="99" t="s">
        <v>574</v>
      </c>
      <c r="M19" s="99">
        <v>80.95</v>
      </c>
      <c r="N19" s="99">
        <v>40.9</v>
      </c>
      <c r="O19" s="99" t="s">
        <v>477</v>
      </c>
      <c r="P19" s="101">
        <v>1000</v>
      </c>
      <c r="Q19" s="99">
        <v>44.4</v>
      </c>
      <c r="R19" s="105">
        <v>1000</v>
      </c>
      <c r="S19" s="106">
        <v>44.4</v>
      </c>
      <c r="T19" s="105">
        <v>1000</v>
      </c>
      <c r="U19" s="106">
        <v>44.4</v>
      </c>
      <c r="V19" s="99"/>
      <c r="W19" s="99"/>
      <c r="X19" s="99"/>
      <c r="Y19" s="99"/>
      <c r="Z19" s="99"/>
      <c r="AA19" s="99"/>
      <c r="AB19" s="99"/>
      <c r="AC19" s="99"/>
      <c r="AD19" s="99"/>
      <c r="AE19" s="99">
        <v>22.49</v>
      </c>
      <c r="AF19" s="101"/>
      <c r="AG19" s="99"/>
      <c r="AH19" s="99"/>
      <c r="AI19" s="99"/>
      <c r="AJ19" s="99"/>
      <c r="AK19" s="99"/>
      <c r="AL19" s="99"/>
      <c r="AM19" s="99"/>
      <c r="AN19" s="99"/>
      <c r="AO19" s="99" t="s">
        <v>427</v>
      </c>
      <c r="AP19" s="100" t="s">
        <v>82</v>
      </c>
      <c r="AQ19" s="100"/>
      <c r="AR19" s="100"/>
      <c r="AS19" s="102" t="s">
        <v>424</v>
      </c>
      <c r="AT19" s="100">
        <v>11.6</v>
      </c>
      <c r="AU19" s="100" t="s">
        <v>82</v>
      </c>
      <c r="AV19" s="99"/>
      <c r="AW19" s="100">
        <v>0</v>
      </c>
      <c r="AX19" s="100">
        <v>0</v>
      </c>
      <c r="AY19" s="100">
        <v>0</v>
      </c>
      <c r="AZ19" s="100">
        <v>20</v>
      </c>
      <c r="BA19" s="100">
        <v>0</v>
      </c>
      <c r="BB19" s="100">
        <v>0</v>
      </c>
      <c r="BC19" s="100">
        <v>0</v>
      </c>
      <c r="BD19" s="100">
        <v>0</v>
      </c>
      <c r="BE19" s="100">
        <v>0</v>
      </c>
      <c r="BF19" s="100">
        <v>0</v>
      </c>
      <c r="BG19" s="100"/>
      <c r="BH19" s="100" t="s">
        <v>82</v>
      </c>
      <c r="BI19" s="100"/>
      <c r="BJ19" s="100" t="s">
        <v>82</v>
      </c>
      <c r="BK19" s="100"/>
      <c r="BL19" s="99" t="s">
        <v>575</v>
      </c>
      <c r="BM19" s="99"/>
      <c r="BN19" s="100"/>
      <c r="BO19" s="100" t="s">
        <v>86</v>
      </c>
      <c r="BP19" s="99"/>
      <c r="BQ19" t="s">
        <v>576</v>
      </c>
      <c r="BR19" s="70" t="s">
        <v>577</v>
      </c>
    </row>
    <row r="20" spans="1:70" x14ac:dyDescent="0.15">
      <c r="A20" s="96">
        <v>959</v>
      </c>
      <c r="B20" s="146">
        <v>41464</v>
      </c>
      <c r="C20" s="98" t="s">
        <v>79</v>
      </c>
      <c r="D20" s="99" t="s">
        <v>80</v>
      </c>
      <c r="E20" s="99"/>
      <c r="F20" s="99" t="s">
        <v>81</v>
      </c>
      <c r="G20" s="104">
        <v>41455</v>
      </c>
      <c r="H20" s="100" t="s">
        <v>83</v>
      </c>
      <c r="I20" s="100" t="s">
        <v>82</v>
      </c>
      <c r="J20" s="100"/>
      <c r="K20" s="99" t="s">
        <v>580</v>
      </c>
      <c r="L20" s="99" t="s">
        <v>581</v>
      </c>
      <c r="M20" s="99">
        <v>86.95</v>
      </c>
      <c r="N20" s="99">
        <v>33.26</v>
      </c>
      <c r="O20" s="99" t="s">
        <v>543</v>
      </c>
      <c r="P20" s="101">
        <v>300</v>
      </c>
      <c r="Q20" s="99">
        <v>35.89</v>
      </c>
      <c r="R20" s="101">
        <v>1000</v>
      </c>
      <c r="S20" s="99">
        <v>38.950000000000003</v>
      </c>
      <c r="T20" s="101">
        <v>2500</v>
      </c>
      <c r="U20" s="99">
        <v>39.869999999999997</v>
      </c>
      <c r="V20" s="99"/>
      <c r="W20" s="99"/>
      <c r="X20" s="99"/>
      <c r="Y20" s="99"/>
      <c r="Z20" s="99"/>
      <c r="AA20" s="99"/>
      <c r="AB20" s="99"/>
      <c r="AC20" s="99"/>
      <c r="AD20" s="99"/>
      <c r="AE20" s="99">
        <v>19.95</v>
      </c>
      <c r="AF20" s="101"/>
      <c r="AG20" s="99"/>
      <c r="AH20" s="99"/>
      <c r="AI20" s="99"/>
      <c r="AJ20" s="99"/>
      <c r="AK20" s="99"/>
      <c r="AL20" s="99"/>
      <c r="AM20" s="99"/>
      <c r="AN20" s="99"/>
      <c r="AO20" s="99" t="s">
        <v>484</v>
      </c>
      <c r="AP20" s="100" t="s">
        <v>485</v>
      </c>
      <c r="AQ20" s="100"/>
      <c r="AR20" s="100"/>
      <c r="AS20" s="102" t="s">
        <v>25</v>
      </c>
      <c r="AT20" s="100">
        <v>12</v>
      </c>
      <c r="AU20" s="100" t="s">
        <v>485</v>
      </c>
      <c r="AV20" s="99"/>
      <c r="AW20" s="100">
        <v>0</v>
      </c>
      <c r="AX20" s="100">
        <v>0</v>
      </c>
      <c r="AY20" s="100">
        <v>7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24</v>
      </c>
      <c r="BH20" s="100" t="s">
        <v>544</v>
      </c>
      <c r="BI20" s="100"/>
      <c r="BJ20" s="100" t="s">
        <v>485</v>
      </c>
      <c r="BK20" s="100"/>
      <c r="BL20" s="99"/>
      <c r="BM20" s="99"/>
      <c r="BN20" s="100"/>
      <c r="BO20" s="100" t="s">
        <v>486</v>
      </c>
      <c r="BP20" s="99" t="s">
        <v>541</v>
      </c>
      <c r="BQ20" t="s">
        <v>542</v>
      </c>
      <c r="BR20" s="70" t="s">
        <v>426</v>
      </c>
    </row>
    <row r="21" spans="1:70" x14ac:dyDescent="0.15">
      <c r="A21" s="96">
        <v>961</v>
      </c>
      <c r="B21" s="146">
        <v>41464</v>
      </c>
      <c r="C21" s="98" t="s">
        <v>79</v>
      </c>
      <c r="D21" s="99" t="s">
        <v>80</v>
      </c>
      <c r="E21" s="99"/>
      <c r="F21" s="99" t="s">
        <v>81</v>
      </c>
      <c r="G21" s="97">
        <v>41495</v>
      </c>
      <c r="H21" s="100" t="s">
        <v>83</v>
      </c>
      <c r="I21" s="100" t="s">
        <v>82</v>
      </c>
      <c r="J21" s="100"/>
      <c r="K21" s="99" t="s">
        <v>545</v>
      </c>
      <c r="L21" s="99" t="s">
        <v>574</v>
      </c>
      <c r="M21" s="99">
        <v>80.95</v>
      </c>
      <c r="N21" s="99">
        <v>42.65</v>
      </c>
      <c r="O21" s="99" t="s">
        <v>477</v>
      </c>
      <c r="P21" s="101">
        <v>1000</v>
      </c>
      <c r="Q21" s="99">
        <v>46.25</v>
      </c>
      <c r="R21" s="105">
        <v>1000</v>
      </c>
      <c r="S21" s="106">
        <v>46.25</v>
      </c>
      <c r="T21" s="105">
        <v>1000</v>
      </c>
      <c r="U21" s="106">
        <v>46.25</v>
      </c>
      <c r="V21" s="99"/>
      <c r="W21" s="99"/>
      <c r="X21" s="99"/>
      <c r="Y21" s="99"/>
      <c r="Z21" s="99"/>
      <c r="AA21" s="99"/>
      <c r="AB21" s="99"/>
      <c r="AC21" s="99"/>
      <c r="AD21" s="99"/>
      <c r="AE21" s="99">
        <v>23.45</v>
      </c>
      <c r="AF21" s="101"/>
      <c r="AG21" s="99"/>
      <c r="AH21" s="99"/>
      <c r="AI21" s="99"/>
      <c r="AJ21" s="99"/>
      <c r="AK21" s="99"/>
      <c r="AL21" s="99"/>
      <c r="AM21" s="99"/>
      <c r="AN21" s="99"/>
      <c r="AO21" s="99" t="s">
        <v>427</v>
      </c>
      <c r="AP21" s="100" t="s">
        <v>82</v>
      </c>
      <c r="AQ21" s="100"/>
      <c r="AR21" s="100"/>
      <c r="AS21" s="102" t="s">
        <v>424</v>
      </c>
      <c r="AT21" s="100">
        <v>11.6</v>
      </c>
      <c r="AU21" s="100" t="s">
        <v>85</v>
      </c>
      <c r="AV21" s="99"/>
      <c r="AW21" s="100">
        <v>0</v>
      </c>
      <c r="AX21" s="100">
        <v>0</v>
      </c>
      <c r="AY21" s="100">
        <v>0</v>
      </c>
      <c r="AZ21" s="100">
        <v>0</v>
      </c>
      <c r="BA21" s="100">
        <v>0</v>
      </c>
      <c r="BB21" s="100">
        <v>25</v>
      </c>
      <c r="BC21" s="100">
        <v>0</v>
      </c>
      <c r="BD21" s="100">
        <v>0</v>
      </c>
      <c r="BE21" s="100">
        <v>0</v>
      </c>
      <c r="BF21" s="100">
        <v>0</v>
      </c>
      <c r="BG21" s="100"/>
      <c r="BH21" s="100" t="s">
        <v>82</v>
      </c>
      <c r="BI21" s="100"/>
      <c r="BJ21" s="100" t="s">
        <v>82</v>
      </c>
      <c r="BK21" s="100"/>
      <c r="BL21" s="99"/>
      <c r="BM21" s="99"/>
      <c r="BN21" s="100"/>
      <c r="BO21" s="100" t="s">
        <v>86</v>
      </c>
      <c r="BP21" s="99"/>
      <c r="BQ21" t="s">
        <v>546</v>
      </c>
      <c r="BR21" s="70" t="s">
        <v>577</v>
      </c>
    </row>
    <row r="22" spans="1:70" x14ac:dyDescent="0.15">
      <c r="A22" s="96">
        <v>966</v>
      </c>
      <c r="B22" s="146">
        <v>41467</v>
      </c>
      <c r="C22" s="98" t="s">
        <v>79</v>
      </c>
      <c r="D22" s="99" t="s">
        <v>80</v>
      </c>
      <c r="E22" s="99"/>
      <c r="F22" s="99" t="s">
        <v>81</v>
      </c>
      <c r="G22" s="97">
        <v>41467</v>
      </c>
      <c r="H22" s="100" t="s">
        <v>83</v>
      </c>
      <c r="I22" s="100" t="s">
        <v>82</v>
      </c>
      <c r="J22" s="100"/>
      <c r="K22" s="99" t="s">
        <v>547</v>
      </c>
      <c r="L22" s="99" t="s">
        <v>548</v>
      </c>
      <c r="M22" s="99">
        <v>89.6</v>
      </c>
      <c r="N22" s="99">
        <v>42.27</v>
      </c>
      <c r="O22" s="99" t="s">
        <v>477</v>
      </c>
      <c r="P22" s="101">
        <v>1000</v>
      </c>
      <c r="Q22" s="99">
        <v>45.43</v>
      </c>
      <c r="R22" s="105">
        <v>1000</v>
      </c>
      <c r="S22" s="106">
        <v>45.43</v>
      </c>
      <c r="T22" s="105">
        <v>1000</v>
      </c>
      <c r="U22" s="106">
        <v>45.43</v>
      </c>
      <c r="V22" s="99"/>
      <c r="W22" s="99"/>
      <c r="X22" s="101"/>
      <c r="Y22" s="99"/>
      <c r="Z22" s="101"/>
      <c r="AA22" s="99"/>
      <c r="AB22" s="101"/>
      <c r="AC22" s="99"/>
      <c r="AD22" s="99"/>
      <c r="AE22" s="99">
        <v>16.91</v>
      </c>
      <c r="AF22" s="101"/>
      <c r="AG22" s="99"/>
      <c r="AH22" s="99"/>
      <c r="AI22" s="99"/>
      <c r="AJ22" s="99"/>
      <c r="AK22" s="99"/>
      <c r="AL22" s="99"/>
      <c r="AM22" s="99"/>
      <c r="AN22" s="99"/>
      <c r="AO22" s="99" t="s">
        <v>427</v>
      </c>
      <c r="AP22" s="100" t="s">
        <v>82</v>
      </c>
      <c r="AQ22" s="100"/>
      <c r="AR22" s="100"/>
      <c r="AS22" s="102" t="s">
        <v>424</v>
      </c>
      <c r="AT22" s="100">
        <v>15</v>
      </c>
      <c r="AU22" s="100" t="s">
        <v>85</v>
      </c>
      <c r="AV22" s="99"/>
      <c r="AW22" s="100">
        <v>0</v>
      </c>
      <c r="AX22" s="100">
        <v>0</v>
      </c>
      <c r="AY22" s="100">
        <v>0</v>
      </c>
      <c r="AZ22" s="100">
        <v>18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/>
      <c r="BH22" s="100" t="s">
        <v>82</v>
      </c>
      <c r="BI22" s="100">
        <v>12</v>
      </c>
      <c r="BJ22" s="100" t="s">
        <v>82</v>
      </c>
      <c r="BK22" s="100"/>
      <c r="BL22" s="103" t="s">
        <v>549</v>
      </c>
      <c r="BM22" s="103" t="s">
        <v>64</v>
      </c>
      <c r="BN22" s="100">
        <v>50</v>
      </c>
      <c r="BO22" s="100" t="s">
        <v>86</v>
      </c>
      <c r="BP22" s="99"/>
      <c r="BQ22" t="s">
        <v>583</v>
      </c>
      <c r="BR22" s="70" t="s">
        <v>426</v>
      </c>
    </row>
    <row r="23" spans="1:70" x14ac:dyDescent="0.15">
      <c r="A23" s="96">
        <v>975</v>
      </c>
      <c r="B23" s="146">
        <v>41467</v>
      </c>
      <c r="C23" s="98" t="s">
        <v>79</v>
      </c>
      <c r="D23" s="99" t="s">
        <v>80</v>
      </c>
      <c r="E23" s="99"/>
      <c r="F23" s="99" t="s">
        <v>81</v>
      </c>
      <c r="G23" s="97">
        <v>41468</v>
      </c>
      <c r="H23" s="100" t="s">
        <v>83</v>
      </c>
      <c r="I23" s="100" t="s">
        <v>82</v>
      </c>
      <c r="J23" s="100"/>
      <c r="K23" s="99" t="s">
        <v>584</v>
      </c>
      <c r="L23" s="99" t="s">
        <v>585</v>
      </c>
      <c r="M23" s="99">
        <v>85.85</v>
      </c>
      <c r="N23" s="99">
        <v>37.700000000000003</v>
      </c>
      <c r="O23" s="99" t="s">
        <v>477</v>
      </c>
      <c r="P23" s="101">
        <v>1000</v>
      </c>
      <c r="Q23" s="99">
        <v>42.1</v>
      </c>
      <c r="R23" s="105">
        <v>1000</v>
      </c>
      <c r="S23" s="106">
        <v>42.1</v>
      </c>
      <c r="T23" s="105">
        <v>1000</v>
      </c>
      <c r="U23" s="106">
        <v>42.1</v>
      </c>
      <c r="V23" s="99"/>
      <c r="W23" s="99"/>
      <c r="X23" s="99"/>
      <c r="Y23" s="99"/>
      <c r="Z23" s="99"/>
      <c r="AA23" s="99"/>
      <c r="AB23" s="99"/>
      <c r="AC23" s="99"/>
      <c r="AD23" s="99"/>
      <c r="AE23" s="99">
        <v>19.399999999999999</v>
      </c>
      <c r="AF23" s="101"/>
      <c r="AG23" s="99"/>
      <c r="AH23" s="99"/>
      <c r="AI23" s="99"/>
      <c r="AJ23" s="99"/>
      <c r="AK23" s="99"/>
      <c r="AL23" s="99"/>
      <c r="AM23" s="99"/>
      <c r="AN23" s="99"/>
      <c r="AO23" s="99" t="s">
        <v>427</v>
      </c>
      <c r="AP23" s="100" t="s">
        <v>82</v>
      </c>
      <c r="AQ23" s="100"/>
      <c r="AR23" s="100"/>
      <c r="AS23" s="102" t="s">
        <v>424</v>
      </c>
      <c r="AT23" s="100">
        <v>16</v>
      </c>
      <c r="AU23" s="100" t="s">
        <v>82</v>
      </c>
      <c r="AV23" s="99"/>
      <c r="AW23" s="100">
        <v>0</v>
      </c>
      <c r="AX23" s="100">
        <v>0</v>
      </c>
      <c r="AY23" s="100">
        <v>10</v>
      </c>
      <c r="AZ23" s="100">
        <v>0</v>
      </c>
      <c r="BA23" s="100">
        <v>0</v>
      </c>
      <c r="BB23" s="100">
        <v>0</v>
      </c>
      <c r="BC23" s="100">
        <v>0</v>
      </c>
      <c r="BD23" s="100">
        <v>0</v>
      </c>
      <c r="BE23" s="100">
        <v>0</v>
      </c>
      <c r="BF23" s="100">
        <v>0</v>
      </c>
      <c r="BG23" s="100"/>
      <c r="BH23" s="100" t="s">
        <v>82</v>
      </c>
      <c r="BI23" s="100"/>
      <c r="BJ23" s="100" t="s">
        <v>82</v>
      </c>
      <c r="BK23" s="100"/>
      <c r="BL23" s="99" t="s">
        <v>586</v>
      </c>
      <c r="BM23" s="99"/>
      <c r="BN23" s="100"/>
      <c r="BO23" s="100" t="s">
        <v>86</v>
      </c>
      <c r="BP23" s="99"/>
      <c r="BQ23" t="s">
        <v>587</v>
      </c>
      <c r="BR23" t="s">
        <v>588</v>
      </c>
    </row>
    <row r="24" spans="1:70" x14ac:dyDescent="0.15">
      <c r="A24" s="96">
        <v>985</v>
      </c>
      <c r="B24" s="146">
        <v>41464</v>
      </c>
      <c r="C24" s="98" t="s">
        <v>79</v>
      </c>
      <c r="D24" s="99" t="s">
        <v>80</v>
      </c>
      <c r="E24" s="99"/>
      <c r="F24" s="99" t="s">
        <v>81</v>
      </c>
      <c r="G24" s="97">
        <v>41469</v>
      </c>
      <c r="H24" s="100" t="s">
        <v>83</v>
      </c>
      <c r="I24" s="100" t="s">
        <v>82</v>
      </c>
      <c r="J24" s="100"/>
      <c r="K24" s="99" t="s">
        <v>591</v>
      </c>
      <c r="L24" s="99" t="s">
        <v>592</v>
      </c>
      <c r="M24" s="99">
        <v>82.59</v>
      </c>
      <c r="N24" s="99">
        <v>40.04</v>
      </c>
      <c r="O24" s="99" t="s">
        <v>477</v>
      </c>
      <c r="P24" s="101">
        <v>600</v>
      </c>
      <c r="Q24" s="99">
        <v>39.24</v>
      </c>
      <c r="R24" s="105">
        <v>600</v>
      </c>
      <c r="S24" s="106">
        <v>39.24</v>
      </c>
      <c r="T24" s="105">
        <v>600</v>
      </c>
      <c r="U24" s="106">
        <v>39.24</v>
      </c>
      <c r="V24" s="99"/>
      <c r="W24" s="99"/>
      <c r="X24" s="99"/>
      <c r="Y24" s="99"/>
      <c r="Z24" s="99"/>
      <c r="AA24" s="99"/>
      <c r="AB24" s="99"/>
      <c r="AC24" s="99"/>
      <c r="AD24" s="99"/>
      <c r="AE24" s="99">
        <v>21.56</v>
      </c>
      <c r="AF24" s="101"/>
      <c r="AG24" s="99"/>
      <c r="AH24" s="99"/>
      <c r="AI24" s="99"/>
      <c r="AJ24" s="99"/>
      <c r="AK24" s="99"/>
      <c r="AL24" s="99"/>
      <c r="AM24" s="99"/>
      <c r="AN24" s="99"/>
      <c r="AO24" s="99" t="s">
        <v>427</v>
      </c>
      <c r="AP24" s="100" t="s">
        <v>82</v>
      </c>
      <c r="AQ24" s="100"/>
      <c r="AR24" s="100"/>
      <c r="AS24" s="102" t="s">
        <v>424</v>
      </c>
      <c r="AT24" s="100">
        <v>6.8</v>
      </c>
      <c r="AU24" s="100" t="s">
        <v>82</v>
      </c>
      <c r="AV24" s="99"/>
      <c r="AW24" s="100">
        <v>0</v>
      </c>
      <c r="AX24" s="100">
        <v>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12</v>
      </c>
      <c r="BH24" s="100" t="s">
        <v>83</v>
      </c>
      <c r="BI24" s="100"/>
      <c r="BJ24" s="100" t="s">
        <v>82</v>
      </c>
      <c r="BK24" s="100"/>
      <c r="BL24" s="99"/>
      <c r="BM24" s="99"/>
      <c r="BN24" s="100"/>
      <c r="BO24" s="100" t="s">
        <v>86</v>
      </c>
      <c r="BP24" s="99"/>
      <c r="BQ24" t="s">
        <v>474</v>
      </c>
      <c r="BR24" s="70" t="s">
        <v>426</v>
      </c>
    </row>
    <row r="25" spans="1:70" x14ac:dyDescent="0.15">
      <c r="A25" s="96">
        <v>2284</v>
      </c>
      <c r="B25" s="146">
        <v>41465</v>
      </c>
      <c r="C25" s="98" t="s">
        <v>79</v>
      </c>
      <c r="D25" s="99" t="s">
        <v>80</v>
      </c>
      <c r="E25" s="99"/>
      <c r="F25" s="99" t="s">
        <v>81</v>
      </c>
      <c r="G25" s="97">
        <v>41455</v>
      </c>
      <c r="H25" s="100" t="s">
        <v>83</v>
      </c>
      <c r="I25" s="100" t="s">
        <v>82</v>
      </c>
      <c r="J25" s="100"/>
      <c r="K25" s="99" t="s">
        <v>603</v>
      </c>
      <c r="L25" s="99" t="s">
        <v>604</v>
      </c>
      <c r="M25" s="99">
        <v>82.95</v>
      </c>
      <c r="N25" s="99">
        <v>36.75</v>
      </c>
      <c r="O25" s="99" t="s">
        <v>477</v>
      </c>
      <c r="P25" s="101">
        <v>1000</v>
      </c>
      <c r="Q25" s="99">
        <v>39.229999999999997</v>
      </c>
      <c r="R25" s="105">
        <v>1000</v>
      </c>
      <c r="S25" s="106">
        <v>39.229999999999997</v>
      </c>
      <c r="T25" s="105">
        <v>1000</v>
      </c>
      <c r="U25" s="106">
        <v>39.229999999999997</v>
      </c>
      <c r="V25" s="99"/>
      <c r="W25" s="99"/>
      <c r="X25" s="99"/>
      <c r="Y25" s="99"/>
      <c r="Z25" s="101"/>
      <c r="AA25" s="99"/>
      <c r="AB25" s="101"/>
      <c r="AC25" s="99"/>
      <c r="AD25" s="99"/>
      <c r="AE25" s="99">
        <v>19.25</v>
      </c>
      <c r="AF25" s="101"/>
      <c r="AG25" s="99"/>
      <c r="AH25" s="99"/>
      <c r="AI25" s="99"/>
      <c r="AJ25" s="99"/>
      <c r="AK25" s="99"/>
      <c r="AL25" s="99"/>
      <c r="AM25" s="99"/>
      <c r="AN25" s="99"/>
      <c r="AO25" s="99" t="s">
        <v>427</v>
      </c>
      <c r="AP25" s="100" t="s">
        <v>82</v>
      </c>
      <c r="AQ25" s="100"/>
      <c r="AR25" s="100"/>
      <c r="AS25" s="102" t="s">
        <v>424</v>
      </c>
      <c r="AT25" s="100">
        <v>11</v>
      </c>
      <c r="AU25" s="100" t="s">
        <v>85</v>
      </c>
      <c r="AV25" s="99"/>
      <c r="AW25" s="100">
        <v>0</v>
      </c>
      <c r="AX25" s="100">
        <v>0</v>
      </c>
      <c r="AY25" s="100">
        <v>0</v>
      </c>
      <c r="AZ25" s="100">
        <v>14</v>
      </c>
      <c r="BA25" s="100">
        <v>0</v>
      </c>
      <c r="BB25" s="100">
        <v>0</v>
      </c>
      <c r="BC25" s="100">
        <v>0</v>
      </c>
      <c r="BD25" s="100">
        <v>0</v>
      </c>
      <c r="BE25" s="100">
        <v>0</v>
      </c>
      <c r="BF25" s="100">
        <v>0</v>
      </c>
      <c r="BG25" s="100"/>
      <c r="BH25" s="100" t="s">
        <v>82</v>
      </c>
      <c r="BI25" s="100">
        <v>12</v>
      </c>
      <c r="BJ25" s="100" t="s">
        <v>82</v>
      </c>
      <c r="BK25" s="100"/>
      <c r="BL25" s="103"/>
      <c r="BM25" s="103"/>
      <c r="BN25" s="100"/>
      <c r="BO25" s="100" t="s">
        <v>86</v>
      </c>
      <c r="BP25" s="103"/>
      <c r="BQ25" t="s">
        <v>523</v>
      </c>
      <c r="BR25" t="s">
        <v>426</v>
      </c>
    </row>
    <row r="26" spans="1:70" x14ac:dyDescent="0.15">
      <c r="A26" s="96">
        <v>3782</v>
      </c>
      <c r="B26" s="146">
        <v>41464</v>
      </c>
      <c r="C26" s="98" t="s">
        <v>79</v>
      </c>
      <c r="D26" s="99" t="s">
        <v>80</v>
      </c>
      <c r="E26" s="99"/>
      <c r="F26" s="99" t="s">
        <v>81</v>
      </c>
      <c r="G26" s="97">
        <v>41455</v>
      </c>
      <c r="H26" s="100" t="s">
        <v>83</v>
      </c>
      <c r="I26" s="100" t="s">
        <v>82</v>
      </c>
      <c r="J26" s="100"/>
      <c r="K26" s="99" t="s">
        <v>524</v>
      </c>
      <c r="L26" s="99" t="s">
        <v>574</v>
      </c>
      <c r="M26" s="99">
        <v>83</v>
      </c>
      <c r="N26" s="99">
        <v>38</v>
      </c>
      <c r="O26" s="99"/>
      <c r="P26" s="101"/>
      <c r="Q26" s="99"/>
      <c r="R26" s="101"/>
      <c r="S26" s="99"/>
      <c r="T26" s="101"/>
      <c r="U26" s="99"/>
      <c r="V26" s="99"/>
      <c r="W26" s="99"/>
      <c r="X26" s="99"/>
      <c r="Y26" s="99"/>
      <c r="Z26" s="101"/>
      <c r="AA26" s="99"/>
      <c r="AB26" s="101"/>
      <c r="AC26" s="99"/>
      <c r="AD26" s="99"/>
      <c r="AE26" s="99">
        <v>28</v>
      </c>
      <c r="AF26" s="101"/>
      <c r="AG26" s="99"/>
      <c r="AH26" s="99"/>
      <c r="AI26" s="99"/>
      <c r="AJ26" s="99"/>
      <c r="AK26" s="99"/>
      <c r="AL26" s="99"/>
      <c r="AM26" s="99"/>
      <c r="AN26" s="99"/>
      <c r="AO26" s="99" t="s">
        <v>427</v>
      </c>
      <c r="AP26" s="100" t="s">
        <v>82</v>
      </c>
      <c r="AQ26" s="100"/>
      <c r="AR26" s="100"/>
      <c r="AS26" s="102" t="s">
        <v>424</v>
      </c>
      <c r="AT26" s="100">
        <v>16.3</v>
      </c>
      <c r="AU26" s="100" t="s">
        <v>85</v>
      </c>
      <c r="AV26" s="99"/>
      <c r="AW26" s="100">
        <v>0</v>
      </c>
      <c r="AX26" s="100">
        <v>0</v>
      </c>
      <c r="AY26" s="100">
        <v>0</v>
      </c>
      <c r="AZ26" s="100">
        <v>14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24</v>
      </c>
      <c r="BH26" s="100" t="s">
        <v>82</v>
      </c>
      <c r="BI26" s="100"/>
      <c r="BJ26" s="100" t="s">
        <v>82</v>
      </c>
      <c r="BK26" s="100"/>
      <c r="BL26" s="99"/>
      <c r="BM26" s="99"/>
      <c r="BN26" s="100"/>
      <c r="BO26" s="100" t="s">
        <v>86</v>
      </c>
      <c r="BP26" s="99"/>
      <c r="BQ26" t="s">
        <v>525</v>
      </c>
      <c r="BR26" t="s">
        <v>426</v>
      </c>
    </row>
    <row r="27" spans="1:70" x14ac:dyDescent="0.15">
      <c r="A27" s="96">
        <v>1014</v>
      </c>
      <c r="B27" s="146">
        <v>41464</v>
      </c>
      <c r="C27" s="98" t="s">
        <v>79</v>
      </c>
      <c r="D27" s="99" t="s">
        <v>80</v>
      </c>
      <c r="E27" s="99"/>
      <c r="F27" s="99" t="s">
        <v>81</v>
      </c>
      <c r="G27" s="97">
        <v>41479</v>
      </c>
      <c r="H27" s="100" t="s">
        <v>83</v>
      </c>
      <c r="I27" s="100" t="s">
        <v>82</v>
      </c>
      <c r="J27" s="100"/>
      <c r="K27" s="99" t="s">
        <v>526</v>
      </c>
      <c r="L27" s="99" t="s">
        <v>527</v>
      </c>
      <c r="M27" s="99">
        <v>85.85</v>
      </c>
      <c r="N27" s="99">
        <v>37.700000000000003</v>
      </c>
      <c r="O27" s="99" t="s">
        <v>477</v>
      </c>
      <c r="P27" s="101">
        <v>1000</v>
      </c>
      <c r="Q27" s="99">
        <v>42.1</v>
      </c>
      <c r="R27" s="105">
        <v>1000</v>
      </c>
      <c r="S27" s="106">
        <v>42.1</v>
      </c>
      <c r="T27" s="105">
        <v>1000</v>
      </c>
      <c r="U27" s="106">
        <v>42.1</v>
      </c>
      <c r="V27" s="99"/>
      <c r="W27" s="99"/>
      <c r="X27" s="101"/>
      <c r="Y27" s="99"/>
      <c r="Z27" s="101"/>
      <c r="AA27" s="99"/>
      <c r="AB27" s="101"/>
      <c r="AC27" s="99"/>
      <c r="AD27" s="99"/>
      <c r="AE27" s="99">
        <v>19.399999999999999</v>
      </c>
      <c r="AF27" s="101"/>
      <c r="AG27" s="99"/>
      <c r="AH27" s="99"/>
      <c r="AI27" s="99"/>
      <c r="AJ27" s="99"/>
      <c r="AK27" s="99"/>
      <c r="AL27" s="99"/>
      <c r="AM27" s="99"/>
      <c r="AN27" s="99"/>
      <c r="AO27" s="99" t="s">
        <v>427</v>
      </c>
      <c r="AP27" s="100" t="s">
        <v>82</v>
      </c>
      <c r="AQ27" s="100"/>
      <c r="AR27" s="100"/>
      <c r="AS27" s="102" t="s">
        <v>528</v>
      </c>
      <c r="AT27" s="100">
        <v>16</v>
      </c>
      <c r="AU27" s="100" t="s">
        <v>85</v>
      </c>
      <c r="AV27" s="99"/>
      <c r="AW27" s="100">
        <v>0</v>
      </c>
      <c r="AX27" s="100">
        <v>0</v>
      </c>
      <c r="AY27" s="100">
        <v>10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/>
      <c r="BH27" s="100" t="s">
        <v>82</v>
      </c>
      <c r="BI27" s="100"/>
      <c r="BJ27" s="100" t="s">
        <v>82</v>
      </c>
      <c r="BK27" s="100"/>
      <c r="BL27" s="99"/>
      <c r="BM27" s="99"/>
      <c r="BN27" s="100"/>
      <c r="BO27" s="100" t="s">
        <v>86</v>
      </c>
      <c r="BP27" s="99"/>
      <c r="BQ27" t="s">
        <v>529</v>
      </c>
      <c r="BR27" s="70" t="s">
        <v>426</v>
      </c>
    </row>
    <row r="28" spans="1:70" x14ac:dyDescent="0.15">
      <c r="A28" s="96">
        <v>1017</v>
      </c>
      <c r="B28" s="146">
        <v>41464</v>
      </c>
      <c r="C28" s="98" t="s">
        <v>79</v>
      </c>
      <c r="D28" s="99" t="s">
        <v>80</v>
      </c>
      <c r="E28" s="99"/>
      <c r="F28" s="99" t="s">
        <v>81</v>
      </c>
      <c r="G28" s="97">
        <v>41455</v>
      </c>
      <c r="H28" s="100" t="s">
        <v>83</v>
      </c>
      <c r="I28" s="100" t="s">
        <v>82</v>
      </c>
      <c r="J28" s="100"/>
      <c r="K28" s="99" t="s">
        <v>562</v>
      </c>
      <c r="L28" s="99" t="s">
        <v>563</v>
      </c>
      <c r="M28" s="99">
        <v>75.486000000000004</v>
      </c>
      <c r="N28" s="99">
        <v>33.499499999999998</v>
      </c>
      <c r="O28" s="99" t="s">
        <v>477</v>
      </c>
      <c r="P28" s="101">
        <v>300</v>
      </c>
      <c r="Q28" s="99">
        <v>34.131999999999998</v>
      </c>
      <c r="R28" s="101">
        <v>1000</v>
      </c>
      <c r="S28" s="99">
        <v>39.0655</v>
      </c>
      <c r="T28" s="101">
        <v>2500</v>
      </c>
      <c r="U28" s="99">
        <v>42.377499999999998</v>
      </c>
      <c r="V28" s="99"/>
      <c r="W28" s="99"/>
      <c r="X28" s="101"/>
      <c r="Y28" s="99"/>
      <c r="Z28" s="101"/>
      <c r="AA28" s="99"/>
      <c r="AB28" s="99"/>
      <c r="AC28" s="99"/>
      <c r="AD28" s="99"/>
      <c r="AE28" s="99">
        <v>16.203499999999998</v>
      </c>
      <c r="AF28" s="101">
        <v>2000</v>
      </c>
      <c r="AG28" s="99">
        <v>17.491499999999998</v>
      </c>
      <c r="AH28" s="99"/>
      <c r="AI28" s="99"/>
      <c r="AJ28" s="99"/>
      <c r="AK28" s="99"/>
      <c r="AL28" s="99"/>
      <c r="AM28" s="99"/>
      <c r="AN28" s="99"/>
      <c r="AO28" s="99" t="s">
        <v>427</v>
      </c>
      <c r="AP28" s="100" t="s">
        <v>82</v>
      </c>
      <c r="AQ28" s="100"/>
      <c r="AR28" s="100"/>
      <c r="AS28" s="102" t="s">
        <v>424</v>
      </c>
      <c r="AT28" s="100">
        <v>6.8</v>
      </c>
      <c r="AU28" s="100" t="s">
        <v>82</v>
      </c>
      <c r="AV28" s="99"/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36</v>
      </c>
      <c r="BH28" s="100" t="s">
        <v>82</v>
      </c>
      <c r="BI28" s="100"/>
      <c r="BJ28" s="100" t="s">
        <v>82</v>
      </c>
      <c r="BK28" s="100"/>
      <c r="BL28" s="99"/>
      <c r="BM28" s="99"/>
      <c r="BN28" s="100"/>
      <c r="BO28" s="100" t="s">
        <v>86</v>
      </c>
      <c r="BP28" s="99" t="s">
        <v>564</v>
      </c>
      <c r="BQ28" t="s">
        <v>565</v>
      </c>
      <c r="BR28" s="70" t="s">
        <v>426</v>
      </c>
    </row>
    <row r="29" spans="1:70" x14ac:dyDescent="0.15">
      <c r="A29" s="96">
        <v>3587</v>
      </c>
      <c r="B29" s="146">
        <v>41464</v>
      </c>
      <c r="C29" s="98" t="s">
        <v>79</v>
      </c>
      <c r="D29" s="99" t="s">
        <v>80</v>
      </c>
      <c r="E29" s="99"/>
      <c r="F29" s="99" t="s">
        <v>81</v>
      </c>
      <c r="G29" s="97">
        <v>41459</v>
      </c>
      <c r="H29" s="100" t="s">
        <v>83</v>
      </c>
      <c r="I29" s="100" t="s">
        <v>82</v>
      </c>
      <c r="J29" s="100"/>
      <c r="K29" s="99" t="s">
        <v>566</v>
      </c>
      <c r="L29" s="99" t="s">
        <v>567</v>
      </c>
      <c r="M29" s="99">
        <v>63.65</v>
      </c>
      <c r="N29" s="99">
        <v>32.44</v>
      </c>
      <c r="O29" s="99" t="s">
        <v>477</v>
      </c>
      <c r="P29" s="101">
        <v>1000</v>
      </c>
      <c r="Q29" s="99">
        <v>36.380000000000003</v>
      </c>
      <c r="R29" s="105">
        <v>1000</v>
      </c>
      <c r="S29" s="106">
        <v>36.380000000000003</v>
      </c>
      <c r="T29" s="105">
        <v>1000</v>
      </c>
      <c r="U29" s="106">
        <v>36.380000000000003</v>
      </c>
      <c r="V29" s="99"/>
      <c r="W29" s="99"/>
      <c r="X29" s="99"/>
      <c r="Y29" s="99"/>
      <c r="Z29" s="99"/>
      <c r="AA29" s="99"/>
      <c r="AB29" s="99"/>
      <c r="AC29" s="99"/>
      <c r="AD29" s="99"/>
      <c r="AE29" s="99">
        <v>20.72</v>
      </c>
      <c r="AF29" s="101"/>
      <c r="AG29" s="99"/>
      <c r="AH29" s="99"/>
      <c r="AI29" s="99"/>
      <c r="AJ29" s="99"/>
      <c r="AK29" s="99"/>
      <c r="AL29" s="99"/>
      <c r="AM29" s="99"/>
      <c r="AN29" s="99"/>
      <c r="AO29" s="99" t="s">
        <v>427</v>
      </c>
      <c r="AP29" s="100" t="s">
        <v>82</v>
      </c>
      <c r="AQ29" s="100"/>
      <c r="AR29" s="100"/>
      <c r="AS29" s="102" t="s">
        <v>424</v>
      </c>
      <c r="AT29" s="145">
        <v>6.8</v>
      </c>
      <c r="AU29" s="100" t="s">
        <v>82</v>
      </c>
      <c r="AV29" s="99"/>
      <c r="AW29" s="100">
        <v>0</v>
      </c>
      <c r="AX29" s="100">
        <v>0</v>
      </c>
      <c r="AY29" s="100">
        <v>0</v>
      </c>
      <c r="AZ29" s="100">
        <v>15</v>
      </c>
      <c r="BA29" s="100">
        <v>0</v>
      </c>
      <c r="BB29" s="100">
        <v>0</v>
      </c>
      <c r="BC29" s="100">
        <v>0</v>
      </c>
      <c r="BD29" s="100">
        <v>0</v>
      </c>
      <c r="BE29" s="100">
        <v>0</v>
      </c>
      <c r="BF29" s="100">
        <v>0</v>
      </c>
      <c r="BG29" s="100">
        <v>24</v>
      </c>
      <c r="BH29" s="100" t="s">
        <v>83</v>
      </c>
      <c r="BI29" s="100"/>
      <c r="BJ29" s="100" t="s">
        <v>82</v>
      </c>
      <c r="BK29" s="100"/>
      <c r="BL29" s="99" t="s">
        <v>568</v>
      </c>
      <c r="BM29" s="99" t="s">
        <v>571</v>
      </c>
      <c r="BN29" s="100">
        <v>25</v>
      </c>
      <c r="BO29" s="100" t="s">
        <v>428</v>
      </c>
      <c r="BP29" s="99"/>
      <c r="BQ29" t="s">
        <v>572</v>
      </c>
      <c r="BR29" s="70" t="s">
        <v>426</v>
      </c>
    </row>
  </sheetData>
  <sheetProtection algorithmName="SHA-512" hashValue="G2OuQ2tz/FS6U8WXCBdChzz4Dm+MU85Pkw6zUoP+oL+4Cesl9R4CSi7GNlcSW6eq+LAklmeIv965oOabVHnMBA==" saltValue="LclrsTTFHwjyN612jmvKYQ==" spinCount="100000" sheet="1" objects="1" scenarios="1"/>
  <phoneticPr fontId="6" type="noConversion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BO31"/>
  <sheetViews>
    <sheetView workbookViewId="0">
      <selection activeCell="F39" sqref="F39"/>
    </sheetView>
  </sheetViews>
  <sheetFormatPr baseColWidth="10" defaultRowHeight="13" x14ac:dyDescent="0.15"/>
  <cols>
    <col min="66" max="66" width="17.33203125" customWidth="1"/>
  </cols>
  <sheetData>
    <row r="1" spans="1:67" ht="70" x14ac:dyDescent="0.15">
      <c r="A1" s="74" t="s">
        <v>265</v>
      </c>
      <c r="B1" s="74" t="s">
        <v>266</v>
      </c>
      <c r="C1" s="75" t="s">
        <v>267</v>
      </c>
      <c r="D1" s="76" t="s">
        <v>268</v>
      </c>
      <c r="E1" s="76" t="s">
        <v>269</v>
      </c>
      <c r="F1" s="76" t="s">
        <v>145</v>
      </c>
      <c r="G1" s="74" t="s">
        <v>146</v>
      </c>
      <c r="H1" s="77" t="s">
        <v>407</v>
      </c>
      <c r="I1" s="77" t="s">
        <v>276</v>
      </c>
      <c r="J1" s="77" t="s">
        <v>277</v>
      </c>
      <c r="K1" s="76" t="s">
        <v>278</v>
      </c>
      <c r="L1" s="78" t="s">
        <v>279</v>
      </c>
      <c r="M1" s="79" t="s">
        <v>280</v>
      </c>
      <c r="N1" s="80" t="s">
        <v>281</v>
      </c>
      <c r="O1" s="80" t="s">
        <v>282</v>
      </c>
      <c r="P1" s="80" t="s">
        <v>283</v>
      </c>
      <c r="Q1" s="80" t="s">
        <v>409</v>
      </c>
      <c r="R1" s="80" t="s">
        <v>410</v>
      </c>
      <c r="S1" s="80" t="s">
        <v>411</v>
      </c>
      <c r="T1" s="80" t="s">
        <v>412</v>
      </c>
      <c r="U1" s="80" t="s">
        <v>191</v>
      </c>
      <c r="V1" s="81" t="s">
        <v>99</v>
      </c>
      <c r="W1" s="82" t="s">
        <v>115</v>
      </c>
      <c r="X1" s="82" t="s">
        <v>210</v>
      </c>
      <c r="Y1" s="82" t="s">
        <v>213</v>
      </c>
      <c r="Z1" s="82" t="s">
        <v>214</v>
      </c>
      <c r="AA1" s="82" t="s">
        <v>215</v>
      </c>
      <c r="AB1" s="82" t="s">
        <v>216</v>
      </c>
      <c r="AC1" s="82" t="s">
        <v>217</v>
      </c>
      <c r="AD1" s="82" t="s">
        <v>218</v>
      </c>
      <c r="AE1" s="83" t="s">
        <v>219</v>
      </c>
      <c r="AF1" s="84" t="s">
        <v>112</v>
      </c>
      <c r="AG1" s="84" t="s">
        <v>113</v>
      </c>
      <c r="AH1" s="85" t="s">
        <v>114</v>
      </c>
      <c r="AI1" s="85" t="s">
        <v>316</v>
      </c>
      <c r="AJ1" s="85" t="s">
        <v>271</v>
      </c>
      <c r="AK1" s="85" t="s">
        <v>272</v>
      </c>
      <c r="AL1" s="86" t="s">
        <v>273</v>
      </c>
      <c r="AM1" s="87" t="s">
        <v>274</v>
      </c>
      <c r="AN1" s="87" t="s">
        <v>275</v>
      </c>
      <c r="AO1" s="88" t="s">
        <v>170</v>
      </c>
      <c r="AP1" s="89" t="s">
        <v>149</v>
      </c>
      <c r="AQ1" s="90" t="s">
        <v>150</v>
      </c>
      <c r="AR1" s="91" t="s">
        <v>151</v>
      </c>
      <c r="AS1" s="92" t="s">
        <v>152</v>
      </c>
      <c r="AT1" s="93" t="s">
        <v>176</v>
      </c>
      <c r="AU1" s="94" t="s">
        <v>177</v>
      </c>
      <c r="AV1" s="93" t="s">
        <v>297</v>
      </c>
      <c r="AW1" s="94" t="s">
        <v>298</v>
      </c>
      <c r="AX1" s="93" t="s">
        <v>299</v>
      </c>
      <c r="AY1" s="94" t="s">
        <v>300</v>
      </c>
      <c r="AZ1" s="93" t="s">
        <v>301</v>
      </c>
      <c r="BA1" s="95" t="s">
        <v>302</v>
      </c>
      <c r="BB1" s="93" t="s">
        <v>382</v>
      </c>
      <c r="BC1" s="95" t="s">
        <v>305</v>
      </c>
      <c r="BD1" s="77" t="s">
        <v>402</v>
      </c>
      <c r="BE1" s="77" t="s">
        <v>403</v>
      </c>
      <c r="BF1" s="77" t="s">
        <v>404</v>
      </c>
      <c r="BG1" s="77" t="s">
        <v>405</v>
      </c>
      <c r="BH1" s="77" t="s">
        <v>406</v>
      </c>
      <c r="BI1" s="75" t="s">
        <v>56</v>
      </c>
      <c r="BJ1" s="75" t="s">
        <v>159</v>
      </c>
      <c r="BK1" s="77" t="s">
        <v>160</v>
      </c>
      <c r="BL1" s="77" t="s">
        <v>346</v>
      </c>
      <c r="BM1" s="75" t="s">
        <v>347</v>
      </c>
      <c r="BN1" s="77" t="s">
        <v>348</v>
      </c>
      <c r="BO1" s="74" t="s">
        <v>460</v>
      </c>
    </row>
    <row r="2" spans="1:67" x14ac:dyDescent="0.15">
      <c r="A2" s="96">
        <v>952</v>
      </c>
      <c r="B2" s="97">
        <v>41135</v>
      </c>
      <c r="C2" s="98" t="s">
        <v>461</v>
      </c>
      <c r="D2" s="99" t="s">
        <v>462</v>
      </c>
      <c r="E2" s="99"/>
      <c r="F2" s="99" t="s">
        <v>58</v>
      </c>
      <c r="G2" s="97">
        <v>41102</v>
      </c>
      <c r="H2" s="100" t="s">
        <v>37</v>
      </c>
      <c r="I2" s="100" t="s">
        <v>309</v>
      </c>
      <c r="J2" s="100"/>
      <c r="K2" s="99" t="s">
        <v>60</v>
      </c>
      <c r="L2" s="99" t="s">
        <v>465</v>
      </c>
      <c r="M2" s="99">
        <v>70.900000000000006</v>
      </c>
      <c r="N2" s="99">
        <v>33.270000000000003</v>
      </c>
      <c r="O2" s="99" t="s">
        <v>556</v>
      </c>
      <c r="P2" s="101">
        <v>1000</v>
      </c>
      <c r="Q2" s="99">
        <v>37.950000000000003</v>
      </c>
      <c r="R2" s="105">
        <v>1000</v>
      </c>
      <c r="S2" s="106">
        <v>37.950000000000003</v>
      </c>
      <c r="T2" s="105">
        <v>1000</v>
      </c>
      <c r="U2" s="106">
        <v>37.950000000000003</v>
      </c>
      <c r="V2" s="99"/>
      <c r="W2" s="99">
        <v>30.75</v>
      </c>
      <c r="X2" s="101">
        <v>1000</v>
      </c>
      <c r="Y2" s="99">
        <v>34.49</v>
      </c>
      <c r="Z2" s="105">
        <v>1000</v>
      </c>
      <c r="AA2" s="106">
        <v>34.49</v>
      </c>
      <c r="AB2" s="105">
        <v>1000</v>
      </c>
      <c r="AC2" s="106">
        <v>34.49</v>
      </c>
      <c r="AD2" s="99"/>
      <c r="AE2" s="99"/>
      <c r="AF2" s="101"/>
      <c r="AG2" s="99"/>
      <c r="AH2" s="99"/>
      <c r="AI2" s="99"/>
      <c r="AJ2" s="99"/>
      <c r="AK2" s="99"/>
      <c r="AL2" s="99" t="s">
        <v>38</v>
      </c>
      <c r="AM2" s="100" t="s">
        <v>168</v>
      </c>
      <c r="AN2" s="100" t="s">
        <v>169</v>
      </c>
      <c r="AO2" s="100">
        <v>3</v>
      </c>
      <c r="AP2" s="102"/>
      <c r="AQ2" s="100"/>
      <c r="AR2" s="100" t="s">
        <v>39</v>
      </c>
      <c r="AS2" s="99"/>
      <c r="AT2" s="100">
        <v>0</v>
      </c>
      <c r="AU2" s="100">
        <v>0</v>
      </c>
      <c r="AV2" s="100">
        <v>0</v>
      </c>
      <c r="AW2" s="100">
        <v>15</v>
      </c>
      <c r="AX2" s="100">
        <v>0</v>
      </c>
      <c r="AY2" s="100">
        <v>0</v>
      </c>
      <c r="AZ2" s="100">
        <v>0</v>
      </c>
      <c r="BA2" s="100">
        <v>0</v>
      </c>
      <c r="BB2" s="100">
        <v>0</v>
      </c>
      <c r="BC2" s="100">
        <v>2</v>
      </c>
      <c r="BD2" s="100">
        <v>0</v>
      </c>
      <c r="BE2" s="100" t="s">
        <v>37</v>
      </c>
      <c r="BF2" s="100">
        <v>12</v>
      </c>
      <c r="BG2" s="100" t="s">
        <v>37</v>
      </c>
      <c r="BH2" s="100"/>
      <c r="BI2" s="103" t="s">
        <v>40</v>
      </c>
      <c r="BJ2" s="103" t="s">
        <v>64</v>
      </c>
      <c r="BK2" s="100">
        <v>25</v>
      </c>
      <c r="BL2" s="100" t="s">
        <v>41</v>
      </c>
      <c r="BM2" s="99" t="s">
        <v>51</v>
      </c>
      <c r="BN2" t="s">
        <v>78</v>
      </c>
      <c r="BO2" s="70" t="s">
        <v>21</v>
      </c>
    </row>
    <row r="3" spans="1:67" x14ac:dyDescent="0.15">
      <c r="A3" s="96">
        <v>956</v>
      </c>
      <c r="B3" s="97">
        <v>41100</v>
      </c>
      <c r="C3" s="98" t="s">
        <v>446</v>
      </c>
      <c r="D3" s="99" t="s">
        <v>447</v>
      </c>
      <c r="E3" s="99"/>
      <c r="F3" s="99" t="s">
        <v>448</v>
      </c>
      <c r="G3" s="97">
        <v>41111</v>
      </c>
      <c r="H3" s="100" t="s">
        <v>325</v>
      </c>
      <c r="I3" s="100" t="s">
        <v>449</v>
      </c>
      <c r="J3" s="100"/>
      <c r="K3" s="99" t="s">
        <v>450</v>
      </c>
      <c r="L3" s="99" t="s">
        <v>555</v>
      </c>
      <c r="M3" s="99">
        <v>79.08</v>
      </c>
      <c r="N3" s="99">
        <v>31.76</v>
      </c>
      <c r="O3" s="99" t="s">
        <v>556</v>
      </c>
      <c r="P3" s="101">
        <v>300</v>
      </c>
      <c r="Q3" s="99">
        <v>33.049999999999997</v>
      </c>
      <c r="R3" s="101">
        <v>1000</v>
      </c>
      <c r="S3" s="99">
        <v>36.36</v>
      </c>
      <c r="T3" s="101">
        <v>2500</v>
      </c>
      <c r="U3" s="99">
        <v>39.42</v>
      </c>
      <c r="V3" s="99"/>
      <c r="W3" s="99"/>
      <c r="X3" s="99"/>
      <c r="Y3" s="99"/>
      <c r="Z3" s="99"/>
      <c r="AA3" s="99"/>
      <c r="AB3" s="99"/>
      <c r="AC3" s="99"/>
      <c r="AD3" s="99"/>
      <c r="AE3" s="99"/>
      <c r="AF3" s="101"/>
      <c r="AG3" s="99"/>
      <c r="AH3" s="99"/>
      <c r="AI3" s="99"/>
      <c r="AJ3" s="99"/>
      <c r="AK3" s="99"/>
      <c r="AL3" s="99" t="s">
        <v>557</v>
      </c>
      <c r="AM3" s="100" t="s">
        <v>325</v>
      </c>
      <c r="AN3" s="100"/>
      <c r="AO3" s="100"/>
      <c r="AP3" s="102"/>
      <c r="AQ3" s="100"/>
      <c r="AR3" s="100" t="s">
        <v>325</v>
      </c>
      <c r="AS3" s="99"/>
      <c r="AT3" s="100">
        <v>0</v>
      </c>
      <c r="AU3" s="100">
        <v>0</v>
      </c>
      <c r="AV3" s="100">
        <v>0</v>
      </c>
      <c r="AW3" s="100">
        <v>20</v>
      </c>
      <c r="AX3" s="100">
        <v>0</v>
      </c>
      <c r="AY3" s="100">
        <v>0</v>
      </c>
      <c r="AZ3" s="100">
        <v>0</v>
      </c>
      <c r="BA3" s="100">
        <v>0</v>
      </c>
      <c r="BB3" s="100">
        <v>0</v>
      </c>
      <c r="BC3" s="100">
        <v>0</v>
      </c>
      <c r="BD3" s="100">
        <v>0</v>
      </c>
      <c r="BE3" s="100" t="s">
        <v>325</v>
      </c>
      <c r="BF3" s="100">
        <v>24</v>
      </c>
      <c r="BG3" s="100" t="s">
        <v>325</v>
      </c>
      <c r="BH3" s="100"/>
      <c r="BI3" s="99"/>
      <c r="BJ3" s="99"/>
      <c r="BK3" s="100"/>
      <c r="BL3" s="100" t="s">
        <v>558</v>
      </c>
      <c r="BM3" s="99"/>
      <c r="BN3" t="s">
        <v>189</v>
      </c>
      <c r="BO3" s="70" t="s">
        <v>559</v>
      </c>
    </row>
    <row r="4" spans="1:67" x14ac:dyDescent="0.15">
      <c r="A4" s="96">
        <v>2547</v>
      </c>
      <c r="B4" s="97">
        <v>41090</v>
      </c>
      <c r="C4" s="98" t="s">
        <v>69</v>
      </c>
      <c r="D4" s="99" t="s">
        <v>70</v>
      </c>
      <c r="E4" s="99"/>
      <c r="F4" s="99" t="s">
        <v>117</v>
      </c>
      <c r="G4" s="97">
        <v>41090</v>
      </c>
      <c r="H4" s="100" t="s">
        <v>464</v>
      </c>
      <c r="I4" s="100" t="s">
        <v>59</v>
      </c>
      <c r="J4" s="100"/>
      <c r="K4" s="99" t="s">
        <v>209</v>
      </c>
      <c r="L4" s="99" t="s">
        <v>211</v>
      </c>
      <c r="M4" s="99">
        <v>80.91</v>
      </c>
      <c r="N4" s="99">
        <v>32.829000000000001</v>
      </c>
      <c r="O4" s="99" t="s">
        <v>67</v>
      </c>
      <c r="P4" s="101">
        <v>1000</v>
      </c>
      <c r="Q4" s="99">
        <v>35.340000000000003</v>
      </c>
      <c r="R4" s="105">
        <v>1000</v>
      </c>
      <c r="S4" s="106">
        <v>35.340000000000003</v>
      </c>
      <c r="T4" s="105">
        <v>1000</v>
      </c>
      <c r="U4" s="106">
        <v>35.340000000000003</v>
      </c>
      <c r="V4" s="99"/>
      <c r="W4" s="99"/>
      <c r="X4" s="99"/>
      <c r="Y4" s="99"/>
      <c r="Z4" s="99"/>
      <c r="AA4" s="99"/>
      <c r="AB4" s="99"/>
      <c r="AC4" s="99"/>
      <c r="AD4" s="99"/>
      <c r="AE4" s="99"/>
      <c r="AF4" s="101"/>
      <c r="AG4" s="99"/>
      <c r="AH4" s="99"/>
      <c r="AI4" s="99"/>
      <c r="AJ4" s="99"/>
      <c r="AK4" s="99"/>
      <c r="AL4" s="99" t="s">
        <v>208</v>
      </c>
      <c r="AM4" s="100" t="s">
        <v>464</v>
      </c>
      <c r="AN4" s="100"/>
      <c r="AO4" s="100"/>
      <c r="AP4" s="102"/>
      <c r="AQ4" s="100"/>
      <c r="AR4" s="100" t="s">
        <v>464</v>
      </c>
      <c r="AS4" s="99"/>
      <c r="AT4" s="100">
        <v>0</v>
      </c>
      <c r="AU4" s="100">
        <v>0</v>
      </c>
      <c r="AV4" s="100">
        <v>15</v>
      </c>
      <c r="AW4" s="100">
        <v>0</v>
      </c>
      <c r="AX4" s="100">
        <v>0</v>
      </c>
      <c r="AY4" s="100">
        <v>0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 t="s">
        <v>464</v>
      </c>
      <c r="BF4" s="100"/>
      <c r="BG4" s="100" t="s">
        <v>464</v>
      </c>
      <c r="BH4" s="100"/>
      <c r="BI4" s="103"/>
      <c r="BJ4" s="99"/>
      <c r="BK4" s="100"/>
      <c r="BL4" s="100" t="s">
        <v>65</v>
      </c>
      <c r="BM4" s="99" t="s">
        <v>212</v>
      </c>
      <c r="BN4" t="s">
        <v>234</v>
      </c>
      <c r="BO4" t="s">
        <v>366</v>
      </c>
    </row>
    <row r="5" spans="1:67" x14ac:dyDescent="0.15">
      <c r="A5" s="96">
        <v>958</v>
      </c>
      <c r="B5" s="97">
        <v>41094</v>
      </c>
      <c r="C5" s="98" t="s">
        <v>69</v>
      </c>
      <c r="D5" s="99" t="s">
        <v>70</v>
      </c>
      <c r="E5" s="99"/>
      <c r="F5" s="99" t="s">
        <v>117</v>
      </c>
      <c r="G5" s="104">
        <v>41181</v>
      </c>
      <c r="H5" s="100" t="s">
        <v>168</v>
      </c>
      <c r="I5" s="100" t="s">
        <v>464</v>
      </c>
      <c r="J5" s="100"/>
      <c r="K5" s="99" t="s">
        <v>235</v>
      </c>
      <c r="L5" s="99" t="s">
        <v>236</v>
      </c>
      <c r="M5" s="99">
        <v>70.55</v>
      </c>
      <c r="N5" s="99">
        <v>31.95</v>
      </c>
      <c r="O5" s="99" t="s">
        <v>67</v>
      </c>
      <c r="P5" s="101">
        <v>300</v>
      </c>
      <c r="Q5" s="99">
        <v>31.95</v>
      </c>
      <c r="R5" s="101">
        <v>1000</v>
      </c>
      <c r="S5" s="99">
        <v>37.450000000000003</v>
      </c>
      <c r="T5" s="101">
        <v>2500</v>
      </c>
      <c r="U5" s="99">
        <v>37.450000000000003</v>
      </c>
      <c r="V5" s="99"/>
      <c r="W5" s="99"/>
      <c r="X5" s="99"/>
      <c r="Y5" s="99"/>
      <c r="Z5" s="99"/>
      <c r="AA5" s="99"/>
      <c r="AB5" s="99"/>
      <c r="AC5" s="99"/>
      <c r="AD5" s="99"/>
      <c r="AE5" s="99"/>
      <c r="AF5" s="101"/>
      <c r="AG5" s="99"/>
      <c r="AH5" s="99"/>
      <c r="AI5" s="99"/>
      <c r="AJ5" s="99"/>
      <c r="AK5" s="99"/>
      <c r="AL5" s="99" t="s">
        <v>208</v>
      </c>
      <c r="AM5" s="100" t="s">
        <v>464</v>
      </c>
      <c r="AN5" s="100"/>
      <c r="AO5" s="100"/>
      <c r="AP5" s="102" t="s">
        <v>237</v>
      </c>
      <c r="AQ5" s="100">
        <v>7</v>
      </c>
      <c r="AR5" s="100" t="s">
        <v>464</v>
      </c>
      <c r="AS5" s="99"/>
      <c r="AT5" s="100">
        <v>0</v>
      </c>
      <c r="AU5" s="100">
        <v>0</v>
      </c>
      <c r="AV5" s="100">
        <v>0</v>
      </c>
      <c r="AW5" s="100">
        <v>20</v>
      </c>
      <c r="AX5" s="100">
        <v>0</v>
      </c>
      <c r="AY5" s="100">
        <v>0</v>
      </c>
      <c r="AZ5" s="100">
        <v>0</v>
      </c>
      <c r="BA5" s="100">
        <v>0</v>
      </c>
      <c r="BB5" s="100">
        <v>0</v>
      </c>
      <c r="BC5" s="100">
        <v>0</v>
      </c>
      <c r="BD5" s="100">
        <v>0</v>
      </c>
      <c r="BE5" s="100" t="s">
        <v>464</v>
      </c>
      <c r="BF5" s="100"/>
      <c r="BG5" s="100" t="s">
        <v>464</v>
      </c>
      <c r="BH5" s="100"/>
      <c r="BI5" s="99" t="s">
        <v>126</v>
      </c>
      <c r="BJ5" s="99"/>
      <c r="BK5" s="100"/>
      <c r="BL5" s="100" t="s">
        <v>65</v>
      </c>
      <c r="BM5" s="99"/>
      <c r="BN5" t="s">
        <v>127</v>
      </c>
      <c r="BO5" s="70" t="s">
        <v>116</v>
      </c>
    </row>
    <row r="6" spans="1:67" x14ac:dyDescent="0.15">
      <c r="A6" s="96">
        <v>960</v>
      </c>
      <c r="B6" s="97">
        <v>41135</v>
      </c>
      <c r="C6" s="98" t="s">
        <v>461</v>
      </c>
      <c r="D6" s="99" t="s">
        <v>462</v>
      </c>
      <c r="E6" s="99"/>
      <c r="F6" s="99" t="s">
        <v>58</v>
      </c>
      <c r="G6" s="97">
        <v>41121</v>
      </c>
      <c r="H6" s="100" t="s">
        <v>95</v>
      </c>
      <c r="I6" s="100" t="s">
        <v>96</v>
      </c>
      <c r="J6" s="100"/>
      <c r="K6" s="99" t="s">
        <v>97</v>
      </c>
      <c r="L6" s="99" t="s">
        <v>14</v>
      </c>
      <c r="M6" s="99">
        <v>78.45</v>
      </c>
      <c r="N6" s="99">
        <v>29.81</v>
      </c>
      <c r="O6" s="99" t="s">
        <v>15</v>
      </c>
      <c r="P6" s="101">
        <v>300</v>
      </c>
      <c r="Q6" s="99">
        <v>31.95</v>
      </c>
      <c r="R6" s="105">
        <v>1000</v>
      </c>
      <c r="S6" s="106">
        <v>34.979999999999997</v>
      </c>
      <c r="T6" s="105">
        <v>2500</v>
      </c>
      <c r="U6" s="106">
        <v>36.979999999999997</v>
      </c>
      <c r="V6" s="99"/>
      <c r="W6" s="99"/>
      <c r="X6" s="99"/>
      <c r="Y6" s="99"/>
      <c r="Z6" s="99"/>
      <c r="AA6" s="99"/>
      <c r="AB6" s="99"/>
      <c r="AC6" s="99"/>
      <c r="AD6" s="99"/>
      <c r="AE6" s="99"/>
      <c r="AF6" s="101"/>
      <c r="AG6" s="99"/>
      <c r="AH6" s="99"/>
      <c r="AI6" s="99"/>
      <c r="AJ6" s="99"/>
      <c r="AK6" s="99"/>
      <c r="AL6" s="99" t="s">
        <v>16</v>
      </c>
      <c r="AM6" s="100" t="s">
        <v>96</v>
      </c>
      <c r="AN6" s="100"/>
      <c r="AO6" s="100"/>
      <c r="AP6" s="102" t="s">
        <v>17</v>
      </c>
      <c r="AQ6" s="100">
        <v>8</v>
      </c>
      <c r="AR6" s="100" t="s">
        <v>96</v>
      </c>
      <c r="AS6" s="99"/>
      <c r="AT6" s="100">
        <v>0</v>
      </c>
      <c r="AU6" s="100">
        <v>0</v>
      </c>
      <c r="AV6" s="100">
        <v>7</v>
      </c>
      <c r="AW6" s="100">
        <v>0</v>
      </c>
      <c r="AX6" s="100">
        <v>0</v>
      </c>
      <c r="AY6" s="100">
        <v>0</v>
      </c>
      <c r="AZ6" s="100">
        <v>0</v>
      </c>
      <c r="BA6" s="100">
        <v>0</v>
      </c>
      <c r="BB6" s="100">
        <v>0</v>
      </c>
      <c r="BC6" s="100">
        <v>0</v>
      </c>
      <c r="BD6" s="100">
        <v>24</v>
      </c>
      <c r="BE6" s="100" t="s">
        <v>95</v>
      </c>
      <c r="BF6" s="100"/>
      <c r="BG6" s="100" t="s">
        <v>96</v>
      </c>
      <c r="BH6" s="100"/>
      <c r="BI6" s="99"/>
      <c r="BJ6" s="99"/>
      <c r="BK6" s="100"/>
      <c r="BL6" s="100" t="s">
        <v>18</v>
      </c>
      <c r="BM6" s="99" t="s">
        <v>19</v>
      </c>
      <c r="BN6" t="s">
        <v>20</v>
      </c>
      <c r="BO6" s="70" t="s">
        <v>21</v>
      </c>
    </row>
    <row r="7" spans="1:67" x14ac:dyDescent="0.15">
      <c r="A7" s="96">
        <v>962</v>
      </c>
      <c r="B7" s="97">
        <v>41094</v>
      </c>
      <c r="C7" s="98" t="s">
        <v>69</v>
      </c>
      <c r="D7" s="99" t="s">
        <v>70</v>
      </c>
      <c r="E7" s="99"/>
      <c r="F7" s="99" t="s">
        <v>117</v>
      </c>
      <c r="G7" s="104">
        <v>41055</v>
      </c>
      <c r="H7" s="100" t="s">
        <v>168</v>
      </c>
      <c r="I7" s="100" t="s">
        <v>464</v>
      </c>
      <c r="J7" s="100"/>
      <c r="K7" s="99" t="s">
        <v>54</v>
      </c>
      <c r="L7" s="99" t="s">
        <v>236</v>
      </c>
      <c r="M7" s="99">
        <v>70.55</v>
      </c>
      <c r="N7" s="99">
        <v>33.5</v>
      </c>
      <c r="O7" s="99" t="s">
        <v>67</v>
      </c>
      <c r="P7" s="101">
        <v>300</v>
      </c>
      <c r="Q7" s="99">
        <v>33.5</v>
      </c>
      <c r="R7" s="101">
        <v>1000</v>
      </c>
      <c r="S7" s="99">
        <v>38.75</v>
      </c>
      <c r="T7" s="101">
        <v>2500</v>
      </c>
      <c r="U7" s="99">
        <v>38.75</v>
      </c>
      <c r="V7" s="99"/>
      <c r="W7" s="99"/>
      <c r="X7" s="99"/>
      <c r="Y7" s="99"/>
      <c r="Z7" s="99"/>
      <c r="AA7" s="99"/>
      <c r="AB7" s="99"/>
      <c r="AC7" s="99"/>
      <c r="AD7" s="99"/>
      <c r="AE7" s="99"/>
      <c r="AF7" s="101"/>
      <c r="AG7" s="99"/>
      <c r="AH7" s="99"/>
      <c r="AI7" s="99"/>
      <c r="AJ7" s="99"/>
      <c r="AK7" s="99"/>
      <c r="AL7" s="99" t="s">
        <v>208</v>
      </c>
      <c r="AM7" s="100" t="s">
        <v>464</v>
      </c>
      <c r="AN7" s="100"/>
      <c r="AO7" s="100"/>
      <c r="AP7" s="102" t="s">
        <v>237</v>
      </c>
      <c r="AQ7" s="100">
        <v>7</v>
      </c>
      <c r="AR7" s="100" t="s">
        <v>63</v>
      </c>
      <c r="AS7" s="99"/>
      <c r="AT7" s="100">
        <v>0</v>
      </c>
      <c r="AU7" s="100">
        <v>0</v>
      </c>
      <c r="AV7" s="100">
        <v>0</v>
      </c>
      <c r="AW7" s="100">
        <v>25</v>
      </c>
      <c r="AX7" s="100">
        <v>0</v>
      </c>
      <c r="AY7" s="100">
        <v>0</v>
      </c>
      <c r="AZ7" s="100">
        <v>0</v>
      </c>
      <c r="BA7" s="100">
        <v>0</v>
      </c>
      <c r="BB7" s="100">
        <v>0</v>
      </c>
      <c r="BC7" s="100">
        <v>0</v>
      </c>
      <c r="BD7" s="100">
        <v>0</v>
      </c>
      <c r="BE7" s="100" t="s">
        <v>464</v>
      </c>
      <c r="BF7" s="100"/>
      <c r="BG7" s="100" t="s">
        <v>464</v>
      </c>
      <c r="BH7" s="100"/>
      <c r="BI7" s="99"/>
      <c r="BJ7" s="99"/>
      <c r="BK7" s="100"/>
      <c r="BL7" s="100" t="s">
        <v>65</v>
      </c>
      <c r="BM7" s="99"/>
      <c r="BN7" t="s">
        <v>55</v>
      </c>
      <c r="BO7" s="70" t="s">
        <v>116</v>
      </c>
    </row>
    <row r="8" spans="1:67" x14ac:dyDescent="0.15">
      <c r="A8" s="96">
        <v>972</v>
      </c>
      <c r="B8" s="97">
        <v>41135</v>
      </c>
      <c r="C8" s="98" t="s">
        <v>461</v>
      </c>
      <c r="D8" s="99" t="s">
        <v>462</v>
      </c>
      <c r="E8" s="99"/>
      <c r="F8" s="99" t="s">
        <v>58</v>
      </c>
      <c r="G8" s="97">
        <v>41117</v>
      </c>
      <c r="H8" s="100" t="s">
        <v>88</v>
      </c>
      <c r="I8" s="100" t="s">
        <v>89</v>
      </c>
      <c r="J8" s="100"/>
      <c r="K8" s="99" t="s">
        <v>90</v>
      </c>
      <c r="L8" s="99" t="s">
        <v>91</v>
      </c>
      <c r="M8" s="99">
        <v>79.89</v>
      </c>
      <c r="N8" s="99">
        <v>33.967399999999998</v>
      </c>
      <c r="O8" s="99" t="s">
        <v>15</v>
      </c>
      <c r="P8" s="101">
        <v>1000</v>
      </c>
      <c r="Q8" s="99">
        <v>39.173200000000001</v>
      </c>
      <c r="R8" s="105">
        <v>3500</v>
      </c>
      <c r="S8" s="106">
        <v>38.5</v>
      </c>
      <c r="T8" s="105">
        <v>3500</v>
      </c>
      <c r="U8" s="106">
        <v>38.5</v>
      </c>
      <c r="V8" s="99"/>
      <c r="W8" s="99"/>
      <c r="X8" s="101"/>
      <c r="Y8" s="99"/>
      <c r="Z8" s="101"/>
      <c r="AA8" s="99"/>
      <c r="AB8" s="101"/>
      <c r="AC8" s="99"/>
      <c r="AD8" s="99"/>
      <c r="AE8" s="99"/>
      <c r="AF8" s="101"/>
      <c r="AG8" s="99"/>
      <c r="AH8" s="99"/>
      <c r="AI8" s="99"/>
      <c r="AJ8" s="99"/>
      <c r="AK8" s="99"/>
      <c r="AL8" s="99" t="s">
        <v>16</v>
      </c>
      <c r="AM8" s="100" t="s">
        <v>89</v>
      </c>
      <c r="AN8" s="100"/>
      <c r="AO8" s="100"/>
      <c r="AP8" s="102" t="s">
        <v>17</v>
      </c>
      <c r="AQ8" s="100">
        <v>6.8</v>
      </c>
      <c r="AR8" s="100" t="s">
        <v>92</v>
      </c>
      <c r="AS8" s="99"/>
      <c r="AT8" s="100">
        <v>0</v>
      </c>
      <c r="AU8" s="100">
        <v>0</v>
      </c>
      <c r="AV8" s="100">
        <v>0</v>
      </c>
      <c r="AW8" s="100">
        <v>18</v>
      </c>
      <c r="AX8" s="100">
        <v>0</v>
      </c>
      <c r="AY8" s="100">
        <v>0</v>
      </c>
      <c r="AZ8" s="100">
        <v>0</v>
      </c>
      <c r="BA8" s="100">
        <v>2</v>
      </c>
      <c r="BB8" s="100">
        <v>0</v>
      </c>
      <c r="BC8" s="100">
        <v>0</v>
      </c>
      <c r="BD8" s="100">
        <v>0</v>
      </c>
      <c r="BE8" s="100" t="s">
        <v>89</v>
      </c>
      <c r="BF8" s="100">
        <v>12</v>
      </c>
      <c r="BG8" s="100" t="s">
        <v>89</v>
      </c>
      <c r="BH8" s="100"/>
      <c r="BI8" s="103"/>
      <c r="BJ8" s="103"/>
      <c r="BK8" s="100"/>
      <c r="BL8" s="100" t="s">
        <v>93</v>
      </c>
      <c r="BM8" s="99"/>
      <c r="BN8" t="s">
        <v>188</v>
      </c>
      <c r="BO8" s="70" t="s">
        <v>21</v>
      </c>
    </row>
    <row r="9" spans="1:67" x14ac:dyDescent="0.15">
      <c r="A9" s="96">
        <v>980</v>
      </c>
      <c r="B9" s="97">
        <v>41094</v>
      </c>
      <c r="C9" s="98" t="s">
        <v>69</v>
      </c>
      <c r="D9" s="99" t="s">
        <v>70</v>
      </c>
      <c r="E9" s="99"/>
      <c r="F9" s="99" t="s">
        <v>117</v>
      </c>
      <c r="G9" s="97">
        <v>41090</v>
      </c>
      <c r="H9" s="100" t="s">
        <v>8</v>
      </c>
      <c r="I9" s="100" t="s">
        <v>325</v>
      </c>
      <c r="J9" s="100"/>
      <c r="K9" s="99" t="s">
        <v>296</v>
      </c>
      <c r="L9" s="99" t="s">
        <v>5</v>
      </c>
      <c r="M9" s="99">
        <v>79.569999999999993</v>
      </c>
      <c r="N9" s="99">
        <v>30.97</v>
      </c>
      <c r="O9" s="99" t="s">
        <v>67</v>
      </c>
      <c r="P9" s="101">
        <v>1000</v>
      </c>
      <c r="Q9" s="99">
        <v>36.06</v>
      </c>
      <c r="R9" s="105">
        <v>1000</v>
      </c>
      <c r="S9" s="106">
        <v>36.06</v>
      </c>
      <c r="T9" s="105">
        <v>1000</v>
      </c>
      <c r="U9" s="106">
        <v>36.06</v>
      </c>
      <c r="V9" s="99"/>
      <c r="W9" s="99"/>
      <c r="X9" s="99"/>
      <c r="Y9" s="99"/>
      <c r="Z9" s="99"/>
      <c r="AA9" s="99"/>
      <c r="AB9" s="99"/>
      <c r="AC9" s="99"/>
      <c r="AD9" s="99"/>
      <c r="AE9" s="99"/>
      <c r="AF9" s="101"/>
      <c r="AG9" s="99"/>
      <c r="AH9" s="99"/>
      <c r="AI9" s="99"/>
      <c r="AJ9" s="99"/>
      <c r="AK9" s="99"/>
      <c r="AL9" s="99" t="s">
        <v>208</v>
      </c>
      <c r="AM9" s="100" t="s">
        <v>325</v>
      </c>
      <c r="AN9" s="100"/>
      <c r="AO9" s="100"/>
      <c r="AP9" s="102" t="s">
        <v>237</v>
      </c>
      <c r="AQ9" s="100">
        <v>7</v>
      </c>
      <c r="AR9" s="100" t="s">
        <v>325</v>
      </c>
      <c r="AS9" s="99"/>
      <c r="AT9" s="100">
        <v>0</v>
      </c>
      <c r="AU9" s="100">
        <v>0</v>
      </c>
      <c r="AV9" s="100">
        <v>12</v>
      </c>
      <c r="AW9" s="100">
        <v>0</v>
      </c>
      <c r="AX9" s="100">
        <v>0</v>
      </c>
      <c r="AY9" s="100">
        <v>0</v>
      </c>
      <c r="AZ9" s="100">
        <v>0</v>
      </c>
      <c r="BA9" s="100">
        <v>0</v>
      </c>
      <c r="BB9" s="100">
        <v>0</v>
      </c>
      <c r="BC9" s="100">
        <v>0</v>
      </c>
      <c r="BD9" s="100">
        <v>24</v>
      </c>
      <c r="BE9" s="100" t="s">
        <v>325</v>
      </c>
      <c r="BF9" s="100"/>
      <c r="BG9" s="100" t="s">
        <v>325</v>
      </c>
      <c r="BH9" s="100"/>
      <c r="BI9" s="99" t="s">
        <v>6</v>
      </c>
      <c r="BJ9" s="99"/>
      <c r="BK9" s="100"/>
      <c r="BL9" s="100" t="s">
        <v>9</v>
      </c>
      <c r="BM9" s="99"/>
      <c r="BN9" t="s">
        <v>42</v>
      </c>
      <c r="BO9" s="70" t="s">
        <v>68</v>
      </c>
    </row>
    <row r="10" spans="1:67" x14ac:dyDescent="0.15">
      <c r="A10" s="96">
        <v>988</v>
      </c>
      <c r="B10" s="97">
        <v>41136</v>
      </c>
      <c r="C10" s="98" t="s">
        <v>461</v>
      </c>
      <c r="D10" s="99" t="s">
        <v>462</v>
      </c>
      <c r="E10" s="99"/>
      <c r="F10" s="99" t="s">
        <v>58</v>
      </c>
      <c r="G10" s="97">
        <v>41121</v>
      </c>
      <c r="H10" s="100" t="s">
        <v>168</v>
      </c>
      <c r="I10" s="100" t="s">
        <v>453</v>
      </c>
      <c r="J10" s="100"/>
      <c r="K10" s="99" t="s">
        <v>119</v>
      </c>
      <c r="L10" s="99" t="s">
        <v>120</v>
      </c>
      <c r="M10" s="99">
        <v>75.14</v>
      </c>
      <c r="N10" s="99">
        <v>31.03</v>
      </c>
      <c r="O10" s="99" t="s">
        <v>15</v>
      </c>
      <c r="P10" s="101">
        <v>600</v>
      </c>
      <c r="Q10" s="99">
        <v>31.67</v>
      </c>
      <c r="R10" s="105">
        <v>600</v>
      </c>
      <c r="S10" s="106">
        <v>31.67</v>
      </c>
      <c r="T10" s="105">
        <v>600</v>
      </c>
      <c r="U10" s="106">
        <v>31.67</v>
      </c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101"/>
      <c r="AG10" s="99"/>
      <c r="AH10" s="99"/>
      <c r="AI10" s="99"/>
      <c r="AJ10" s="99"/>
      <c r="AK10" s="99"/>
      <c r="AL10" s="99" t="s">
        <v>16</v>
      </c>
      <c r="AM10" s="100" t="s">
        <v>453</v>
      </c>
      <c r="AN10" s="100"/>
      <c r="AO10" s="100"/>
      <c r="AP10" s="102" t="s">
        <v>17</v>
      </c>
      <c r="AQ10" s="100">
        <v>6.8</v>
      </c>
      <c r="AR10" s="100" t="s">
        <v>453</v>
      </c>
      <c r="AS10" s="99"/>
      <c r="AT10" s="100">
        <v>0</v>
      </c>
      <c r="AU10" s="100">
        <v>0</v>
      </c>
      <c r="AV10" s="100">
        <v>0</v>
      </c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12</v>
      </c>
      <c r="BE10" s="100" t="s">
        <v>168</v>
      </c>
      <c r="BF10" s="100"/>
      <c r="BG10" s="100" t="s">
        <v>453</v>
      </c>
      <c r="BH10" s="100"/>
      <c r="BI10" s="99"/>
      <c r="BJ10" s="99"/>
      <c r="BK10" s="100"/>
      <c r="BL10" s="100" t="s">
        <v>342</v>
      </c>
      <c r="BM10" s="99"/>
      <c r="BN10" t="s">
        <v>121</v>
      </c>
      <c r="BO10" s="70" t="s">
        <v>21</v>
      </c>
    </row>
    <row r="11" spans="1:67" x14ac:dyDescent="0.15">
      <c r="A11" s="96">
        <v>2283</v>
      </c>
      <c r="B11" s="97">
        <v>41135</v>
      </c>
      <c r="C11" s="98" t="s">
        <v>45</v>
      </c>
      <c r="D11" s="99" t="s">
        <v>46</v>
      </c>
      <c r="E11" s="99"/>
      <c r="F11" s="99" t="s">
        <v>125</v>
      </c>
      <c r="G11" s="97">
        <v>41096</v>
      </c>
      <c r="H11" s="100" t="s">
        <v>168</v>
      </c>
      <c r="I11" s="100" t="s">
        <v>453</v>
      </c>
      <c r="J11" s="100"/>
      <c r="K11" s="99" t="s">
        <v>29</v>
      </c>
      <c r="L11" s="99" t="s">
        <v>30</v>
      </c>
      <c r="M11" s="99">
        <v>70.61</v>
      </c>
      <c r="N11" s="99">
        <v>31.32</v>
      </c>
      <c r="O11" s="99" t="s">
        <v>15</v>
      </c>
      <c r="P11" s="101">
        <v>1000</v>
      </c>
      <c r="Q11" s="99">
        <v>35.71</v>
      </c>
      <c r="R11" s="105">
        <v>1000</v>
      </c>
      <c r="S11" s="106">
        <v>35.71</v>
      </c>
      <c r="T11" s="105">
        <v>1000</v>
      </c>
      <c r="U11" s="106">
        <v>35.71</v>
      </c>
      <c r="V11" s="99"/>
      <c r="W11" s="99"/>
      <c r="X11" s="99"/>
      <c r="Y11" s="99"/>
      <c r="Z11" s="101"/>
      <c r="AA11" s="99"/>
      <c r="AB11" s="101"/>
      <c r="AC11" s="99"/>
      <c r="AD11" s="99"/>
      <c r="AE11" s="99"/>
      <c r="AF11" s="101"/>
      <c r="AG11" s="99"/>
      <c r="AH11" s="99"/>
      <c r="AI11" s="99"/>
      <c r="AJ11" s="99"/>
      <c r="AK11" s="99"/>
      <c r="AL11" s="99" t="s">
        <v>16</v>
      </c>
      <c r="AM11" s="100" t="s">
        <v>453</v>
      </c>
      <c r="AN11" s="100"/>
      <c r="AO11" s="100"/>
      <c r="AP11" s="102" t="s">
        <v>17</v>
      </c>
      <c r="AQ11" s="100">
        <v>6.8</v>
      </c>
      <c r="AR11" s="100" t="s">
        <v>452</v>
      </c>
      <c r="AS11" s="99"/>
      <c r="AT11" s="100">
        <v>0</v>
      </c>
      <c r="AU11" s="100">
        <v>0</v>
      </c>
      <c r="AV11" s="100">
        <v>0</v>
      </c>
      <c r="AW11" s="100">
        <v>16</v>
      </c>
      <c r="AX11" s="100">
        <v>0</v>
      </c>
      <c r="AY11" s="100">
        <v>0</v>
      </c>
      <c r="AZ11" s="100">
        <v>0</v>
      </c>
      <c r="BA11" s="100">
        <v>0</v>
      </c>
      <c r="BB11" s="100">
        <v>0</v>
      </c>
      <c r="BC11" s="100">
        <v>0</v>
      </c>
      <c r="BD11" s="100">
        <v>0</v>
      </c>
      <c r="BE11" s="100" t="s">
        <v>453</v>
      </c>
      <c r="BF11" s="100">
        <v>12</v>
      </c>
      <c r="BG11" s="100" t="s">
        <v>453</v>
      </c>
      <c r="BH11" s="100"/>
      <c r="BI11" s="103"/>
      <c r="BJ11" s="103"/>
      <c r="BK11" s="100"/>
      <c r="BL11" s="100" t="s">
        <v>342</v>
      </c>
      <c r="BM11" s="103"/>
      <c r="BN11" t="s">
        <v>233</v>
      </c>
      <c r="BO11" t="s">
        <v>21</v>
      </c>
    </row>
    <row r="12" spans="1:67" x14ac:dyDescent="0.15">
      <c r="A12" s="96">
        <v>1012</v>
      </c>
      <c r="B12" s="97">
        <v>41136</v>
      </c>
      <c r="C12" s="98" t="s">
        <v>461</v>
      </c>
      <c r="D12" s="99" t="s">
        <v>462</v>
      </c>
      <c r="E12" s="99"/>
      <c r="F12" s="99" t="s">
        <v>58</v>
      </c>
      <c r="G12" s="97">
        <v>41121</v>
      </c>
      <c r="H12" s="100" t="s">
        <v>95</v>
      </c>
      <c r="I12" s="100" t="s">
        <v>96</v>
      </c>
      <c r="J12" s="100"/>
      <c r="K12" s="99" t="s">
        <v>122</v>
      </c>
      <c r="L12" s="99" t="s">
        <v>123</v>
      </c>
      <c r="M12" s="99">
        <v>76.33</v>
      </c>
      <c r="N12" s="99">
        <v>31.16</v>
      </c>
      <c r="O12" s="99" t="s">
        <v>15</v>
      </c>
      <c r="P12" s="101">
        <v>1000</v>
      </c>
      <c r="Q12" s="99">
        <v>33.229999999999997</v>
      </c>
      <c r="R12" s="105">
        <v>1000</v>
      </c>
      <c r="S12" s="106">
        <v>33.229999999999997</v>
      </c>
      <c r="T12" s="105">
        <v>1000</v>
      </c>
      <c r="U12" s="106">
        <v>33.229999999999997</v>
      </c>
      <c r="V12" s="99"/>
      <c r="W12" s="99"/>
      <c r="X12" s="99"/>
      <c r="Y12" s="99"/>
      <c r="Z12" s="101"/>
      <c r="AA12" s="99"/>
      <c r="AB12" s="101"/>
      <c r="AC12" s="99"/>
      <c r="AD12" s="99"/>
      <c r="AE12" s="99"/>
      <c r="AF12" s="101"/>
      <c r="AG12" s="99"/>
      <c r="AH12" s="99"/>
      <c r="AI12" s="99"/>
      <c r="AJ12" s="99"/>
      <c r="AK12" s="99"/>
      <c r="AL12" s="99" t="s">
        <v>16</v>
      </c>
      <c r="AM12" s="100" t="s">
        <v>96</v>
      </c>
      <c r="AN12" s="100"/>
      <c r="AO12" s="100"/>
      <c r="AP12" s="102" t="s">
        <v>17</v>
      </c>
      <c r="AQ12" s="100">
        <v>6.8</v>
      </c>
      <c r="AR12" s="100" t="s">
        <v>124</v>
      </c>
      <c r="AS12" s="99"/>
      <c r="AT12" s="100">
        <v>0</v>
      </c>
      <c r="AU12" s="100">
        <v>0</v>
      </c>
      <c r="AV12" s="100">
        <v>0</v>
      </c>
      <c r="AW12" s="100">
        <v>18</v>
      </c>
      <c r="AX12" s="100">
        <v>0</v>
      </c>
      <c r="AY12" s="100">
        <v>0</v>
      </c>
      <c r="AZ12" s="100">
        <v>0</v>
      </c>
      <c r="BA12" s="100">
        <v>0</v>
      </c>
      <c r="BB12" s="100">
        <v>0</v>
      </c>
      <c r="BC12" s="100">
        <v>0</v>
      </c>
      <c r="BD12" s="100">
        <v>24</v>
      </c>
      <c r="BE12" s="100" t="s">
        <v>96</v>
      </c>
      <c r="BF12" s="100"/>
      <c r="BG12" s="100" t="s">
        <v>96</v>
      </c>
      <c r="BH12" s="100"/>
      <c r="BI12" s="99"/>
      <c r="BJ12" s="99"/>
      <c r="BK12" s="100"/>
      <c r="BL12" s="100" t="s">
        <v>18</v>
      </c>
      <c r="BM12" s="99"/>
      <c r="BN12" t="s">
        <v>408</v>
      </c>
      <c r="BO12" s="70" t="s">
        <v>21</v>
      </c>
    </row>
    <row r="13" spans="1:67" x14ac:dyDescent="0.15">
      <c r="A13" s="96">
        <v>1015</v>
      </c>
      <c r="B13" s="97">
        <v>41090</v>
      </c>
      <c r="C13" s="98" t="s">
        <v>69</v>
      </c>
      <c r="D13" s="99" t="s">
        <v>70</v>
      </c>
      <c r="E13" s="99"/>
      <c r="F13" s="99" t="s">
        <v>117</v>
      </c>
      <c r="G13" s="97">
        <v>41090</v>
      </c>
      <c r="H13" s="100" t="s">
        <v>325</v>
      </c>
      <c r="I13" s="100" t="s">
        <v>59</v>
      </c>
      <c r="J13" s="100"/>
      <c r="K13" s="99" t="s">
        <v>62</v>
      </c>
      <c r="L13" s="99" t="s">
        <v>158</v>
      </c>
      <c r="M13" s="99">
        <v>79.569999999999993</v>
      </c>
      <c r="N13" s="99">
        <v>30.97</v>
      </c>
      <c r="O13" s="99" t="s">
        <v>67</v>
      </c>
      <c r="P13" s="101">
        <v>1000</v>
      </c>
      <c r="Q13" s="99">
        <v>36.06</v>
      </c>
      <c r="R13" s="105">
        <v>1000</v>
      </c>
      <c r="S13" s="106">
        <v>36.06</v>
      </c>
      <c r="T13" s="105">
        <v>1000</v>
      </c>
      <c r="U13" s="106">
        <v>36.06</v>
      </c>
      <c r="V13" s="99"/>
      <c r="W13" s="99"/>
      <c r="X13" s="101"/>
      <c r="Y13" s="99"/>
      <c r="Z13" s="101"/>
      <c r="AA13" s="99"/>
      <c r="AB13" s="101"/>
      <c r="AC13" s="99"/>
      <c r="AD13" s="99"/>
      <c r="AE13" s="99"/>
      <c r="AF13" s="101"/>
      <c r="AG13" s="99"/>
      <c r="AH13" s="99"/>
      <c r="AI13" s="99"/>
      <c r="AJ13" s="99"/>
      <c r="AK13" s="99"/>
      <c r="AL13" s="99" t="s">
        <v>208</v>
      </c>
      <c r="AM13" s="100" t="s">
        <v>325</v>
      </c>
      <c r="AN13" s="100"/>
      <c r="AO13" s="100"/>
      <c r="AP13" s="102"/>
      <c r="AQ13" s="100"/>
      <c r="AR13" s="100" t="s">
        <v>10</v>
      </c>
      <c r="AS13" s="99"/>
      <c r="AT13" s="100">
        <v>0</v>
      </c>
      <c r="AU13" s="100">
        <v>0</v>
      </c>
      <c r="AV13" s="100">
        <v>10</v>
      </c>
      <c r="AW13" s="100">
        <v>0</v>
      </c>
      <c r="AX13" s="100">
        <v>0</v>
      </c>
      <c r="AY13" s="100">
        <v>0</v>
      </c>
      <c r="AZ13" s="100">
        <v>0</v>
      </c>
      <c r="BA13" s="100">
        <v>0</v>
      </c>
      <c r="BB13" s="100">
        <v>0</v>
      </c>
      <c r="BC13" s="100">
        <v>0</v>
      </c>
      <c r="BD13" s="100">
        <v>24</v>
      </c>
      <c r="BE13" s="100" t="s">
        <v>8</v>
      </c>
      <c r="BF13" s="100"/>
      <c r="BG13" s="100" t="s">
        <v>325</v>
      </c>
      <c r="BH13" s="100"/>
      <c r="BI13" s="99"/>
      <c r="BJ13" s="99"/>
      <c r="BK13" s="100"/>
      <c r="BL13" s="100" t="s">
        <v>9</v>
      </c>
      <c r="BM13" s="99"/>
      <c r="BN13" t="s">
        <v>128</v>
      </c>
      <c r="BO13" s="70" t="s">
        <v>68</v>
      </c>
    </row>
    <row r="14" spans="1:67" x14ac:dyDescent="0.15">
      <c r="A14" s="96">
        <v>1018</v>
      </c>
      <c r="B14" s="97">
        <v>41073</v>
      </c>
      <c r="C14" s="98" t="s">
        <v>69</v>
      </c>
      <c r="D14" s="99" t="s">
        <v>70</v>
      </c>
      <c r="E14" s="99"/>
      <c r="F14" s="99" t="s">
        <v>117</v>
      </c>
      <c r="G14" s="97">
        <v>40543</v>
      </c>
      <c r="H14" s="100" t="s">
        <v>8</v>
      </c>
      <c r="I14" s="100" t="s">
        <v>325</v>
      </c>
      <c r="J14" s="100"/>
      <c r="K14" s="99" t="s">
        <v>129</v>
      </c>
      <c r="L14" s="99" t="s">
        <v>12</v>
      </c>
      <c r="M14" s="99">
        <v>65.64</v>
      </c>
      <c r="N14" s="99">
        <v>29.13</v>
      </c>
      <c r="O14" s="99" t="s">
        <v>67</v>
      </c>
      <c r="P14" s="101">
        <v>300</v>
      </c>
      <c r="Q14" s="99">
        <v>29.68</v>
      </c>
      <c r="R14" s="101">
        <v>1000</v>
      </c>
      <c r="S14" s="99">
        <v>33.97</v>
      </c>
      <c r="T14" s="101">
        <v>2500</v>
      </c>
      <c r="U14" s="99">
        <v>36.85</v>
      </c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101"/>
      <c r="AG14" s="99"/>
      <c r="AH14" s="99"/>
      <c r="AI14" s="99"/>
      <c r="AJ14" s="99"/>
      <c r="AK14" s="99"/>
      <c r="AL14" s="99" t="s">
        <v>208</v>
      </c>
      <c r="AM14" s="100" t="s">
        <v>325</v>
      </c>
      <c r="AN14" s="100"/>
      <c r="AO14" s="100"/>
      <c r="AP14" s="102" t="s">
        <v>237</v>
      </c>
      <c r="AQ14" s="100">
        <v>5.3</v>
      </c>
      <c r="AR14" s="100" t="s">
        <v>325</v>
      </c>
      <c r="AS14" s="99"/>
      <c r="AT14" s="100">
        <v>0</v>
      </c>
      <c r="AU14" s="100">
        <v>0</v>
      </c>
      <c r="AV14" s="100">
        <v>0</v>
      </c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36</v>
      </c>
      <c r="BE14" s="100" t="s">
        <v>325</v>
      </c>
      <c r="BF14" s="100"/>
      <c r="BG14" s="100" t="s">
        <v>325</v>
      </c>
      <c r="BH14" s="100"/>
      <c r="BI14" s="99"/>
      <c r="BJ14" s="99"/>
      <c r="BK14" s="100"/>
      <c r="BL14" s="100" t="s">
        <v>9</v>
      </c>
      <c r="BM14" s="99" t="s">
        <v>13</v>
      </c>
      <c r="BN14" t="s">
        <v>190</v>
      </c>
      <c r="BO14" s="70" t="s">
        <v>116</v>
      </c>
    </row>
    <row r="15" spans="1:67" x14ac:dyDescent="0.15">
      <c r="A15" s="96">
        <v>3492</v>
      </c>
      <c r="B15" s="97">
        <v>41137</v>
      </c>
      <c r="C15" s="98" t="s">
        <v>27</v>
      </c>
      <c r="D15" s="99" t="s">
        <v>1</v>
      </c>
      <c r="E15" s="99"/>
      <c r="F15" s="99" t="s">
        <v>2</v>
      </c>
      <c r="G15" s="97">
        <v>41046</v>
      </c>
      <c r="H15" s="100" t="s">
        <v>168</v>
      </c>
      <c r="I15" s="100" t="s">
        <v>453</v>
      </c>
      <c r="J15" s="100"/>
      <c r="K15" s="99" t="s">
        <v>3</v>
      </c>
      <c r="L15" s="99" t="s">
        <v>4</v>
      </c>
      <c r="M15" s="99">
        <v>63.39</v>
      </c>
      <c r="N15" s="99">
        <v>30.5</v>
      </c>
      <c r="O15" s="99" t="s">
        <v>15</v>
      </c>
      <c r="P15" s="101">
        <v>1000</v>
      </c>
      <c r="Q15" s="99">
        <v>34.1</v>
      </c>
      <c r="R15" s="105">
        <v>1000</v>
      </c>
      <c r="S15" s="106">
        <v>34.1</v>
      </c>
      <c r="T15" s="105">
        <v>1000</v>
      </c>
      <c r="U15" s="106">
        <v>34.1</v>
      </c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 t="s">
        <v>16</v>
      </c>
      <c r="AM15" s="100" t="s">
        <v>453</v>
      </c>
      <c r="AN15" s="100"/>
      <c r="AO15" s="100"/>
      <c r="AP15" s="102" t="s">
        <v>17</v>
      </c>
      <c r="AQ15" s="100">
        <v>6.8</v>
      </c>
      <c r="AR15" s="100" t="s">
        <v>453</v>
      </c>
      <c r="AS15" s="99"/>
      <c r="AT15" s="100">
        <v>0</v>
      </c>
      <c r="AU15" s="100">
        <v>0</v>
      </c>
      <c r="AV15" s="100">
        <v>0</v>
      </c>
      <c r="AW15" s="100">
        <v>28</v>
      </c>
      <c r="AX15" s="100">
        <v>0</v>
      </c>
      <c r="AY15" s="100">
        <v>0</v>
      </c>
      <c r="AZ15" s="100">
        <v>0</v>
      </c>
      <c r="BA15" s="100">
        <v>0</v>
      </c>
      <c r="BB15" s="100">
        <v>0</v>
      </c>
      <c r="BC15" s="100">
        <v>0</v>
      </c>
      <c r="BD15" s="100">
        <v>24</v>
      </c>
      <c r="BE15" s="100" t="s">
        <v>168</v>
      </c>
      <c r="BF15" s="100"/>
      <c r="BG15" s="100" t="s">
        <v>453</v>
      </c>
      <c r="BH15" s="100"/>
      <c r="BI15" s="103"/>
      <c r="BJ15" s="99"/>
      <c r="BK15" s="100"/>
      <c r="BL15" s="100" t="s">
        <v>342</v>
      </c>
      <c r="BM15" s="99"/>
      <c r="BN15" t="s">
        <v>43</v>
      </c>
      <c r="BO15" s="70" t="s">
        <v>44</v>
      </c>
    </row>
    <row r="16" spans="1:67" x14ac:dyDescent="0.15">
      <c r="A16" s="96">
        <v>2539</v>
      </c>
      <c r="B16" s="97">
        <v>41090</v>
      </c>
      <c r="C16" s="98" t="s">
        <v>69</v>
      </c>
      <c r="D16" s="99" t="s">
        <v>70</v>
      </c>
      <c r="E16" s="99"/>
      <c r="F16" s="99" t="s">
        <v>117</v>
      </c>
      <c r="G16" s="97">
        <v>41090</v>
      </c>
      <c r="H16" s="100" t="s">
        <v>8</v>
      </c>
      <c r="I16" s="100" t="s">
        <v>325</v>
      </c>
      <c r="J16" s="100"/>
      <c r="K16" s="99" t="s">
        <v>66</v>
      </c>
      <c r="L16" s="99" t="s">
        <v>236</v>
      </c>
      <c r="M16" s="99">
        <v>70.61</v>
      </c>
      <c r="N16" s="99">
        <v>31.3</v>
      </c>
      <c r="O16" s="99" t="s">
        <v>166</v>
      </c>
      <c r="P16" s="101">
        <v>1000</v>
      </c>
      <c r="Q16" s="99">
        <v>35.299999999999997</v>
      </c>
      <c r="R16" s="105">
        <v>1000</v>
      </c>
      <c r="S16" s="106">
        <v>35.299999999999997</v>
      </c>
      <c r="T16" s="105">
        <v>1000</v>
      </c>
      <c r="U16" s="106">
        <v>35.299999999999997</v>
      </c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101"/>
      <c r="AG16" s="99"/>
      <c r="AH16" s="99"/>
      <c r="AI16" s="99"/>
      <c r="AJ16" s="99"/>
      <c r="AK16" s="99"/>
      <c r="AL16" s="99" t="s">
        <v>208</v>
      </c>
      <c r="AM16" s="100" t="s">
        <v>325</v>
      </c>
      <c r="AN16" s="100"/>
      <c r="AO16" s="100"/>
      <c r="AP16" s="102" t="s">
        <v>237</v>
      </c>
      <c r="AQ16" s="100">
        <v>10</v>
      </c>
      <c r="AR16" s="100" t="s">
        <v>10</v>
      </c>
      <c r="AS16" s="99"/>
      <c r="AT16" s="100">
        <v>0</v>
      </c>
      <c r="AU16" s="100">
        <v>0</v>
      </c>
      <c r="AV16" s="100">
        <v>0</v>
      </c>
      <c r="AW16" s="100">
        <v>10</v>
      </c>
      <c r="AX16" s="100">
        <v>0</v>
      </c>
      <c r="AY16" s="100">
        <v>0</v>
      </c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 t="s">
        <v>325</v>
      </c>
      <c r="BF16" s="100">
        <v>36</v>
      </c>
      <c r="BG16" s="100" t="s">
        <v>325</v>
      </c>
      <c r="BH16" s="100"/>
      <c r="BI16" s="103"/>
      <c r="BJ16" s="99"/>
      <c r="BK16" s="100"/>
      <c r="BL16" s="100" t="s">
        <v>9</v>
      </c>
      <c r="BM16" s="99"/>
      <c r="BN16" t="s">
        <v>364</v>
      </c>
      <c r="BO16" t="s">
        <v>365</v>
      </c>
    </row>
    <row r="17" spans="1:67" x14ac:dyDescent="0.15">
      <c r="A17" s="96">
        <v>948</v>
      </c>
      <c r="B17" s="97">
        <v>41135</v>
      </c>
      <c r="C17" s="98" t="s">
        <v>79</v>
      </c>
      <c r="D17" s="99" t="s">
        <v>80</v>
      </c>
      <c r="E17" s="99"/>
      <c r="F17" s="99" t="s">
        <v>81</v>
      </c>
      <c r="G17" s="97">
        <v>41102</v>
      </c>
      <c r="H17" s="100" t="s">
        <v>82</v>
      </c>
      <c r="I17" s="100" t="s">
        <v>309</v>
      </c>
      <c r="J17" s="100"/>
      <c r="K17" s="99" t="s">
        <v>60</v>
      </c>
      <c r="L17" s="99" t="s">
        <v>465</v>
      </c>
      <c r="M17" s="99">
        <v>70.900000000000006</v>
      </c>
      <c r="N17" s="99">
        <v>33.270000000000003</v>
      </c>
      <c r="O17" s="99" t="s">
        <v>556</v>
      </c>
      <c r="P17" s="101">
        <v>1000</v>
      </c>
      <c r="Q17" s="99">
        <v>37.950000000000003</v>
      </c>
      <c r="R17" s="105">
        <v>1000</v>
      </c>
      <c r="S17" s="106">
        <v>37.950000000000003</v>
      </c>
      <c r="T17" s="105">
        <v>1000</v>
      </c>
      <c r="U17" s="106">
        <v>37.950000000000003</v>
      </c>
      <c r="V17" s="99"/>
      <c r="W17" s="99">
        <v>30.75</v>
      </c>
      <c r="X17" s="101">
        <v>1000</v>
      </c>
      <c r="Y17" s="99">
        <v>34.49</v>
      </c>
      <c r="Z17" s="105">
        <v>1000</v>
      </c>
      <c r="AA17" s="106">
        <v>34.49</v>
      </c>
      <c r="AB17" s="105">
        <v>1000</v>
      </c>
      <c r="AC17" s="106">
        <v>34.49</v>
      </c>
      <c r="AD17" s="99"/>
      <c r="AE17" s="99">
        <v>15.35</v>
      </c>
      <c r="AF17" s="101"/>
      <c r="AG17" s="99"/>
      <c r="AH17" s="99"/>
      <c r="AI17" s="99"/>
      <c r="AJ17" s="99"/>
      <c r="AK17" s="99"/>
      <c r="AL17" s="99" t="s">
        <v>167</v>
      </c>
      <c r="AM17" s="100" t="s">
        <v>83</v>
      </c>
      <c r="AN17" s="100" t="s">
        <v>84</v>
      </c>
      <c r="AO17" s="100">
        <v>3</v>
      </c>
      <c r="AP17" s="102"/>
      <c r="AQ17" s="100"/>
      <c r="AR17" s="100" t="s">
        <v>85</v>
      </c>
      <c r="AS17" s="99"/>
      <c r="AT17" s="100">
        <v>0</v>
      </c>
      <c r="AU17" s="100">
        <v>0</v>
      </c>
      <c r="AV17" s="100">
        <v>0</v>
      </c>
      <c r="AW17" s="100">
        <v>15</v>
      </c>
      <c r="AX17" s="100">
        <v>0</v>
      </c>
      <c r="AY17" s="100">
        <v>0</v>
      </c>
      <c r="AZ17" s="100">
        <v>0</v>
      </c>
      <c r="BA17" s="100">
        <v>0</v>
      </c>
      <c r="BB17" s="100">
        <v>0</v>
      </c>
      <c r="BC17" s="100">
        <v>2</v>
      </c>
      <c r="BD17" s="100">
        <v>0</v>
      </c>
      <c r="BE17" s="100" t="s">
        <v>82</v>
      </c>
      <c r="BF17" s="100">
        <v>12</v>
      </c>
      <c r="BG17" s="100" t="s">
        <v>82</v>
      </c>
      <c r="BH17" s="100"/>
      <c r="BI17" s="103" t="s">
        <v>40</v>
      </c>
      <c r="BJ17" s="103" t="s">
        <v>64</v>
      </c>
      <c r="BK17" s="100">
        <v>25</v>
      </c>
      <c r="BL17" s="100" t="s">
        <v>86</v>
      </c>
      <c r="BM17" s="99" t="s">
        <v>51</v>
      </c>
      <c r="BN17" t="s">
        <v>87</v>
      </c>
      <c r="BO17" s="70" t="s">
        <v>21</v>
      </c>
    </row>
    <row r="18" spans="1:67" x14ac:dyDescent="0.15">
      <c r="A18" s="96">
        <v>955</v>
      </c>
      <c r="B18" s="97">
        <v>41100</v>
      </c>
      <c r="C18" s="98" t="s">
        <v>446</v>
      </c>
      <c r="D18" s="99" t="s">
        <v>447</v>
      </c>
      <c r="E18" s="99"/>
      <c r="F18" s="99" t="s">
        <v>560</v>
      </c>
      <c r="G18" s="97">
        <v>41111</v>
      </c>
      <c r="H18" s="100" t="s">
        <v>325</v>
      </c>
      <c r="I18" s="100" t="s">
        <v>309</v>
      </c>
      <c r="J18" s="100"/>
      <c r="K18" s="99" t="s">
        <v>310</v>
      </c>
      <c r="L18" s="99" t="s">
        <v>338</v>
      </c>
      <c r="M18" s="99">
        <v>79.08</v>
      </c>
      <c r="N18" s="99">
        <v>31.76</v>
      </c>
      <c r="O18" s="99" t="s">
        <v>339</v>
      </c>
      <c r="P18" s="101">
        <v>300</v>
      </c>
      <c r="Q18" s="99">
        <v>33.049999999999997</v>
      </c>
      <c r="R18" s="101">
        <v>1000</v>
      </c>
      <c r="S18" s="99">
        <v>36.36</v>
      </c>
      <c r="T18" s="101">
        <v>2500</v>
      </c>
      <c r="U18" s="99">
        <v>39.42</v>
      </c>
      <c r="V18" s="99"/>
      <c r="W18" s="99"/>
      <c r="X18" s="99"/>
      <c r="Y18" s="99"/>
      <c r="Z18" s="99"/>
      <c r="AA18" s="99"/>
      <c r="AB18" s="99"/>
      <c r="AC18" s="99"/>
      <c r="AD18" s="99"/>
      <c r="AE18" s="99">
        <v>17.93</v>
      </c>
      <c r="AF18" s="101">
        <v>2000</v>
      </c>
      <c r="AG18" s="99">
        <v>18.28</v>
      </c>
      <c r="AH18" s="99"/>
      <c r="AI18" s="99"/>
      <c r="AJ18" s="99"/>
      <c r="AK18" s="99"/>
      <c r="AL18" s="99" t="s">
        <v>340</v>
      </c>
      <c r="AM18" s="100" t="s">
        <v>341</v>
      </c>
      <c r="AN18" s="100"/>
      <c r="AO18" s="100"/>
      <c r="AP18" s="102"/>
      <c r="AQ18" s="100"/>
      <c r="AR18" s="100" t="s">
        <v>341</v>
      </c>
      <c r="AS18" s="99"/>
      <c r="AT18" s="100">
        <v>0</v>
      </c>
      <c r="AU18" s="100">
        <v>0</v>
      </c>
      <c r="AV18" s="100">
        <v>0</v>
      </c>
      <c r="AW18" s="100">
        <v>20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 t="s">
        <v>341</v>
      </c>
      <c r="BF18" s="100">
        <v>24</v>
      </c>
      <c r="BG18" s="100" t="s">
        <v>341</v>
      </c>
      <c r="BH18" s="100"/>
      <c r="BI18" s="99"/>
      <c r="BJ18" s="99"/>
      <c r="BK18" s="100"/>
      <c r="BL18" s="100" t="s">
        <v>342</v>
      </c>
      <c r="BM18" s="99"/>
      <c r="BN18" t="s">
        <v>451</v>
      </c>
      <c r="BO18" s="70" t="s">
        <v>559</v>
      </c>
    </row>
    <row r="19" spans="1:67" x14ac:dyDescent="0.15">
      <c r="A19" s="96">
        <v>2548</v>
      </c>
      <c r="B19" s="97">
        <v>41090</v>
      </c>
      <c r="C19" s="98" t="s">
        <v>69</v>
      </c>
      <c r="D19" s="99" t="s">
        <v>70</v>
      </c>
      <c r="E19" s="99"/>
      <c r="F19" s="99" t="s">
        <v>71</v>
      </c>
      <c r="G19" s="97">
        <v>41090</v>
      </c>
      <c r="H19" s="100" t="s">
        <v>464</v>
      </c>
      <c r="I19" s="100" t="s">
        <v>59</v>
      </c>
      <c r="J19" s="100"/>
      <c r="K19" s="99" t="s">
        <v>209</v>
      </c>
      <c r="L19" s="99" t="s">
        <v>211</v>
      </c>
      <c r="M19" s="99">
        <v>80.91</v>
      </c>
      <c r="N19" s="99">
        <v>32.829000000000001</v>
      </c>
      <c r="O19" s="99" t="s">
        <v>67</v>
      </c>
      <c r="P19" s="101">
        <v>1000</v>
      </c>
      <c r="Q19" s="99">
        <v>35.340000000000003</v>
      </c>
      <c r="R19" s="105">
        <v>1000</v>
      </c>
      <c r="S19" s="106">
        <v>35.340000000000003</v>
      </c>
      <c r="T19" s="105">
        <v>1000</v>
      </c>
      <c r="U19" s="106">
        <v>35.340000000000003</v>
      </c>
      <c r="V19" s="99"/>
      <c r="W19" s="99"/>
      <c r="X19" s="99"/>
      <c r="Y19" s="99"/>
      <c r="Z19" s="99"/>
      <c r="AA19" s="99"/>
      <c r="AB19" s="99"/>
      <c r="AC19" s="99"/>
      <c r="AD19" s="99"/>
      <c r="AE19" s="99">
        <v>23.808</v>
      </c>
      <c r="AF19" s="101"/>
      <c r="AG19" s="99"/>
      <c r="AH19" s="99"/>
      <c r="AI19" s="99"/>
      <c r="AJ19" s="99"/>
      <c r="AK19" s="99"/>
      <c r="AL19" s="99" t="s">
        <v>270</v>
      </c>
      <c r="AM19" s="100" t="s">
        <v>464</v>
      </c>
      <c r="AN19" s="100"/>
      <c r="AO19" s="100"/>
      <c r="AP19" s="102"/>
      <c r="AQ19" s="100"/>
      <c r="AR19" s="100" t="s">
        <v>464</v>
      </c>
      <c r="AS19" s="99"/>
      <c r="AT19" s="100">
        <v>0</v>
      </c>
      <c r="AU19" s="100">
        <v>0</v>
      </c>
      <c r="AV19" s="100">
        <v>15</v>
      </c>
      <c r="AW19" s="100">
        <v>0</v>
      </c>
      <c r="AX19" s="100">
        <v>0</v>
      </c>
      <c r="AY19" s="100">
        <v>0</v>
      </c>
      <c r="AZ19" s="100">
        <v>0</v>
      </c>
      <c r="BA19" s="100">
        <v>0</v>
      </c>
      <c r="BB19" s="100">
        <v>0</v>
      </c>
      <c r="BC19" s="100">
        <v>0</v>
      </c>
      <c r="BD19" s="100">
        <v>0</v>
      </c>
      <c r="BE19" s="100" t="s">
        <v>464</v>
      </c>
      <c r="BF19" s="100"/>
      <c r="BG19" s="100" t="s">
        <v>464</v>
      </c>
      <c r="BH19" s="100"/>
      <c r="BI19" s="103"/>
      <c r="BJ19" s="99"/>
      <c r="BK19" s="100"/>
      <c r="BL19" s="100" t="s">
        <v>65</v>
      </c>
      <c r="BM19" s="99" t="s">
        <v>212</v>
      </c>
      <c r="BN19" t="s">
        <v>234</v>
      </c>
      <c r="BO19" t="s">
        <v>366</v>
      </c>
    </row>
    <row r="20" spans="1:67" x14ac:dyDescent="0.15">
      <c r="A20" s="96">
        <v>957</v>
      </c>
      <c r="B20" s="97">
        <v>41094</v>
      </c>
      <c r="C20" s="98" t="s">
        <v>69</v>
      </c>
      <c r="D20" s="99" t="s">
        <v>70</v>
      </c>
      <c r="E20" s="99"/>
      <c r="F20" s="99" t="s">
        <v>71</v>
      </c>
      <c r="G20" s="104">
        <v>41181</v>
      </c>
      <c r="H20" s="100" t="s">
        <v>168</v>
      </c>
      <c r="I20" s="100" t="s">
        <v>464</v>
      </c>
      <c r="J20" s="100"/>
      <c r="K20" s="99" t="s">
        <v>235</v>
      </c>
      <c r="L20" s="99" t="s">
        <v>236</v>
      </c>
      <c r="M20" s="99">
        <v>70.55</v>
      </c>
      <c r="N20" s="99">
        <v>31.95</v>
      </c>
      <c r="O20" s="99" t="s">
        <v>67</v>
      </c>
      <c r="P20" s="101">
        <v>300</v>
      </c>
      <c r="Q20" s="99">
        <v>31.95</v>
      </c>
      <c r="R20" s="101">
        <v>1000</v>
      </c>
      <c r="S20" s="99">
        <v>37.450000000000003</v>
      </c>
      <c r="T20" s="101">
        <v>2500</v>
      </c>
      <c r="U20" s="99">
        <v>37.450000000000003</v>
      </c>
      <c r="V20" s="99"/>
      <c r="W20" s="99"/>
      <c r="X20" s="99"/>
      <c r="Y20" s="99"/>
      <c r="Z20" s="99"/>
      <c r="AA20" s="99"/>
      <c r="AB20" s="99"/>
      <c r="AC20" s="99"/>
      <c r="AD20" s="99"/>
      <c r="AE20" s="99">
        <v>16.100000000000001</v>
      </c>
      <c r="AF20" s="101"/>
      <c r="AG20" s="99"/>
      <c r="AH20" s="99"/>
      <c r="AI20" s="99"/>
      <c r="AJ20" s="99"/>
      <c r="AK20" s="99"/>
      <c r="AL20" s="99" t="s">
        <v>270</v>
      </c>
      <c r="AM20" s="100" t="s">
        <v>464</v>
      </c>
      <c r="AN20" s="100"/>
      <c r="AO20" s="100"/>
      <c r="AP20" s="102" t="s">
        <v>237</v>
      </c>
      <c r="AQ20" s="100">
        <v>7</v>
      </c>
      <c r="AR20" s="100" t="s">
        <v>464</v>
      </c>
      <c r="AS20" s="99"/>
      <c r="AT20" s="100">
        <v>0</v>
      </c>
      <c r="AU20" s="100">
        <v>0</v>
      </c>
      <c r="AV20" s="100">
        <v>0</v>
      </c>
      <c r="AW20" s="100">
        <v>20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 t="s">
        <v>464</v>
      </c>
      <c r="BF20" s="100"/>
      <c r="BG20" s="100" t="s">
        <v>464</v>
      </c>
      <c r="BH20" s="100"/>
      <c r="BI20" s="99" t="s">
        <v>126</v>
      </c>
      <c r="BJ20" s="99"/>
      <c r="BK20" s="100"/>
      <c r="BL20" s="100" t="s">
        <v>65</v>
      </c>
      <c r="BM20" s="99"/>
      <c r="BN20" t="s">
        <v>127</v>
      </c>
      <c r="BO20" s="70" t="s">
        <v>116</v>
      </c>
    </row>
    <row r="21" spans="1:67" x14ac:dyDescent="0.15">
      <c r="A21" s="96">
        <v>959</v>
      </c>
      <c r="B21" s="97">
        <v>41135</v>
      </c>
      <c r="C21" s="98" t="s">
        <v>461</v>
      </c>
      <c r="D21" s="99" t="s">
        <v>462</v>
      </c>
      <c r="E21" s="99"/>
      <c r="F21" s="99" t="s">
        <v>463</v>
      </c>
      <c r="G21" s="97">
        <v>41121</v>
      </c>
      <c r="H21" s="100" t="s">
        <v>22</v>
      </c>
      <c r="I21" s="100" t="s">
        <v>23</v>
      </c>
      <c r="J21" s="100"/>
      <c r="K21" s="99" t="s">
        <v>97</v>
      </c>
      <c r="L21" s="99" t="s">
        <v>14</v>
      </c>
      <c r="M21" s="99">
        <v>78.45</v>
      </c>
      <c r="N21" s="99">
        <v>29.81</v>
      </c>
      <c r="O21" s="99" t="s">
        <v>15</v>
      </c>
      <c r="P21" s="101">
        <v>300</v>
      </c>
      <c r="Q21" s="99">
        <v>31.95</v>
      </c>
      <c r="R21" s="105">
        <v>1000</v>
      </c>
      <c r="S21" s="106">
        <v>34.979999999999997</v>
      </c>
      <c r="T21" s="105">
        <v>2500</v>
      </c>
      <c r="U21" s="106">
        <v>36.979999999999997</v>
      </c>
      <c r="V21" s="99"/>
      <c r="W21" s="99"/>
      <c r="X21" s="99"/>
      <c r="Y21" s="99"/>
      <c r="Z21" s="99"/>
      <c r="AA21" s="99"/>
      <c r="AB21" s="99"/>
      <c r="AC21" s="99"/>
      <c r="AD21" s="99"/>
      <c r="AE21" s="99">
        <v>15.99</v>
      </c>
      <c r="AF21" s="101"/>
      <c r="AG21" s="99"/>
      <c r="AH21" s="99"/>
      <c r="AI21" s="99"/>
      <c r="AJ21" s="99"/>
      <c r="AK21" s="99"/>
      <c r="AL21" s="99" t="s">
        <v>24</v>
      </c>
      <c r="AM21" s="100" t="s">
        <v>23</v>
      </c>
      <c r="AN21" s="100"/>
      <c r="AO21" s="100"/>
      <c r="AP21" s="102" t="s">
        <v>25</v>
      </c>
      <c r="AQ21" s="100">
        <v>8</v>
      </c>
      <c r="AR21" s="100" t="s">
        <v>23</v>
      </c>
      <c r="AS21" s="99"/>
      <c r="AT21" s="100">
        <v>0</v>
      </c>
      <c r="AU21" s="100">
        <v>0</v>
      </c>
      <c r="AV21" s="100">
        <v>7</v>
      </c>
      <c r="AW21" s="100">
        <v>0</v>
      </c>
      <c r="AX21" s="100">
        <v>0</v>
      </c>
      <c r="AY21" s="100">
        <v>0</v>
      </c>
      <c r="AZ21" s="100">
        <v>0</v>
      </c>
      <c r="BA21" s="100">
        <v>0</v>
      </c>
      <c r="BB21" s="100">
        <v>0</v>
      </c>
      <c r="BC21" s="100">
        <v>0</v>
      </c>
      <c r="BD21" s="100">
        <v>24</v>
      </c>
      <c r="BE21" s="100" t="s">
        <v>22</v>
      </c>
      <c r="BF21" s="100"/>
      <c r="BG21" s="100" t="s">
        <v>23</v>
      </c>
      <c r="BH21" s="100"/>
      <c r="BI21" s="99"/>
      <c r="BJ21" s="99"/>
      <c r="BK21" s="100"/>
      <c r="BL21" s="100" t="s">
        <v>26</v>
      </c>
      <c r="BM21" s="99" t="s">
        <v>19</v>
      </c>
      <c r="BN21" t="s">
        <v>20</v>
      </c>
      <c r="BO21" s="70" t="s">
        <v>21</v>
      </c>
    </row>
    <row r="22" spans="1:67" x14ac:dyDescent="0.15">
      <c r="A22" s="96">
        <v>961</v>
      </c>
      <c r="B22" s="97">
        <v>41094</v>
      </c>
      <c r="C22" s="98" t="s">
        <v>69</v>
      </c>
      <c r="D22" s="99" t="s">
        <v>70</v>
      </c>
      <c r="E22" s="99"/>
      <c r="F22" s="99" t="s">
        <v>71</v>
      </c>
      <c r="G22" s="104">
        <v>41055</v>
      </c>
      <c r="H22" s="100" t="s">
        <v>168</v>
      </c>
      <c r="I22" s="100" t="s">
        <v>464</v>
      </c>
      <c r="J22" s="100"/>
      <c r="K22" s="99" t="s">
        <v>326</v>
      </c>
      <c r="L22" s="99" t="s">
        <v>327</v>
      </c>
      <c r="M22" s="99">
        <v>70.55</v>
      </c>
      <c r="N22" s="99">
        <v>33.5</v>
      </c>
      <c r="O22" s="99" t="s">
        <v>166</v>
      </c>
      <c r="P22" s="101">
        <v>300</v>
      </c>
      <c r="Q22" s="99">
        <v>33.5</v>
      </c>
      <c r="R22" s="101">
        <v>1000</v>
      </c>
      <c r="S22" s="99">
        <v>38.75</v>
      </c>
      <c r="T22" s="101">
        <v>2500</v>
      </c>
      <c r="U22" s="99">
        <v>38.75</v>
      </c>
      <c r="V22" s="99"/>
      <c r="W22" s="99"/>
      <c r="X22" s="99"/>
      <c r="Y22" s="99"/>
      <c r="Z22" s="99"/>
      <c r="AA22" s="99"/>
      <c r="AB22" s="99"/>
      <c r="AC22" s="99"/>
      <c r="AD22" s="99"/>
      <c r="AE22" s="99">
        <v>16.2</v>
      </c>
      <c r="AF22" s="101"/>
      <c r="AG22" s="99"/>
      <c r="AH22" s="99"/>
      <c r="AI22" s="99"/>
      <c r="AJ22" s="99"/>
      <c r="AK22" s="99"/>
      <c r="AL22" s="99" t="s">
        <v>324</v>
      </c>
      <c r="AM22" s="100" t="s">
        <v>325</v>
      </c>
      <c r="AN22" s="100"/>
      <c r="AO22" s="100"/>
      <c r="AP22" s="102" t="s">
        <v>237</v>
      </c>
      <c r="AQ22" s="100">
        <v>7</v>
      </c>
      <c r="AR22" s="100" t="s">
        <v>63</v>
      </c>
      <c r="AS22" s="99"/>
      <c r="AT22" s="100">
        <v>0</v>
      </c>
      <c r="AU22" s="100">
        <v>0</v>
      </c>
      <c r="AV22" s="100">
        <v>0</v>
      </c>
      <c r="AW22" s="100">
        <v>25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 t="s">
        <v>464</v>
      </c>
      <c r="BF22" s="100"/>
      <c r="BG22" s="100" t="s">
        <v>464</v>
      </c>
      <c r="BH22" s="100"/>
      <c r="BI22" s="99"/>
      <c r="BJ22" s="99"/>
      <c r="BK22" s="100"/>
      <c r="BL22" s="100" t="s">
        <v>65</v>
      </c>
      <c r="BM22" s="99"/>
      <c r="BN22" t="s">
        <v>53</v>
      </c>
      <c r="BO22" s="70" t="s">
        <v>116</v>
      </c>
    </row>
    <row r="23" spans="1:67" x14ac:dyDescent="0.15">
      <c r="A23" s="96">
        <v>966</v>
      </c>
      <c r="B23" s="97">
        <v>41135</v>
      </c>
      <c r="C23" s="98" t="s">
        <v>45</v>
      </c>
      <c r="D23" s="99" t="s">
        <v>46</v>
      </c>
      <c r="E23" s="99"/>
      <c r="F23" s="99" t="s">
        <v>47</v>
      </c>
      <c r="G23" s="97">
        <v>41117</v>
      </c>
      <c r="H23" s="100" t="s">
        <v>168</v>
      </c>
      <c r="I23" s="100" t="s">
        <v>453</v>
      </c>
      <c r="J23" s="100"/>
      <c r="K23" s="99" t="s">
        <v>90</v>
      </c>
      <c r="L23" s="99" t="s">
        <v>91</v>
      </c>
      <c r="M23" s="99">
        <v>79.89</v>
      </c>
      <c r="N23" s="99">
        <v>33.967399999999998</v>
      </c>
      <c r="O23" s="99" t="s">
        <v>15</v>
      </c>
      <c r="P23" s="101">
        <v>1000</v>
      </c>
      <c r="Q23" s="99">
        <v>39.173200000000001</v>
      </c>
      <c r="R23" s="105">
        <v>3500</v>
      </c>
      <c r="S23" s="106">
        <v>38.5</v>
      </c>
      <c r="T23" s="105">
        <v>3500</v>
      </c>
      <c r="U23" s="106">
        <v>38.5</v>
      </c>
      <c r="V23" s="99"/>
      <c r="W23" s="99"/>
      <c r="X23" s="101"/>
      <c r="Y23" s="99"/>
      <c r="Z23" s="101"/>
      <c r="AA23" s="99"/>
      <c r="AB23" s="101"/>
      <c r="AC23" s="99"/>
      <c r="AD23" s="99"/>
      <c r="AE23" s="99">
        <v>14.4869</v>
      </c>
      <c r="AF23" s="101"/>
      <c r="AG23" s="99"/>
      <c r="AH23" s="99"/>
      <c r="AI23" s="99"/>
      <c r="AJ23" s="99"/>
      <c r="AK23" s="99"/>
      <c r="AL23" s="99" t="s">
        <v>48</v>
      </c>
      <c r="AM23" s="100" t="s">
        <v>184</v>
      </c>
      <c r="AN23" s="100"/>
      <c r="AO23" s="100"/>
      <c r="AP23" s="102" t="s">
        <v>185</v>
      </c>
      <c r="AQ23" s="100">
        <v>6.8</v>
      </c>
      <c r="AR23" s="100" t="s">
        <v>186</v>
      </c>
      <c r="AS23" s="99"/>
      <c r="AT23" s="100">
        <v>0</v>
      </c>
      <c r="AU23" s="100">
        <v>0</v>
      </c>
      <c r="AV23" s="100">
        <v>0</v>
      </c>
      <c r="AW23" s="100">
        <v>18</v>
      </c>
      <c r="AX23" s="100">
        <v>0</v>
      </c>
      <c r="AY23" s="100">
        <v>0</v>
      </c>
      <c r="AZ23" s="100">
        <v>0</v>
      </c>
      <c r="BA23" s="100">
        <v>2</v>
      </c>
      <c r="BB23" s="100">
        <v>0</v>
      </c>
      <c r="BC23" s="100">
        <v>0</v>
      </c>
      <c r="BD23" s="100">
        <v>0</v>
      </c>
      <c r="BE23" s="100" t="s">
        <v>184</v>
      </c>
      <c r="BF23" s="100">
        <v>12</v>
      </c>
      <c r="BG23" s="100" t="s">
        <v>184</v>
      </c>
      <c r="BH23" s="100"/>
      <c r="BI23" s="103"/>
      <c r="BJ23" s="103"/>
      <c r="BK23" s="100"/>
      <c r="BL23" s="100" t="s">
        <v>187</v>
      </c>
      <c r="BM23" s="99"/>
      <c r="BN23" t="s">
        <v>183</v>
      </c>
      <c r="BO23" s="70" t="s">
        <v>21</v>
      </c>
    </row>
    <row r="24" spans="1:67" x14ac:dyDescent="0.15">
      <c r="A24" s="96">
        <v>975</v>
      </c>
      <c r="B24" s="97">
        <v>41094</v>
      </c>
      <c r="C24" s="98" t="s">
        <v>69</v>
      </c>
      <c r="D24" s="99" t="s">
        <v>70</v>
      </c>
      <c r="E24" s="99"/>
      <c r="F24" s="99" t="s">
        <v>71</v>
      </c>
      <c r="G24" s="97">
        <v>41060</v>
      </c>
      <c r="H24" s="100" t="s">
        <v>168</v>
      </c>
      <c r="I24" s="100" t="s">
        <v>464</v>
      </c>
      <c r="J24" s="100"/>
      <c r="K24" s="99" t="s">
        <v>296</v>
      </c>
      <c r="L24" s="99" t="s">
        <v>5</v>
      </c>
      <c r="M24" s="99">
        <v>79.569999999999993</v>
      </c>
      <c r="N24" s="99">
        <v>30.97</v>
      </c>
      <c r="O24" s="99" t="s">
        <v>67</v>
      </c>
      <c r="P24" s="101">
        <v>1000</v>
      </c>
      <c r="Q24" s="99">
        <v>36.06</v>
      </c>
      <c r="R24" s="105">
        <v>1000</v>
      </c>
      <c r="S24" s="106">
        <v>36.06</v>
      </c>
      <c r="T24" s="105">
        <v>1000</v>
      </c>
      <c r="U24" s="106">
        <v>36.06</v>
      </c>
      <c r="V24" s="99"/>
      <c r="W24" s="99"/>
      <c r="X24" s="99"/>
      <c r="Y24" s="99"/>
      <c r="Z24" s="99"/>
      <c r="AA24" s="99"/>
      <c r="AB24" s="99"/>
      <c r="AC24" s="99"/>
      <c r="AD24" s="99"/>
      <c r="AE24" s="99">
        <v>15.4</v>
      </c>
      <c r="AF24" s="101"/>
      <c r="AG24" s="99"/>
      <c r="AH24" s="99"/>
      <c r="AI24" s="99"/>
      <c r="AJ24" s="99"/>
      <c r="AK24" s="99"/>
      <c r="AL24" s="99" t="s">
        <v>270</v>
      </c>
      <c r="AM24" s="100" t="s">
        <v>325</v>
      </c>
      <c r="AN24" s="100"/>
      <c r="AO24" s="100"/>
      <c r="AP24" s="102" t="s">
        <v>237</v>
      </c>
      <c r="AQ24" s="100">
        <v>7</v>
      </c>
      <c r="AR24" s="100" t="s">
        <v>464</v>
      </c>
      <c r="AS24" s="99"/>
      <c r="AT24" s="100">
        <v>0</v>
      </c>
      <c r="AU24" s="100">
        <v>0</v>
      </c>
      <c r="AV24" s="100">
        <v>12</v>
      </c>
      <c r="AW24" s="100">
        <v>0</v>
      </c>
      <c r="AX24" s="100">
        <v>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24</v>
      </c>
      <c r="BE24" s="100" t="s">
        <v>464</v>
      </c>
      <c r="BF24" s="100"/>
      <c r="BG24" s="100" t="s">
        <v>464</v>
      </c>
      <c r="BH24" s="100"/>
      <c r="BI24" s="99" t="s">
        <v>6</v>
      </c>
      <c r="BJ24" s="99"/>
      <c r="BK24" s="100"/>
      <c r="BL24" s="100" t="s">
        <v>65</v>
      </c>
      <c r="BM24" s="99"/>
      <c r="BN24" t="s">
        <v>7</v>
      </c>
      <c r="BO24" s="70" t="s">
        <v>68</v>
      </c>
    </row>
    <row r="25" spans="1:67" x14ac:dyDescent="0.15">
      <c r="A25" s="96">
        <v>985</v>
      </c>
      <c r="B25" s="97">
        <v>41136</v>
      </c>
      <c r="C25" s="98" t="s">
        <v>461</v>
      </c>
      <c r="D25" s="99" t="s">
        <v>462</v>
      </c>
      <c r="E25" s="99"/>
      <c r="F25" s="99" t="s">
        <v>463</v>
      </c>
      <c r="G25" s="97">
        <v>41121</v>
      </c>
      <c r="H25" s="100" t="s">
        <v>168</v>
      </c>
      <c r="I25" s="100" t="s">
        <v>453</v>
      </c>
      <c r="J25" s="100"/>
      <c r="K25" s="99" t="s">
        <v>119</v>
      </c>
      <c r="L25" s="99" t="s">
        <v>120</v>
      </c>
      <c r="M25" s="99">
        <v>75.14</v>
      </c>
      <c r="N25" s="99">
        <v>31.03</v>
      </c>
      <c r="O25" s="99" t="s">
        <v>15</v>
      </c>
      <c r="P25" s="101">
        <v>600</v>
      </c>
      <c r="Q25" s="99">
        <v>31.67</v>
      </c>
      <c r="R25" s="105">
        <v>600</v>
      </c>
      <c r="S25" s="106">
        <v>31.67</v>
      </c>
      <c r="T25" s="105">
        <v>600</v>
      </c>
      <c r="U25" s="106">
        <v>31.67</v>
      </c>
      <c r="V25" s="99"/>
      <c r="W25" s="99"/>
      <c r="X25" s="99"/>
      <c r="Y25" s="99"/>
      <c r="Z25" s="99"/>
      <c r="AA25" s="99"/>
      <c r="AB25" s="99"/>
      <c r="AC25" s="99"/>
      <c r="AD25" s="99"/>
      <c r="AE25" s="99">
        <v>21.06</v>
      </c>
      <c r="AF25" s="101"/>
      <c r="AG25" s="99"/>
      <c r="AH25" s="99"/>
      <c r="AI25" s="99"/>
      <c r="AJ25" s="99"/>
      <c r="AK25" s="99"/>
      <c r="AL25" s="99" t="s">
        <v>48</v>
      </c>
      <c r="AM25" s="100" t="s">
        <v>453</v>
      </c>
      <c r="AN25" s="100"/>
      <c r="AO25" s="100"/>
      <c r="AP25" s="102" t="s">
        <v>17</v>
      </c>
      <c r="AQ25" s="100">
        <v>6.8</v>
      </c>
      <c r="AR25" s="100" t="s">
        <v>453</v>
      </c>
      <c r="AS25" s="99"/>
      <c r="AT25" s="100">
        <v>0</v>
      </c>
      <c r="AU25" s="100">
        <v>0</v>
      </c>
      <c r="AV25" s="100">
        <v>0</v>
      </c>
      <c r="AW25" s="100">
        <v>0</v>
      </c>
      <c r="AX25" s="100">
        <v>0</v>
      </c>
      <c r="AY25" s="100">
        <v>0</v>
      </c>
      <c r="AZ25" s="100">
        <v>0</v>
      </c>
      <c r="BA25" s="100">
        <v>0</v>
      </c>
      <c r="BB25" s="100">
        <v>0</v>
      </c>
      <c r="BC25" s="100">
        <v>0</v>
      </c>
      <c r="BD25" s="100">
        <v>12</v>
      </c>
      <c r="BE25" s="100" t="s">
        <v>168</v>
      </c>
      <c r="BF25" s="100"/>
      <c r="BG25" s="100" t="s">
        <v>453</v>
      </c>
      <c r="BH25" s="100"/>
      <c r="BI25" s="99"/>
      <c r="BJ25" s="99"/>
      <c r="BK25" s="100"/>
      <c r="BL25" s="100" t="s">
        <v>342</v>
      </c>
      <c r="BM25" s="99"/>
      <c r="BN25" t="s">
        <v>121</v>
      </c>
      <c r="BO25" s="70" t="s">
        <v>21</v>
      </c>
    </row>
    <row r="26" spans="1:67" x14ac:dyDescent="0.15">
      <c r="A26" s="96">
        <v>2284</v>
      </c>
      <c r="B26" s="97">
        <v>41135</v>
      </c>
      <c r="C26" s="98" t="s">
        <v>461</v>
      </c>
      <c r="D26" s="99" t="s">
        <v>462</v>
      </c>
      <c r="E26" s="99"/>
      <c r="F26" s="99" t="s">
        <v>463</v>
      </c>
      <c r="G26" s="97">
        <v>41096</v>
      </c>
      <c r="H26" s="100" t="s">
        <v>31</v>
      </c>
      <c r="I26" s="100" t="s">
        <v>32</v>
      </c>
      <c r="J26" s="100"/>
      <c r="K26" s="99" t="s">
        <v>29</v>
      </c>
      <c r="L26" s="99" t="s">
        <v>30</v>
      </c>
      <c r="M26" s="99">
        <v>70.61</v>
      </c>
      <c r="N26" s="99">
        <v>31.32</v>
      </c>
      <c r="O26" s="99" t="s">
        <v>15</v>
      </c>
      <c r="P26" s="101">
        <v>1000</v>
      </c>
      <c r="Q26" s="99">
        <v>35.71</v>
      </c>
      <c r="R26" s="105">
        <v>1000</v>
      </c>
      <c r="S26" s="106">
        <v>35.71</v>
      </c>
      <c r="T26" s="105">
        <v>1000</v>
      </c>
      <c r="U26" s="106">
        <v>35.71</v>
      </c>
      <c r="V26" s="99"/>
      <c r="W26" s="99"/>
      <c r="X26" s="99"/>
      <c r="Y26" s="99"/>
      <c r="Z26" s="101"/>
      <c r="AA26" s="99"/>
      <c r="AB26" s="101"/>
      <c r="AC26" s="99"/>
      <c r="AD26" s="99"/>
      <c r="AE26" s="99">
        <v>15.2</v>
      </c>
      <c r="AF26" s="101"/>
      <c r="AG26" s="99"/>
      <c r="AH26" s="99"/>
      <c r="AI26" s="99"/>
      <c r="AJ26" s="99"/>
      <c r="AK26" s="99"/>
      <c r="AL26" s="99" t="s">
        <v>48</v>
      </c>
      <c r="AM26" s="100" t="s">
        <v>33</v>
      </c>
      <c r="AN26" s="100"/>
      <c r="AO26" s="100"/>
      <c r="AP26" s="102" t="s">
        <v>17</v>
      </c>
      <c r="AQ26" s="100">
        <v>6.8</v>
      </c>
      <c r="AR26" s="100" t="s">
        <v>34</v>
      </c>
      <c r="AS26" s="99"/>
      <c r="AT26" s="100">
        <v>0</v>
      </c>
      <c r="AU26" s="100">
        <v>0</v>
      </c>
      <c r="AV26" s="100">
        <v>0</v>
      </c>
      <c r="AW26" s="100">
        <v>16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 t="s">
        <v>35</v>
      </c>
      <c r="BF26" s="100">
        <v>12</v>
      </c>
      <c r="BG26" s="100" t="s">
        <v>35</v>
      </c>
      <c r="BH26" s="100"/>
      <c r="BI26" s="103"/>
      <c r="BJ26" s="103"/>
      <c r="BK26" s="100"/>
      <c r="BL26" s="100" t="s">
        <v>36</v>
      </c>
      <c r="BM26" s="103"/>
      <c r="BN26" t="s">
        <v>233</v>
      </c>
      <c r="BO26" t="s">
        <v>21</v>
      </c>
    </row>
    <row r="27" spans="1:67" x14ac:dyDescent="0.15">
      <c r="A27" s="96">
        <v>1009</v>
      </c>
      <c r="B27" s="97">
        <v>41136</v>
      </c>
      <c r="C27" s="98" t="s">
        <v>45</v>
      </c>
      <c r="D27" s="99" t="s">
        <v>46</v>
      </c>
      <c r="E27" s="99"/>
      <c r="F27" s="99" t="s">
        <v>47</v>
      </c>
      <c r="G27" s="97">
        <v>41121</v>
      </c>
      <c r="H27" s="100" t="s">
        <v>168</v>
      </c>
      <c r="I27" s="100" t="s">
        <v>453</v>
      </c>
      <c r="J27" s="100"/>
      <c r="K27" s="99" t="s">
        <v>122</v>
      </c>
      <c r="L27" s="99" t="s">
        <v>123</v>
      </c>
      <c r="M27" s="99">
        <v>76.33</v>
      </c>
      <c r="N27" s="99">
        <v>31.16</v>
      </c>
      <c r="O27" s="99" t="s">
        <v>15</v>
      </c>
      <c r="P27" s="101">
        <v>1000</v>
      </c>
      <c r="Q27" s="99">
        <v>33.229999999999997</v>
      </c>
      <c r="R27" s="105">
        <v>1000</v>
      </c>
      <c r="S27" s="106">
        <v>33.229999999999997</v>
      </c>
      <c r="T27" s="105">
        <v>1000</v>
      </c>
      <c r="U27" s="106">
        <v>33.229999999999997</v>
      </c>
      <c r="V27" s="99"/>
      <c r="W27" s="99"/>
      <c r="X27" s="99"/>
      <c r="Y27" s="99"/>
      <c r="Z27" s="101"/>
      <c r="AA27" s="99"/>
      <c r="AB27" s="101"/>
      <c r="AC27" s="99"/>
      <c r="AD27" s="99"/>
      <c r="AE27" s="99">
        <v>16.5</v>
      </c>
      <c r="AF27" s="101"/>
      <c r="AG27" s="99"/>
      <c r="AH27" s="99"/>
      <c r="AI27" s="99"/>
      <c r="AJ27" s="99"/>
      <c r="AK27" s="99"/>
      <c r="AL27" s="99" t="s">
        <v>48</v>
      </c>
      <c r="AM27" s="100" t="s">
        <v>453</v>
      </c>
      <c r="AN27" s="100"/>
      <c r="AO27" s="100"/>
      <c r="AP27" s="102" t="s">
        <v>17</v>
      </c>
      <c r="AQ27" s="100">
        <v>6.8</v>
      </c>
      <c r="AR27" s="100" t="s">
        <v>452</v>
      </c>
      <c r="AS27" s="99"/>
      <c r="AT27" s="100">
        <v>0</v>
      </c>
      <c r="AU27" s="100">
        <v>0</v>
      </c>
      <c r="AV27" s="100">
        <v>0</v>
      </c>
      <c r="AW27" s="100">
        <v>18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24</v>
      </c>
      <c r="BE27" s="100" t="s">
        <v>453</v>
      </c>
      <c r="BF27" s="100"/>
      <c r="BG27" s="100" t="s">
        <v>453</v>
      </c>
      <c r="BH27" s="100"/>
      <c r="BI27" s="99"/>
      <c r="BJ27" s="99"/>
      <c r="BK27" s="100"/>
      <c r="BL27" s="100" t="s">
        <v>342</v>
      </c>
      <c r="BM27" s="99"/>
      <c r="BN27" t="s">
        <v>408</v>
      </c>
      <c r="BO27" s="70" t="s">
        <v>21</v>
      </c>
    </row>
    <row r="28" spans="1:67" x14ac:dyDescent="0.15">
      <c r="A28" s="96">
        <v>1013</v>
      </c>
      <c r="B28" s="97">
        <v>41090</v>
      </c>
      <c r="C28" s="98" t="s">
        <v>69</v>
      </c>
      <c r="D28" s="99" t="s">
        <v>70</v>
      </c>
      <c r="E28" s="99"/>
      <c r="F28" s="99" t="s">
        <v>71</v>
      </c>
      <c r="G28" s="97">
        <v>41090</v>
      </c>
      <c r="H28" s="100" t="s">
        <v>325</v>
      </c>
      <c r="I28" s="100" t="s">
        <v>59</v>
      </c>
      <c r="J28" s="100"/>
      <c r="K28" s="99" t="s">
        <v>62</v>
      </c>
      <c r="L28" s="99" t="s">
        <v>158</v>
      </c>
      <c r="M28" s="99">
        <v>79.569999999999993</v>
      </c>
      <c r="N28" s="99">
        <v>30.97</v>
      </c>
      <c r="O28" s="99" t="s">
        <v>67</v>
      </c>
      <c r="P28" s="101">
        <v>1000</v>
      </c>
      <c r="Q28" s="99">
        <v>36.06</v>
      </c>
      <c r="R28" s="105">
        <v>1000</v>
      </c>
      <c r="S28" s="106">
        <v>36.06</v>
      </c>
      <c r="T28" s="105">
        <v>1000</v>
      </c>
      <c r="U28" s="106">
        <v>36.06</v>
      </c>
      <c r="V28" s="99"/>
      <c r="W28" s="99"/>
      <c r="X28" s="101"/>
      <c r="Y28" s="99"/>
      <c r="Z28" s="101"/>
      <c r="AA28" s="99"/>
      <c r="AB28" s="101"/>
      <c r="AC28" s="99"/>
      <c r="AD28" s="99"/>
      <c r="AE28" s="99">
        <v>15.4</v>
      </c>
      <c r="AF28" s="101"/>
      <c r="AG28" s="99"/>
      <c r="AH28" s="99"/>
      <c r="AI28" s="99"/>
      <c r="AJ28" s="99"/>
      <c r="AK28" s="99"/>
      <c r="AL28" s="99" t="s">
        <v>270</v>
      </c>
      <c r="AM28" s="100" t="s">
        <v>325</v>
      </c>
      <c r="AN28" s="100"/>
      <c r="AO28" s="100"/>
      <c r="AP28" s="102"/>
      <c r="AQ28" s="100"/>
      <c r="AR28" s="100" t="s">
        <v>10</v>
      </c>
      <c r="AS28" s="99"/>
      <c r="AT28" s="100">
        <v>0</v>
      </c>
      <c r="AU28" s="100">
        <v>0</v>
      </c>
      <c r="AV28" s="100">
        <v>10</v>
      </c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24</v>
      </c>
      <c r="BE28" s="100" t="s">
        <v>8</v>
      </c>
      <c r="BF28" s="100"/>
      <c r="BG28" s="100" t="s">
        <v>325</v>
      </c>
      <c r="BH28" s="100"/>
      <c r="BI28" s="99"/>
      <c r="BJ28" s="99"/>
      <c r="BK28" s="100"/>
      <c r="BL28" s="100" t="s">
        <v>9</v>
      </c>
      <c r="BM28" s="99"/>
      <c r="BN28" t="s">
        <v>128</v>
      </c>
      <c r="BO28" s="70" t="s">
        <v>68</v>
      </c>
    </row>
    <row r="29" spans="1:67" x14ac:dyDescent="0.15">
      <c r="A29" s="96">
        <v>1017</v>
      </c>
      <c r="B29" s="97">
        <v>41073</v>
      </c>
      <c r="C29" s="98" t="s">
        <v>69</v>
      </c>
      <c r="D29" s="99" t="s">
        <v>70</v>
      </c>
      <c r="E29" s="99"/>
      <c r="F29" s="99" t="s">
        <v>71</v>
      </c>
      <c r="G29" s="97">
        <v>40543</v>
      </c>
      <c r="H29" s="100" t="s">
        <v>8</v>
      </c>
      <c r="I29" s="100" t="s">
        <v>325</v>
      </c>
      <c r="J29" s="100"/>
      <c r="K29" s="99" t="s">
        <v>129</v>
      </c>
      <c r="L29" s="99" t="s">
        <v>12</v>
      </c>
      <c r="M29" s="99">
        <v>65.64</v>
      </c>
      <c r="N29" s="99">
        <v>29.13</v>
      </c>
      <c r="O29" s="99" t="s">
        <v>67</v>
      </c>
      <c r="P29" s="101">
        <v>300</v>
      </c>
      <c r="Q29" s="99">
        <v>29.68</v>
      </c>
      <c r="R29" s="101">
        <v>1000</v>
      </c>
      <c r="S29" s="99">
        <v>33.97</v>
      </c>
      <c r="T29" s="101">
        <v>2500</v>
      </c>
      <c r="U29" s="99">
        <v>36.85</v>
      </c>
      <c r="V29" s="99"/>
      <c r="W29" s="99"/>
      <c r="X29" s="101"/>
      <c r="Y29" s="99"/>
      <c r="Z29" s="101"/>
      <c r="AA29" s="99"/>
      <c r="AB29" s="99"/>
      <c r="AC29" s="99"/>
      <c r="AD29" s="99"/>
      <c r="AE29" s="99">
        <v>14.09</v>
      </c>
      <c r="AF29" s="101">
        <v>2000</v>
      </c>
      <c r="AG29" s="99">
        <v>15.21</v>
      </c>
      <c r="AH29" s="99"/>
      <c r="AI29" s="99"/>
      <c r="AJ29" s="99"/>
      <c r="AK29" s="99"/>
      <c r="AL29" s="99" t="s">
        <v>270</v>
      </c>
      <c r="AM29" s="100" t="s">
        <v>325</v>
      </c>
      <c r="AN29" s="100"/>
      <c r="AO29" s="100"/>
      <c r="AP29" s="102" t="s">
        <v>237</v>
      </c>
      <c r="AQ29" s="100">
        <v>5.3</v>
      </c>
      <c r="AR29" s="100" t="s">
        <v>325</v>
      </c>
      <c r="AS29" s="99"/>
      <c r="AT29" s="100">
        <v>0</v>
      </c>
      <c r="AU29" s="100">
        <v>0</v>
      </c>
      <c r="AV29" s="100">
        <v>0</v>
      </c>
      <c r="AW29" s="100">
        <v>0</v>
      </c>
      <c r="AX29" s="100">
        <v>0</v>
      </c>
      <c r="AY29" s="100">
        <v>0</v>
      </c>
      <c r="AZ29" s="100">
        <v>0</v>
      </c>
      <c r="BA29" s="100">
        <v>0</v>
      </c>
      <c r="BB29" s="100">
        <v>0</v>
      </c>
      <c r="BC29" s="100">
        <v>0</v>
      </c>
      <c r="BD29" s="100">
        <v>36</v>
      </c>
      <c r="BE29" s="100" t="s">
        <v>325</v>
      </c>
      <c r="BF29" s="100"/>
      <c r="BG29" s="100" t="s">
        <v>325</v>
      </c>
      <c r="BH29" s="100"/>
      <c r="BI29" s="99"/>
      <c r="BJ29" s="99"/>
      <c r="BK29" s="100"/>
      <c r="BL29" s="100" t="s">
        <v>9</v>
      </c>
      <c r="BM29" s="99" t="s">
        <v>13</v>
      </c>
      <c r="BN29" t="s">
        <v>61</v>
      </c>
      <c r="BO29" s="70" t="s">
        <v>116</v>
      </c>
    </row>
    <row r="30" spans="1:67" x14ac:dyDescent="0.15">
      <c r="A30" s="96">
        <v>3491</v>
      </c>
      <c r="B30" s="97">
        <v>41137</v>
      </c>
      <c r="C30" s="98" t="s">
        <v>45</v>
      </c>
      <c r="D30" s="99" t="s">
        <v>46</v>
      </c>
      <c r="E30" s="99"/>
      <c r="F30" s="99" t="s">
        <v>47</v>
      </c>
      <c r="G30" s="97">
        <v>41046</v>
      </c>
      <c r="H30" s="100" t="s">
        <v>168</v>
      </c>
      <c r="I30" s="100" t="s">
        <v>453</v>
      </c>
      <c r="J30" s="100"/>
      <c r="K30" s="99" t="s">
        <v>3</v>
      </c>
      <c r="L30" s="99" t="s">
        <v>4</v>
      </c>
      <c r="M30" s="99">
        <v>63.39</v>
      </c>
      <c r="N30" s="99">
        <v>30.5</v>
      </c>
      <c r="O30" s="99" t="s">
        <v>15</v>
      </c>
      <c r="P30" s="101">
        <v>1000</v>
      </c>
      <c r="Q30" s="99">
        <v>34.1</v>
      </c>
      <c r="R30" s="105">
        <v>1000</v>
      </c>
      <c r="S30" s="106">
        <v>34.1</v>
      </c>
      <c r="T30" s="105">
        <v>1000</v>
      </c>
      <c r="U30" s="106">
        <v>34.1</v>
      </c>
      <c r="V30" s="99"/>
      <c r="W30" s="99"/>
      <c r="X30" s="99"/>
      <c r="Y30" s="99"/>
      <c r="Z30" s="99"/>
      <c r="AA30" s="99"/>
      <c r="AB30" s="99"/>
      <c r="AC30" s="99"/>
      <c r="AD30" s="99"/>
      <c r="AE30" s="99">
        <v>17.47</v>
      </c>
      <c r="AF30" s="101"/>
      <c r="AG30" s="99"/>
      <c r="AH30" s="99"/>
      <c r="AI30" s="99"/>
      <c r="AJ30" s="99"/>
      <c r="AK30" s="99"/>
      <c r="AL30" s="99" t="s">
        <v>48</v>
      </c>
      <c r="AM30" s="100" t="s">
        <v>453</v>
      </c>
      <c r="AN30" s="100"/>
      <c r="AO30" s="100"/>
      <c r="AP30" s="102" t="s">
        <v>17</v>
      </c>
      <c r="AQ30" s="100">
        <v>6.8</v>
      </c>
      <c r="AR30" s="100" t="s">
        <v>453</v>
      </c>
      <c r="AS30" s="99"/>
      <c r="AT30" s="100">
        <v>0</v>
      </c>
      <c r="AU30" s="100">
        <v>0</v>
      </c>
      <c r="AV30" s="100">
        <v>0</v>
      </c>
      <c r="AW30" s="100">
        <v>28</v>
      </c>
      <c r="AX30" s="100">
        <v>0</v>
      </c>
      <c r="AY30" s="100">
        <v>0</v>
      </c>
      <c r="AZ30" s="100">
        <v>0</v>
      </c>
      <c r="BA30" s="100">
        <v>0</v>
      </c>
      <c r="BB30" s="100">
        <v>0</v>
      </c>
      <c r="BC30" s="100">
        <v>0</v>
      </c>
      <c r="BD30" s="100">
        <v>24</v>
      </c>
      <c r="BE30" s="100" t="s">
        <v>168</v>
      </c>
      <c r="BF30" s="100"/>
      <c r="BG30" s="100" t="s">
        <v>453</v>
      </c>
      <c r="BH30" s="100"/>
      <c r="BI30" s="103"/>
      <c r="BJ30" s="99"/>
      <c r="BK30" s="100"/>
      <c r="BL30" s="100" t="s">
        <v>342</v>
      </c>
      <c r="BM30" s="99"/>
      <c r="BN30" t="s">
        <v>118</v>
      </c>
      <c r="BO30" s="70" t="s">
        <v>44</v>
      </c>
    </row>
    <row r="31" spans="1:67" x14ac:dyDescent="0.15">
      <c r="A31" s="96">
        <v>2540</v>
      </c>
      <c r="B31" s="97">
        <v>41090</v>
      </c>
      <c r="C31" s="98" t="s">
        <v>69</v>
      </c>
      <c r="D31" s="99" t="s">
        <v>70</v>
      </c>
      <c r="E31" s="99"/>
      <c r="F31" s="99" t="s">
        <v>71</v>
      </c>
      <c r="G31" s="97">
        <v>41090</v>
      </c>
      <c r="H31" s="100" t="s">
        <v>8</v>
      </c>
      <c r="I31" s="100" t="s">
        <v>325</v>
      </c>
      <c r="J31" s="100"/>
      <c r="K31" s="99" t="s">
        <v>66</v>
      </c>
      <c r="L31" s="99" t="s">
        <v>236</v>
      </c>
      <c r="M31" s="99">
        <v>70.61</v>
      </c>
      <c r="N31" s="99">
        <v>31.3</v>
      </c>
      <c r="O31" s="99" t="s">
        <v>363</v>
      </c>
      <c r="P31" s="101">
        <v>1000</v>
      </c>
      <c r="Q31" s="99">
        <v>35.299999999999997</v>
      </c>
      <c r="R31" s="105">
        <v>1000</v>
      </c>
      <c r="S31" s="106">
        <v>35.299999999999997</v>
      </c>
      <c r="T31" s="105">
        <v>1000</v>
      </c>
      <c r="U31" s="106">
        <v>35.299999999999997</v>
      </c>
      <c r="V31" s="99"/>
      <c r="W31" s="99"/>
      <c r="X31" s="99"/>
      <c r="Y31" s="99"/>
      <c r="Z31" s="99"/>
      <c r="AA31" s="99"/>
      <c r="AB31" s="99"/>
      <c r="AC31" s="99"/>
      <c r="AD31" s="99"/>
      <c r="AE31" s="99">
        <v>15.2</v>
      </c>
      <c r="AF31" s="101"/>
      <c r="AG31" s="99"/>
      <c r="AH31" s="99"/>
      <c r="AI31" s="99"/>
      <c r="AJ31" s="99"/>
      <c r="AK31" s="99"/>
      <c r="AL31" s="99" t="s">
        <v>270</v>
      </c>
      <c r="AM31" s="100" t="s">
        <v>325</v>
      </c>
      <c r="AN31" s="100"/>
      <c r="AO31" s="100"/>
      <c r="AP31" s="102" t="s">
        <v>237</v>
      </c>
      <c r="AQ31" s="100">
        <v>10</v>
      </c>
      <c r="AR31" s="100" t="s">
        <v>10</v>
      </c>
      <c r="AS31" s="99"/>
      <c r="AT31" s="100">
        <v>0</v>
      </c>
      <c r="AU31" s="100">
        <v>0</v>
      </c>
      <c r="AV31" s="100">
        <v>0</v>
      </c>
      <c r="AW31" s="100">
        <v>10</v>
      </c>
      <c r="AX31" s="100">
        <v>0</v>
      </c>
      <c r="AY31" s="100">
        <v>0</v>
      </c>
      <c r="AZ31" s="100">
        <v>0</v>
      </c>
      <c r="BA31" s="100">
        <v>0</v>
      </c>
      <c r="BB31" s="100">
        <v>0</v>
      </c>
      <c r="BC31" s="100">
        <v>0</v>
      </c>
      <c r="BD31" s="100">
        <v>0</v>
      </c>
      <c r="BE31" s="100" t="s">
        <v>325</v>
      </c>
      <c r="BF31" s="100">
        <v>36</v>
      </c>
      <c r="BG31" s="100" t="s">
        <v>325</v>
      </c>
      <c r="BH31" s="100"/>
      <c r="BI31" s="103"/>
      <c r="BJ31" s="99"/>
      <c r="BK31" s="100"/>
      <c r="BL31" s="100" t="s">
        <v>9</v>
      </c>
      <c r="BM31" s="99"/>
      <c r="BN31" t="s">
        <v>364</v>
      </c>
      <c r="BO31" t="s">
        <v>365</v>
      </c>
    </row>
  </sheetData>
  <sheetProtection algorithmName="SHA-512" hashValue="yLMzwnug/3DgmEDX7fdQbSorQCmIOnAE4b1dnP04yGYvuu9V3qDmuM0+1EzuKtCAmOHJMK6hW4XvVOWdNUGxtQ==" saltValue="e7+bhy/GRgue6yO05mHB+g==" spinCount="100000" sheet="1" objects="1" scenarios="1"/>
  <sortState xmlns:xlrd2="http://schemas.microsoft.com/office/spreadsheetml/2017/richdata2" ref="A1:XFD1048576">
    <sortCondition descending="1" ref="F2:F1048576"/>
    <sortCondition ref="K2:K1048576"/>
  </sortState>
  <phoneticPr fontId="6" type="noConversion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R60"/>
  <sheetViews>
    <sheetView workbookViewId="0">
      <selection activeCell="J4" sqref="J4"/>
    </sheetView>
  </sheetViews>
  <sheetFormatPr baseColWidth="10" defaultRowHeight="13" x14ac:dyDescent="0.15"/>
  <cols>
    <col min="1" max="1" width="11.5" customWidth="1"/>
    <col min="2" max="2" width="15.5" customWidth="1"/>
    <col min="3" max="3" width="7.5" customWidth="1"/>
    <col min="4" max="4" width="1.6640625" customWidth="1"/>
    <col min="5" max="15" width="10" customWidth="1"/>
  </cols>
  <sheetData>
    <row r="1" spans="1:18" x14ac:dyDescent="0.15">
      <c r="A1" s="1" t="s">
        <v>518</v>
      </c>
    </row>
    <row r="2" spans="1:18" x14ac:dyDescent="0.1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</row>
    <row r="3" spans="1:18" x14ac:dyDescent="0.15">
      <c r="A3" s="2" t="s">
        <v>330</v>
      </c>
      <c r="B3" s="3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8" x14ac:dyDescent="0.15">
      <c r="A4" s="1"/>
      <c r="B4" s="1"/>
      <c r="C4" s="1"/>
      <c r="D4" s="13"/>
      <c r="E4" s="5" t="s">
        <v>344</v>
      </c>
      <c r="F4" s="1"/>
      <c r="G4" s="1"/>
      <c r="H4" s="1"/>
      <c r="I4" s="1"/>
      <c r="J4" s="1"/>
      <c r="K4" s="1"/>
      <c r="L4" s="1"/>
      <c r="M4" s="1"/>
      <c r="N4" s="1"/>
    </row>
    <row r="5" spans="1:18" x14ac:dyDescent="0.15">
      <c r="A5" s="1"/>
      <c r="B5" s="1"/>
      <c r="C5" s="1"/>
      <c r="D5" s="13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8" x14ac:dyDescent="0.15">
      <c r="A6" s="6" t="s">
        <v>418</v>
      </c>
      <c r="B6" s="1"/>
      <c r="C6" s="1" t="s">
        <v>314</v>
      </c>
      <c r="D6" s="13"/>
      <c r="E6" s="7" t="s">
        <v>492</v>
      </c>
      <c r="F6" s="9" t="s">
        <v>491</v>
      </c>
      <c r="G6" s="9" t="s">
        <v>385</v>
      </c>
      <c r="H6" s="9" t="s">
        <v>494</v>
      </c>
      <c r="I6" s="7" t="s">
        <v>470</v>
      </c>
      <c r="J6" s="7" t="s">
        <v>467</v>
      </c>
      <c r="K6" s="7" t="s">
        <v>263</v>
      </c>
      <c r="L6" s="7" t="s">
        <v>203</v>
      </c>
      <c r="M6" s="7" t="s">
        <v>247</v>
      </c>
      <c r="N6" s="7" t="s">
        <v>204</v>
      </c>
      <c r="O6" s="7" t="s">
        <v>246</v>
      </c>
      <c r="P6" s="7" t="s">
        <v>323</v>
      </c>
      <c r="Q6" s="7" t="s">
        <v>194</v>
      </c>
      <c r="R6" s="7" t="s">
        <v>248</v>
      </c>
    </row>
    <row r="7" spans="1:18" x14ac:dyDescent="0.15">
      <c r="A7" s="1" t="s">
        <v>315</v>
      </c>
      <c r="B7" s="1"/>
      <c r="C7" s="1"/>
      <c r="D7" s="13"/>
      <c r="E7" s="8">
        <v>0.25</v>
      </c>
      <c r="F7" s="8">
        <v>0.25</v>
      </c>
      <c r="G7" s="8">
        <v>0.25</v>
      </c>
      <c r="H7" s="8">
        <v>0.25</v>
      </c>
      <c r="I7" s="8">
        <v>0.25</v>
      </c>
      <c r="J7" s="8">
        <v>0.25</v>
      </c>
      <c r="K7" s="8">
        <v>0.25</v>
      </c>
      <c r="L7" s="8">
        <v>0.25</v>
      </c>
      <c r="M7" s="8">
        <v>0.25</v>
      </c>
      <c r="N7" s="8">
        <v>0.25</v>
      </c>
      <c r="O7" s="8">
        <v>0.25</v>
      </c>
      <c r="P7" s="8">
        <v>0.25</v>
      </c>
      <c r="Q7" s="8">
        <v>0.25</v>
      </c>
      <c r="R7" s="8">
        <v>0.25</v>
      </c>
    </row>
    <row r="8" spans="1:18" x14ac:dyDescent="0.15">
      <c r="A8" s="1" t="s">
        <v>468</v>
      </c>
      <c r="B8" s="1"/>
      <c r="C8" s="1"/>
      <c r="D8" s="13"/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1</v>
      </c>
      <c r="Q8" s="1">
        <v>1</v>
      </c>
      <c r="R8" s="1">
        <v>1</v>
      </c>
    </row>
    <row r="9" spans="1:18" x14ac:dyDescent="0.15">
      <c r="A9" s="1" t="s">
        <v>469</v>
      </c>
      <c r="B9" s="1"/>
      <c r="C9" s="1"/>
      <c r="D9" s="13"/>
      <c r="E9" s="8">
        <v>0.75</v>
      </c>
      <c r="F9" s="8">
        <v>0.75</v>
      </c>
      <c r="G9" s="8">
        <v>0.75</v>
      </c>
      <c r="H9" s="8">
        <v>0.75</v>
      </c>
      <c r="I9" s="8">
        <v>0.75</v>
      </c>
      <c r="J9" s="8">
        <v>0.75</v>
      </c>
      <c r="K9" s="8">
        <v>0.75</v>
      </c>
      <c r="L9" s="8">
        <v>0.75</v>
      </c>
      <c r="M9" s="8">
        <v>0.75</v>
      </c>
      <c r="N9" s="8">
        <v>0.75</v>
      </c>
      <c r="O9" s="8">
        <v>0.75</v>
      </c>
      <c r="P9" s="8">
        <v>0.75</v>
      </c>
      <c r="Q9" s="8">
        <v>0.75</v>
      </c>
      <c r="R9" s="8">
        <v>0.75</v>
      </c>
    </row>
    <row r="10" spans="1:18" x14ac:dyDescent="0.15">
      <c r="A10" s="1" t="s">
        <v>510</v>
      </c>
      <c r="B10" s="1"/>
      <c r="C10" s="1"/>
      <c r="D10" s="13"/>
      <c r="E10" s="1">
        <v>3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  <c r="N10" s="1">
        <v>3</v>
      </c>
      <c r="O10" s="1">
        <v>3</v>
      </c>
      <c r="P10" s="1">
        <v>3</v>
      </c>
      <c r="Q10" s="1">
        <v>3</v>
      </c>
      <c r="R10" s="1">
        <v>3</v>
      </c>
    </row>
    <row r="11" spans="1:18" x14ac:dyDescent="0.15">
      <c r="A11" s="1" t="s">
        <v>264</v>
      </c>
      <c r="B11" s="1"/>
      <c r="C11" s="1"/>
      <c r="D11" s="13"/>
      <c r="E11" s="1">
        <v>1000</v>
      </c>
      <c r="F11" s="1">
        <v>1000</v>
      </c>
      <c r="G11" s="1">
        <v>1000</v>
      </c>
      <c r="H11" s="1">
        <v>300</v>
      </c>
      <c r="I11" s="1">
        <v>300</v>
      </c>
      <c r="J11" s="1">
        <v>300</v>
      </c>
      <c r="K11" s="1">
        <v>1000</v>
      </c>
      <c r="L11" s="1">
        <v>300</v>
      </c>
      <c r="M11" s="1">
        <v>1000</v>
      </c>
      <c r="N11" s="1">
        <v>600</v>
      </c>
      <c r="O11" s="1">
        <v>1000</v>
      </c>
      <c r="P11" s="1">
        <v>1000</v>
      </c>
      <c r="Q11" s="1">
        <v>300</v>
      </c>
      <c r="R11" s="1">
        <v>1000</v>
      </c>
    </row>
    <row r="12" spans="1:18" x14ac:dyDescent="0.15">
      <c r="A12" s="1" t="s">
        <v>434</v>
      </c>
      <c r="B12" s="1"/>
      <c r="C12" s="1"/>
      <c r="D12" s="13"/>
      <c r="E12" s="1">
        <v>1000</v>
      </c>
      <c r="F12" s="1">
        <v>1000</v>
      </c>
      <c r="G12" s="1">
        <v>2500</v>
      </c>
      <c r="H12" s="1">
        <v>1000</v>
      </c>
      <c r="I12" s="1">
        <v>1000</v>
      </c>
      <c r="J12" s="1">
        <v>1000</v>
      </c>
      <c r="K12" s="1">
        <v>1000</v>
      </c>
      <c r="L12" s="1">
        <v>1000</v>
      </c>
      <c r="M12" s="1">
        <v>1000</v>
      </c>
      <c r="N12" s="1">
        <v>600</v>
      </c>
      <c r="O12" s="1">
        <v>1000</v>
      </c>
      <c r="P12" s="1">
        <v>1000</v>
      </c>
      <c r="Q12" s="1">
        <v>1000</v>
      </c>
      <c r="R12" s="1">
        <v>1000</v>
      </c>
    </row>
    <row r="13" spans="1:18" x14ac:dyDescent="0.15">
      <c r="A13" s="1" t="s">
        <v>307</v>
      </c>
      <c r="B13" s="1"/>
      <c r="C13" s="1"/>
      <c r="D13" s="13"/>
      <c r="E13" s="1">
        <v>1000</v>
      </c>
      <c r="F13" s="1">
        <v>1000</v>
      </c>
      <c r="G13" s="1">
        <v>5000</v>
      </c>
      <c r="H13" s="1">
        <v>2500</v>
      </c>
      <c r="I13" s="1">
        <v>2500</v>
      </c>
      <c r="J13" s="1">
        <v>2500</v>
      </c>
      <c r="K13" s="1">
        <v>1000</v>
      </c>
      <c r="L13" s="1">
        <v>1000</v>
      </c>
      <c r="M13" s="1">
        <v>1000</v>
      </c>
      <c r="N13" s="1">
        <v>600</v>
      </c>
      <c r="O13" s="1">
        <v>1000</v>
      </c>
      <c r="P13" s="1">
        <v>1000</v>
      </c>
      <c r="Q13" s="1">
        <v>1000</v>
      </c>
      <c r="R13" s="1">
        <v>1000</v>
      </c>
    </row>
    <row r="14" spans="1:18" x14ac:dyDescent="0.15">
      <c r="A14" s="15" t="s">
        <v>221</v>
      </c>
      <c r="B14" s="15"/>
      <c r="C14" s="15"/>
      <c r="D14" s="13"/>
      <c r="E14" s="15">
        <v>1000</v>
      </c>
      <c r="F14" s="15">
        <v>1000</v>
      </c>
      <c r="G14" s="15">
        <v>5000</v>
      </c>
      <c r="H14" s="15">
        <v>2500</v>
      </c>
      <c r="I14" s="15">
        <v>2500</v>
      </c>
      <c r="J14" s="15">
        <v>2500</v>
      </c>
      <c r="K14" s="15">
        <v>1000</v>
      </c>
      <c r="L14" s="15">
        <v>1000</v>
      </c>
      <c r="M14" s="15">
        <v>1000</v>
      </c>
      <c r="N14" s="15">
        <v>600</v>
      </c>
      <c r="O14" s="15">
        <v>1000</v>
      </c>
      <c r="P14" s="15">
        <v>1000</v>
      </c>
      <c r="Q14" s="15">
        <v>1000</v>
      </c>
      <c r="R14" s="15">
        <v>1000</v>
      </c>
    </row>
    <row r="15" spans="1:18" x14ac:dyDescent="0.15">
      <c r="A15" s="1" t="s">
        <v>519</v>
      </c>
      <c r="B15" s="1"/>
      <c r="C15" s="1"/>
      <c r="D15" s="13"/>
      <c r="E15" s="26">
        <v>29.2</v>
      </c>
      <c r="F15" s="1">
        <v>28.8</v>
      </c>
      <c r="G15" s="1">
        <v>29.29</v>
      </c>
      <c r="H15">
        <v>27.48</v>
      </c>
      <c r="I15" s="1">
        <v>27.4</v>
      </c>
      <c r="J15" s="1">
        <v>26.47</v>
      </c>
      <c r="K15" s="1">
        <v>28.08</v>
      </c>
      <c r="L15" s="1">
        <v>30.8</v>
      </c>
      <c r="M15" s="1">
        <v>29.5</v>
      </c>
      <c r="N15" s="1">
        <v>26.18</v>
      </c>
      <c r="O15" s="1">
        <v>28.51</v>
      </c>
      <c r="P15" s="1">
        <v>31.4</v>
      </c>
      <c r="Q15" s="1">
        <v>27.4</v>
      </c>
      <c r="R15" s="1">
        <v>26.539000000000001</v>
      </c>
    </row>
    <row r="16" spans="1:18" x14ac:dyDescent="0.15">
      <c r="A16" s="1" t="s">
        <v>500</v>
      </c>
      <c r="B16" s="1"/>
      <c r="C16" s="1"/>
      <c r="D16" s="13"/>
      <c r="E16" s="26">
        <v>0</v>
      </c>
      <c r="F16" s="1">
        <v>0</v>
      </c>
      <c r="G16" s="1">
        <v>33.770000000000003</v>
      </c>
      <c r="H16">
        <v>27.98</v>
      </c>
      <c r="I16" s="1">
        <v>28.52</v>
      </c>
      <c r="J16" s="1">
        <v>26.99</v>
      </c>
      <c r="K16" s="1">
        <v>0</v>
      </c>
      <c r="L16" s="1">
        <v>32.299999999999997</v>
      </c>
      <c r="M16" s="1">
        <v>0</v>
      </c>
      <c r="N16" s="1">
        <v>0</v>
      </c>
      <c r="O16" s="1">
        <v>0</v>
      </c>
      <c r="P16" s="1">
        <v>0</v>
      </c>
      <c r="Q16" s="1">
        <v>30.7</v>
      </c>
      <c r="R16" s="1">
        <v>0</v>
      </c>
    </row>
    <row r="17" spans="1:18" x14ac:dyDescent="0.15">
      <c r="A17" s="1" t="s">
        <v>533</v>
      </c>
      <c r="B17" s="1"/>
      <c r="C17" s="1"/>
      <c r="D17" s="13"/>
      <c r="E17" s="26">
        <v>0</v>
      </c>
      <c r="F17" s="1">
        <v>0</v>
      </c>
      <c r="G17" s="1">
        <v>0</v>
      </c>
      <c r="H17">
        <v>32.43</v>
      </c>
      <c r="I17" s="1">
        <v>31.37</v>
      </c>
      <c r="J17" s="1">
        <v>31.22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</row>
    <row r="18" spans="1:18" x14ac:dyDescent="0.15">
      <c r="A18" s="1" t="s">
        <v>596</v>
      </c>
      <c r="B18" s="1"/>
      <c r="C18" s="1"/>
      <c r="D18" s="13"/>
      <c r="E18" s="26">
        <v>0</v>
      </c>
      <c r="F18" s="1">
        <v>0</v>
      </c>
      <c r="G18" s="1">
        <v>0</v>
      </c>
      <c r="H18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</row>
    <row r="19" spans="1:18" x14ac:dyDescent="0.15">
      <c r="A19" s="1" t="s">
        <v>597</v>
      </c>
      <c r="B19" s="1"/>
      <c r="C19" s="1"/>
      <c r="D19" s="13"/>
      <c r="E19" s="26">
        <v>34.06</v>
      </c>
      <c r="F19" s="1">
        <v>33.39</v>
      </c>
      <c r="G19" s="1">
        <v>33.799999999999997</v>
      </c>
      <c r="H19">
        <v>35.44</v>
      </c>
      <c r="I19" s="1">
        <v>34.01</v>
      </c>
      <c r="J19" s="1">
        <v>31.97</v>
      </c>
      <c r="K19" s="1">
        <v>28.74</v>
      </c>
      <c r="L19" s="1">
        <v>37.1</v>
      </c>
      <c r="M19" s="1">
        <v>37.1</v>
      </c>
      <c r="N19" s="1">
        <v>25.92</v>
      </c>
      <c r="O19" s="1">
        <v>32.950000000000003</v>
      </c>
      <c r="P19" s="1">
        <v>37.950000000000003</v>
      </c>
      <c r="Q19" s="1">
        <v>34.950000000000003</v>
      </c>
      <c r="R19" s="1">
        <v>30.332999999999998</v>
      </c>
    </row>
    <row r="20" spans="1:18" x14ac:dyDescent="0.15">
      <c r="A20" s="1" t="s">
        <v>509</v>
      </c>
      <c r="B20" s="1"/>
      <c r="C20" s="1"/>
      <c r="D20" s="13"/>
      <c r="E20" s="26">
        <v>26.84</v>
      </c>
      <c r="F20" s="1">
        <v>28.8</v>
      </c>
      <c r="G20" s="1">
        <v>29.29</v>
      </c>
      <c r="H20">
        <v>27.48</v>
      </c>
      <c r="I20" s="1">
        <v>27.4</v>
      </c>
      <c r="J20" s="1">
        <v>26.47</v>
      </c>
      <c r="K20" s="1">
        <v>28.08</v>
      </c>
      <c r="L20" s="1">
        <v>27.8</v>
      </c>
      <c r="M20" s="1">
        <v>29.5</v>
      </c>
      <c r="N20" s="1">
        <v>26.18</v>
      </c>
      <c r="O20" s="1">
        <v>28.51</v>
      </c>
      <c r="P20" s="1">
        <v>31.4</v>
      </c>
      <c r="Q20" s="1">
        <v>27.4</v>
      </c>
      <c r="R20" s="1">
        <v>26.539000000000001</v>
      </c>
    </row>
    <row r="21" spans="1:18" x14ac:dyDescent="0.15">
      <c r="A21" s="1" t="s">
        <v>343</v>
      </c>
      <c r="B21" s="1"/>
      <c r="C21" s="1"/>
      <c r="D21" s="13"/>
      <c r="E21" s="26">
        <v>0</v>
      </c>
      <c r="F21" s="1">
        <v>0</v>
      </c>
      <c r="G21" s="1">
        <v>33.770000000000003</v>
      </c>
      <c r="H21">
        <v>27.98</v>
      </c>
      <c r="I21" s="1">
        <v>28.52</v>
      </c>
      <c r="J21" s="1">
        <v>26.99</v>
      </c>
      <c r="K21" s="1">
        <v>0</v>
      </c>
      <c r="L21" s="1">
        <v>28.8</v>
      </c>
      <c r="M21" s="1">
        <v>0</v>
      </c>
      <c r="N21" s="1">
        <v>0</v>
      </c>
      <c r="O21" s="1">
        <v>0</v>
      </c>
      <c r="P21" s="1">
        <v>0</v>
      </c>
      <c r="Q21" s="1">
        <v>30.7</v>
      </c>
      <c r="R21" s="1">
        <v>0</v>
      </c>
    </row>
    <row r="22" spans="1:18" x14ac:dyDescent="0.15">
      <c r="A22" s="1" t="s">
        <v>370</v>
      </c>
      <c r="B22" s="1"/>
      <c r="C22" s="1"/>
      <c r="D22" s="13"/>
      <c r="E22" s="26">
        <v>0</v>
      </c>
      <c r="F22" s="1">
        <v>0</v>
      </c>
      <c r="G22" s="1">
        <v>0</v>
      </c>
      <c r="H22">
        <v>32.43</v>
      </c>
      <c r="I22" s="1">
        <v>31.37</v>
      </c>
      <c r="J22" s="1">
        <v>31.22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</row>
    <row r="23" spans="1:18" x14ac:dyDescent="0.15">
      <c r="A23" s="1" t="s">
        <v>178</v>
      </c>
      <c r="B23" s="1"/>
      <c r="C23" s="1"/>
      <c r="D23" s="13"/>
      <c r="E23" s="26">
        <v>0</v>
      </c>
      <c r="F23" s="1">
        <v>0</v>
      </c>
      <c r="G23" s="1">
        <v>0</v>
      </c>
      <c r="H23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</row>
    <row r="24" spans="1:18" x14ac:dyDescent="0.15">
      <c r="A24" s="1" t="s">
        <v>293</v>
      </c>
      <c r="B24" s="1"/>
      <c r="C24" s="1"/>
      <c r="D24" s="13"/>
      <c r="E24" s="26">
        <v>30.83</v>
      </c>
      <c r="F24" s="1">
        <v>33.39</v>
      </c>
      <c r="G24" s="1">
        <v>33.799999999999997</v>
      </c>
      <c r="H24">
        <v>35.44</v>
      </c>
      <c r="I24" s="1">
        <v>34.01</v>
      </c>
      <c r="J24" s="1">
        <v>31.97</v>
      </c>
      <c r="K24" s="1">
        <v>28.74</v>
      </c>
      <c r="L24" s="1">
        <v>31.6</v>
      </c>
      <c r="M24" s="1">
        <v>37.1</v>
      </c>
      <c r="N24" s="1">
        <v>25.92</v>
      </c>
      <c r="O24" s="1">
        <v>32.950000000000003</v>
      </c>
      <c r="P24" s="1">
        <v>37.950000000000003</v>
      </c>
      <c r="Q24" s="1">
        <v>34.950000000000003</v>
      </c>
      <c r="R24" s="1">
        <v>30.332999999999998</v>
      </c>
    </row>
    <row r="25" spans="1:18" x14ac:dyDescent="0.15">
      <c r="A25" s="1" t="s">
        <v>294</v>
      </c>
      <c r="B25" s="1"/>
      <c r="C25" s="1"/>
      <c r="D25" s="13"/>
      <c r="E25" s="26">
        <v>63.79</v>
      </c>
      <c r="F25" s="1">
        <v>70.33</v>
      </c>
      <c r="G25" s="1">
        <v>69.5</v>
      </c>
      <c r="H25">
        <v>72.459999999999994</v>
      </c>
      <c r="I25" s="1">
        <v>68.23</v>
      </c>
      <c r="J25" s="1">
        <v>77.569999999999993</v>
      </c>
      <c r="K25" s="1">
        <v>68.680000000000007</v>
      </c>
      <c r="L25" s="1">
        <v>71.7</v>
      </c>
      <c r="M25" s="1">
        <v>68.599999999999994</v>
      </c>
      <c r="N25" s="1">
        <v>73.400000000000006</v>
      </c>
      <c r="O25" s="1">
        <v>65.599999999999994</v>
      </c>
      <c r="P25" s="1">
        <v>69</v>
      </c>
      <c r="Q25" s="1">
        <v>67.8</v>
      </c>
      <c r="R25" s="1">
        <v>78.122</v>
      </c>
    </row>
    <row r="26" spans="1:18" x14ac:dyDescent="0.15">
      <c r="A26" s="1"/>
      <c r="B26" s="1"/>
      <c r="C26" s="1"/>
      <c r="D26" s="13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8" x14ac:dyDescent="0.15">
      <c r="A27" s="1"/>
      <c r="B27" s="1"/>
      <c r="C27" s="1"/>
      <c r="D27" s="13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8" x14ac:dyDescent="0.15">
      <c r="A28" s="6" t="s">
        <v>179</v>
      </c>
      <c r="B28" s="1"/>
      <c r="C28" s="1" t="s">
        <v>314</v>
      </c>
      <c r="D28" s="13"/>
      <c r="E28" s="7" t="s">
        <v>492</v>
      </c>
      <c r="F28" s="9" t="s">
        <v>491</v>
      </c>
      <c r="G28" s="9" t="s">
        <v>385</v>
      </c>
      <c r="H28" s="9" t="s">
        <v>494</v>
      </c>
      <c r="I28" s="7" t="s">
        <v>470</v>
      </c>
      <c r="J28" s="7" t="s">
        <v>467</v>
      </c>
      <c r="K28" s="7" t="s">
        <v>263</v>
      </c>
      <c r="L28" s="7" t="s">
        <v>203</v>
      </c>
      <c r="M28" s="7" t="s">
        <v>247</v>
      </c>
      <c r="N28" s="7" t="s">
        <v>204</v>
      </c>
      <c r="O28" s="7" t="s">
        <v>246</v>
      </c>
      <c r="P28" s="7" t="s">
        <v>323</v>
      </c>
      <c r="Q28" s="7" t="s">
        <v>194</v>
      </c>
      <c r="R28" s="7" t="s">
        <v>248</v>
      </c>
    </row>
    <row r="29" spans="1:18" x14ac:dyDescent="0.15">
      <c r="A29" s="1" t="s">
        <v>315</v>
      </c>
      <c r="B29" s="1"/>
      <c r="C29" s="1"/>
      <c r="D29" s="13"/>
      <c r="E29" s="8">
        <v>0.25</v>
      </c>
      <c r="F29" s="8">
        <v>0.25</v>
      </c>
      <c r="G29" s="8">
        <v>0.25</v>
      </c>
      <c r="H29" s="8">
        <v>0.25</v>
      </c>
      <c r="I29" s="8">
        <v>0.25</v>
      </c>
      <c r="J29" s="8">
        <v>0.25</v>
      </c>
      <c r="K29" s="8">
        <v>0.25</v>
      </c>
      <c r="L29" s="8">
        <v>0.25</v>
      </c>
      <c r="M29" s="8">
        <v>0.25</v>
      </c>
      <c r="N29" s="8">
        <v>0.25</v>
      </c>
      <c r="O29" s="8">
        <v>0.25</v>
      </c>
      <c r="P29" s="8">
        <v>0.25</v>
      </c>
      <c r="Q29" s="8">
        <v>0.25</v>
      </c>
      <c r="R29" s="8">
        <v>0.25</v>
      </c>
    </row>
    <row r="30" spans="1:18" x14ac:dyDescent="0.15">
      <c r="A30" s="1" t="s">
        <v>468</v>
      </c>
      <c r="B30" s="1"/>
      <c r="C30" s="1"/>
      <c r="D30" s="13"/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</row>
    <row r="31" spans="1:18" x14ac:dyDescent="0.15">
      <c r="A31" s="1" t="s">
        <v>469</v>
      </c>
      <c r="B31" s="1"/>
      <c r="C31" s="1"/>
      <c r="D31" s="13"/>
      <c r="E31" s="8">
        <v>0.75</v>
      </c>
      <c r="F31" s="8">
        <v>0.75</v>
      </c>
      <c r="G31" s="8">
        <v>0.75</v>
      </c>
      <c r="H31" s="8">
        <v>0.75</v>
      </c>
      <c r="I31" s="8">
        <v>0.75</v>
      </c>
      <c r="J31" s="8">
        <v>0.75</v>
      </c>
      <c r="K31" s="8">
        <v>0.75</v>
      </c>
      <c r="L31" s="8">
        <v>0.75</v>
      </c>
      <c r="M31" s="8">
        <v>0.75</v>
      </c>
      <c r="N31" s="8">
        <v>0.75</v>
      </c>
      <c r="O31" s="8">
        <v>0.75</v>
      </c>
      <c r="P31" s="8">
        <v>0.75</v>
      </c>
      <c r="Q31" s="8">
        <v>0.75</v>
      </c>
      <c r="R31" s="8">
        <v>0.75</v>
      </c>
    </row>
    <row r="32" spans="1:18" x14ac:dyDescent="0.15">
      <c r="A32" s="1" t="s">
        <v>510</v>
      </c>
      <c r="B32" s="1"/>
      <c r="C32" s="1"/>
      <c r="D32" s="13"/>
      <c r="E32" s="1">
        <v>3</v>
      </c>
      <c r="F32" s="1">
        <v>3</v>
      </c>
      <c r="G32" s="1">
        <v>3</v>
      </c>
      <c r="H32" s="1">
        <v>3</v>
      </c>
      <c r="I32" s="1">
        <v>3</v>
      </c>
      <c r="J32" s="1">
        <v>3</v>
      </c>
      <c r="K32" s="1">
        <v>3</v>
      </c>
      <c r="L32" s="1">
        <v>3</v>
      </c>
      <c r="M32" s="1">
        <v>3</v>
      </c>
      <c r="N32" s="1">
        <v>3</v>
      </c>
      <c r="O32" s="1">
        <v>3</v>
      </c>
      <c r="P32" s="1">
        <v>3</v>
      </c>
      <c r="Q32" s="1">
        <v>3</v>
      </c>
      <c r="R32" s="1">
        <v>3</v>
      </c>
    </row>
    <row r="33" spans="1:18" x14ac:dyDescent="0.15">
      <c r="A33" s="1" t="s">
        <v>264</v>
      </c>
      <c r="B33" s="1"/>
      <c r="C33" s="1"/>
      <c r="D33" s="13"/>
      <c r="E33" s="1">
        <v>1000</v>
      </c>
      <c r="F33" s="1">
        <v>1000</v>
      </c>
      <c r="G33" s="1">
        <v>1000</v>
      </c>
      <c r="H33" s="1">
        <v>300</v>
      </c>
      <c r="I33" s="1">
        <v>300</v>
      </c>
      <c r="J33" s="1">
        <v>300</v>
      </c>
      <c r="K33" s="1">
        <v>1000</v>
      </c>
      <c r="L33" s="1">
        <v>300</v>
      </c>
      <c r="M33" s="1">
        <v>1000</v>
      </c>
      <c r="N33" s="1">
        <v>600</v>
      </c>
      <c r="O33" s="1">
        <v>1000</v>
      </c>
      <c r="P33" s="1">
        <v>1000</v>
      </c>
      <c r="Q33" s="1">
        <v>300</v>
      </c>
      <c r="R33" s="1">
        <v>1000</v>
      </c>
    </row>
    <row r="34" spans="1:18" x14ac:dyDescent="0.15">
      <c r="A34" s="1" t="s">
        <v>434</v>
      </c>
      <c r="B34" s="1"/>
      <c r="C34" s="1"/>
      <c r="D34" s="13"/>
      <c r="E34" s="1">
        <v>1000</v>
      </c>
      <c r="F34" s="1">
        <v>1000</v>
      </c>
      <c r="G34" s="1">
        <v>2500</v>
      </c>
      <c r="H34" s="1">
        <v>1000</v>
      </c>
      <c r="I34" s="1">
        <v>1000</v>
      </c>
      <c r="J34" s="1">
        <v>1000</v>
      </c>
      <c r="K34" s="1">
        <v>1000</v>
      </c>
      <c r="L34" s="1">
        <v>1000</v>
      </c>
      <c r="M34" s="1">
        <v>1000</v>
      </c>
      <c r="N34" s="1">
        <v>600</v>
      </c>
      <c r="O34" s="1">
        <v>1000</v>
      </c>
      <c r="P34" s="1">
        <v>1000</v>
      </c>
      <c r="Q34" s="1">
        <v>1000</v>
      </c>
      <c r="R34" s="1">
        <v>1000</v>
      </c>
    </row>
    <row r="35" spans="1:18" x14ac:dyDescent="0.15">
      <c r="A35" s="1" t="s">
        <v>307</v>
      </c>
      <c r="B35" s="1"/>
      <c r="C35" s="1"/>
      <c r="D35" s="13"/>
      <c r="E35" s="1">
        <v>1000</v>
      </c>
      <c r="F35" s="1">
        <v>1000</v>
      </c>
      <c r="G35" s="1">
        <v>5000</v>
      </c>
      <c r="H35" s="1">
        <v>2500</v>
      </c>
      <c r="I35" s="1">
        <v>2500</v>
      </c>
      <c r="J35" s="1">
        <v>2500</v>
      </c>
      <c r="K35" s="1">
        <v>1000</v>
      </c>
      <c r="L35" s="1">
        <v>1000</v>
      </c>
      <c r="M35" s="1">
        <v>1000</v>
      </c>
      <c r="N35" s="1">
        <v>600</v>
      </c>
      <c r="O35" s="1">
        <v>1000</v>
      </c>
      <c r="P35" s="1">
        <v>1000</v>
      </c>
      <c r="Q35" s="1">
        <v>1000</v>
      </c>
      <c r="R35" s="1">
        <v>1000</v>
      </c>
    </row>
    <row r="36" spans="1:18" x14ac:dyDescent="0.15">
      <c r="A36" s="1" t="s">
        <v>221</v>
      </c>
      <c r="B36" s="1"/>
      <c r="C36" s="1"/>
      <c r="D36" s="13"/>
      <c r="E36" s="15">
        <v>1000</v>
      </c>
      <c r="F36" s="15">
        <v>1000</v>
      </c>
      <c r="G36" s="15">
        <v>5000</v>
      </c>
      <c r="H36" s="1">
        <v>2500</v>
      </c>
      <c r="I36" s="15">
        <v>2500</v>
      </c>
      <c r="J36" s="15">
        <v>2500</v>
      </c>
      <c r="K36" s="15">
        <v>1000</v>
      </c>
      <c r="L36" s="1">
        <v>1000</v>
      </c>
      <c r="M36" s="15">
        <v>1000</v>
      </c>
      <c r="N36" s="15">
        <v>600</v>
      </c>
      <c r="O36" s="15">
        <v>1000</v>
      </c>
      <c r="P36" s="15">
        <v>1000</v>
      </c>
      <c r="Q36" s="15">
        <v>1000</v>
      </c>
      <c r="R36" s="15">
        <v>1000</v>
      </c>
    </row>
    <row r="37" spans="1:18" x14ac:dyDescent="0.15">
      <c r="A37" s="18" t="s">
        <v>396</v>
      </c>
      <c r="B37" s="18"/>
      <c r="C37" s="18"/>
      <c r="D37" s="13"/>
      <c r="E37" s="18">
        <v>2000</v>
      </c>
      <c r="F37" s="18">
        <v>2000</v>
      </c>
      <c r="G37" s="18">
        <v>2000</v>
      </c>
      <c r="H37" s="18">
        <v>2000</v>
      </c>
      <c r="I37" s="18">
        <v>2000</v>
      </c>
      <c r="J37" s="18">
        <v>2000</v>
      </c>
      <c r="K37" s="19">
        <v>2000</v>
      </c>
      <c r="L37" s="18">
        <v>2000</v>
      </c>
      <c r="M37" s="19">
        <v>2000</v>
      </c>
      <c r="N37" s="19">
        <v>2000</v>
      </c>
      <c r="O37" s="19">
        <v>2000</v>
      </c>
      <c r="P37" s="19">
        <v>2000</v>
      </c>
      <c r="Q37" s="19">
        <v>2000</v>
      </c>
      <c r="R37" s="18">
        <v>2000</v>
      </c>
    </row>
    <row r="38" spans="1:18" x14ac:dyDescent="0.15">
      <c r="A38" s="1" t="s">
        <v>519</v>
      </c>
      <c r="B38" s="1"/>
      <c r="C38" s="1"/>
      <c r="D38" s="13"/>
      <c r="E38" s="26">
        <v>29.2</v>
      </c>
      <c r="F38" s="1">
        <v>28.8</v>
      </c>
      <c r="G38" s="1">
        <v>29.29</v>
      </c>
      <c r="H38">
        <v>27.48</v>
      </c>
      <c r="I38" s="1">
        <v>27.4</v>
      </c>
      <c r="J38" s="1">
        <v>26.47</v>
      </c>
      <c r="K38" s="1">
        <v>28.08</v>
      </c>
      <c r="L38" s="1">
        <v>30.8</v>
      </c>
      <c r="M38" s="1">
        <v>29.5</v>
      </c>
      <c r="N38" s="1">
        <v>26.18</v>
      </c>
      <c r="O38" s="1">
        <v>28.51</v>
      </c>
      <c r="P38" s="1">
        <v>31.4</v>
      </c>
      <c r="Q38" s="1">
        <v>27.4</v>
      </c>
      <c r="R38" s="1">
        <v>26.539000000000001</v>
      </c>
    </row>
    <row r="39" spans="1:18" x14ac:dyDescent="0.15">
      <c r="A39" s="1" t="s">
        <v>500</v>
      </c>
      <c r="B39" s="1"/>
      <c r="C39" s="1"/>
      <c r="D39" s="13"/>
      <c r="E39" s="26">
        <v>0</v>
      </c>
      <c r="F39" s="1">
        <v>0</v>
      </c>
      <c r="G39" s="1">
        <v>33.770000000000003</v>
      </c>
      <c r="H39">
        <v>27.98</v>
      </c>
      <c r="I39" s="1">
        <v>28.52</v>
      </c>
      <c r="J39" s="1">
        <v>26.99</v>
      </c>
      <c r="K39" s="1">
        <v>0</v>
      </c>
      <c r="L39" s="1">
        <v>32.299999999999997</v>
      </c>
      <c r="M39" s="1">
        <v>0</v>
      </c>
      <c r="N39" s="1">
        <v>0</v>
      </c>
      <c r="O39" s="1">
        <v>0</v>
      </c>
      <c r="P39" s="1">
        <v>0</v>
      </c>
      <c r="Q39" s="1">
        <v>30.7</v>
      </c>
      <c r="R39" s="1">
        <v>0</v>
      </c>
    </row>
    <row r="40" spans="1:18" x14ac:dyDescent="0.15">
      <c r="A40" s="1" t="s">
        <v>533</v>
      </c>
      <c r="B40" s="1"/>
      <c r="C40" s="1"/>
      <c r="D40" s="13"/>
      <c r="E40" s="26">
        <v>0</v>
      </c>
      <c r="F40" s="1">
        <v>0</v>
      </c>
      <c r="G40" s="1">
        <v>0</v>
      </c>
      <c r="H40">
        <v>32.43</v>
      </c>
      <c r="I40" s="1">
        <v>31.37</v>
      </c>
      <c r="J40" s="1">
        <v>31.22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</row>
    <row r="41" spans="1:18" x14ac:dyDescent="0.15">
      <c r="A41" s="1" t="s">
        <v>596</v>
      </c>
      <c r="B41" s="1"/>
      <c r="C41" s="1"/>
      <c r="D41" s="13"/>
      <c r="E41" s="26">
        <v>0</v>
      </c>
      <c r="F41" s="1">
        <v>0</v>
      </c>
      <c r="G41" s="1">
        <v>0</v>
      </c>
      <c r="H4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</row>
    <row r="42" spans="1:18" x14ac:dyDescent="0.15">
      <c r="A42" s="1" t="s">
        <v>597</v>
      </c>
      <c r="B42" s="1"/>
      <c r="C42" s="1"/>
      <c r="D42" s="13"/>
      <c r="E42" s="26">
        <v>34.06</v>
      </c>
      <c r="F42" s="1">
        <v>33.39</v>
      </c>
      <c r="G42" s="1">
        <v>33.799999999999997</v>
      </c>
      <c r="H42">
        <v>35.44</v>
      </c>
      <c r="I42" s="1">
        <v>34.01</v>
      </c>
      <c r="J42" s="1">
        <v>31.97</v>
      </c>
      <c r="K42" s="1">
        <v>28.74</v>
      </c>
      <c r="L42" s="1">
        <v>37.1</v>
      </c>
      <c r="M42" s="1">
        <v>37.1</v>
      </c>
      <c r="N42" s="1">
        <v>25.92</v>
      </c>
      <c r="O42" s="1">
        <v>32.950000000000003</v>
      </c>
      <c r="P42" s="1">
        <v>37.950000000000003</v>
      </c>
      <c r="Q42" s="1">
        <v>34.950000000000003</v>
      </c>
      <c r="R42" s="1">
        <v>30.332999999999998</v>
      </c>
    </row>
    <row r="43" spans="1:18" x14ac:dyDescent="0.15">
      <c r="A43" s="1" t="s">
        <v>509</v>
      </c>
      <c r="B43" s="1"/>
      <c r="C43" s="1"/>
      <c r="D43" s="13"/>
      <c r="E43" s="26">
        <v>26.84</v>
      </c>
      <c r="F43" s="1">
        <v>28.8</v>
      </c>
      <c r="G43" s="1">
        <v>29.29</v>
      </c>
      <c r="H43">
        <v>27.48</v>
      </c>
      <c r="I43" s="1">
        <v>27.4</v>
      </c>
      <c r="J43" s="1">
        <v>26.47</v>
      </c>
      <c r="K43" s="1">
        <v>28.08</v>
      </c>
      <c r="L43" s="1">
        <v>27.8</v>
      </c>
      <c r="M43" s="1">
        <v>29.5</v>
      </c>
      <c r="N43" s="1">
        <v>26.18</v>
      </c>
      <c r="O43" s="1">
        <v>28.51</v>
      </c>
      <c r="P43" s="1">
        <v>31.4</v>
      </c>
      <c r="Q43" s="1">
        <v>27.4</v>
      </c>
      <c r="R43" s="1">
        <v>26.539000000000001</v>
      </c>
    </row>
    <row r="44" spans="1:18" x14ac:dyDescent="0.15">
      <c r="A44" s="1" t="s">
        <v>343</v>
      </c>
      <c r="B44" s="1"/>
      <c r="C44" s="1"/>
      <c r="D44" s="13"/>
      <c r="E44" s="26">
        <v>0</v>
      </c>
      <c r="F44" s="1">
        <v>0</v>
      </c>
      <c r="G44" s="1">
        <v>33.770000000000003</v>
      </c>
      <c r="H44">
        <v>27.98</v>
      </c>
      <c r="I44" s="1">
        <v>28.52</v>
      </c>
      <c r="J44" s="1">
        <v>26.99</v>
      </c>
      <c r="K44" s="1">
        <v>0</v>
      </c>
      <c r="L44" s="1">
        <v>28.8</v>
      </c>
      <c r="M44" s="1">
        <v>0</v>
      </c>
      <c r="N44" s="1">
        <v>0</v>
      </c>
      <c r="O44" s="1">
        <v>0</v>
      </c>
      <c r="P44" s="1">
        <v>0</v>
      </c>
      <c r="Q44" s="1">
        <v>30.7</v>
      </c>
      <c r="R44" s="1">
        <v>0</v>
      </c>
    </row>
    <row r="45" spans="1:18" x14ac:dyDescent="0.15">
      <c r="A45" s="1" t="s">
        <v>370</v>
      </c>
      <c r="B45" s="1"/>
      <c r="C45" s="1"/>
      <c r="D45" s="13"/>
      <c r="E45" s="26">
        <v>0</v>
      </c>
      <c r="F45" s="1">
        <v>0</v>
      </c>
      <c r="G45" s="1">
        <v>0</v>
      </c>
      <c r="H45">
        <v>32.43</v>
      </c>
      <c r="I45" s="1">
        <v>31.37</v>
      </c>
      <c r="J45" s="1">
        <v>31.22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</row>
    <row r="46" spans="1:18" x14ac:dyDescent="0.15">
      <c r="A46" s="1" t="s">
        <v>178</v>
      </c>
      <c r="B46" s="1"/>
      <c r="C46" s="1"/>
      <c r="D46" s="13"/>
      <c r="E46" s="26">
        <v>0</v>
      </c>
      <c r="F46" s="1">
        <v>0</v>
      </c>
      <c r="G46" s="1">
        <v>0</v>
      </c>
      <c r="H46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</row>
    <row r="47" spans="1:18" x14ac:dyDescent="0.15">
      <c r="A47" s="1" t="s">
        <v>293</v>
      </c>
      <c r="B47" s="1"/>
      <c r="C47" s="1"/>
      <c r="D47" s="13"/>
      <c r="E47" s="26">
        <v>30.83</v>
      </c>
      <c r="F47" s="1">
        <v>33.39</v>
      </c>
      <c r="G47" s="1">
        <v>33.799999999999997</v>
      </c>
      <c r="H47">
        <v>35.44</v>
      </c>
      <c r="I47" s="1">
        <v>34.01</v>
      </c>
      <c r="J47" s="1">
        <v>31.97</v>
      </c>
      <c r="K47" s="1">
        <v>28.74</v>
      </c>
      <c r="L47" s="1">
        <v>31.6</v>
      </c>
      <c r="M47" s="1">
        <v>37.1</v>
      </c>
      <c r="N47" s="1">
        <v>25.92</v>
      </c>
      <c r="O47" s="1">
        <v>32.950000000000003</v>
      </c>
      <c r="P47" s="1">
        <v>37.950000000000003</v>
      </c>
      <c r="Q47" s="1">
        <v>34.950000000000003</v>
      </c>
      <c r="R47" s="1">
        <v>30.332999999999998</v>
      </c>
    </row>
    <row r="48" spans="1:18" x14ac:dyDescent="0.15">
      <c r="A48" s="1" t="s">
        <v>551</v>
      </c>
      <c r="B48" s="1"/>
      <c r="C48" s="1"/>
      <c r="D48" s="13"/>
      <c r="E48" s="26">
        <v>13.31</v>
      </c>
      <c r="F48" s="1">
        <v>14.23</v>
      </c>
      <c r="G48" s="1">
        <v>13.97</v>
      </c>
      <c r="H48">
        <v>13.41</v>
      </c>
      <c r="I48" s="1">
        <v>14.23</v>
      </c>
      <c r="J48" s="1">
        <v>11.6</v>
      </c>
      <c r="K48" s="26">
        <v>14.31</v>
      </c>
      <c r="L48" s="1">
        <v>15.2</v>
      </c>
      <c r="M48" s="1">
        <v>13.7</v>
      </c>
      <c r="N48" s="26">
        <v>15.83</v>
      </c>
      <c r="O48">
        <v>15.14</v>
      </c>
      <c r="P48" s="1">
        <v>14.25</v>
      </c>
      <c r="Q48" s="1">
        <v>11.95</v>
      </c>
      <c r="R48" s="1">
        <v>12.481999999999999</v>
      </c>
    </row>
    <row r="49" spans="1:18" x14ac:dyDescent="0.15">
      <c r="A49" s="1" t="s">
        <v>457</v>
      </c>
      <c r="B49" s="1"/>
      <c r="C49" s="1"/>
      <c r="D49" s="13"/>
      <c r="E49" s="26">
        <v>13.31</v>
      </c>
      <c r="F49" s="1">
        <v>14.23</v>
      </c>
      <c r="G49" s="1">
        <v>13.97</v>
      </c>
      <c r="H49">
        <v>13.41</v>
      </c>
      <c r="I49" s="1">
        <v>15.31</v>
      </c>
      <c r="J49" s="1">
        <v>11.6</v>
      </c>
      <c r="K49" s="26">
        <v>14.31</v>
      </c>
      <c r="L49" s="1">
        <v>15.2</v>
      </c>
      <c r="M49" s="1">
        <v>13.7</v>
      </c>
      <c r="N49" s="26">
        <v>15.83</v>
      </c>
      <c r="O49">
        <v>15.14</v>
      </c>
      <c r="P49" s="1">
        <v>14.25</v>
      </c>
      <c r="Q49" s="1">
        <v>12.4</v>
      </c>
      <c r="R49" s="1">
        <v>12.193</v>
      </c>
    </row>
    <row r="50" spans="1:18" x14ac:dyDescent="0.15">
      <c r="A50" s="1" t="s">
        <v>294</v>
      </c>
      <c r="B50" s="1"/>
      <c r="C50" s="1"/>
      <c r="D50" s="13"/>
      <c r="E50" s="26">
        <v>63.79</v>
      </c>
      <c r="F50" s="1">
        <v>70.33</v>
      </c>
      <c r="G50" s="1">
        <v>69.5</v>
      </c>
      <c r="H50">
        <v>72.459999999999994</v>
      </c>
      <c r="I50" s="1">
        <v>68.23</v>
      </c>
      <c r="J50" s="1">
        <v>77.569999999999993</v>
      </c>
      <c r="K50" s="1">
        <v>68.680000000000007</v>
      </c>
      <c r="L50" s="1">
        <v>71.7</v>
      </c>
      <c r="M50" s="1">
        <v>68.599999999999994</v>
      </c>
      <c r="N50" s="1">
        <v>73.400000000000006</v>
      </c>
      <c r="O50" s="1">
        <v>65.599999999999994</v>
      </c>
      <c r="P50" s="1">
        <v>69</v>
      </c>
      <c r="Q50" s="1">
        <v>67.8</v>
      </c>
      <c r="R50" s="1">
        <v>78.122</v>
      </c>
    </row>
    <row r="51" spans="1:18" x14ac:dyDescent="0.15">
      <c r="A51" s="1"/>
      <c r="B51" s="1"/>
      <c r="C51" s="1"/>
      <c r="D51" s="13"/>
      <c r="E51" s="1"/>
      <c r="F51" s="1"/>
      <c r="G51" s="1"/>
      <c r="H51" s="1"/>
      <c r="I51" s="1"/>
      <c r="J51" s="1"/>
      <c r="K51" s="1"/>
      <c r="L51" s="1"/>
      <c r="M51" s="1"/>
      <c r="N51" s="1"/>
      <c r="R51" s="1"/>
    </row>
    <row r="52" spans="1:18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</row>
    <row r="53" spans="1:18" x14ac:dyDescent="0.15">
      <c r="A53" s="6" t="s">
        <v>490</v>
      </c>
      <c r="B53" s="1"/>
      <c r="C53" s="1"/>
      <c r="D53" s="13"/>
      <c r="E53" s="7" t="s">
        <v>492</v>
      </c>
      <c r="F53" s="9" t="s">
        <v>491</v>
      </c>
      <c r="G53" s="9" t="s">
        <v>385</v>
      </c>
      <c r="H53" s="9" t="s">
        <v>494</v>
      </c>
      <c r="I53" s="7" t="s">
        <v>470</v>
      </c>
      <c r="J53" s="7" t="s">
        <v>467</v>
      </c>
      <c r="K53" s="7" t="s">
        <v>263</v>
      </c>
      <c r="L53" s="7" t="s">
        <v>203</v>
      </c>
      <c r="M53" s="7" t="s">
        <v>247</v>
      </c>
      <c r="N53" s="7" t="s">
        <v>204</v>
      </c>
      <c r="O53" s="7" t="s">
        <v>246</v>
      </c>
      <c r="P53" s="7" t="s">
        <v>323</v>
      </c>
      <c r="Q53" s="7" t="s">
        <v>194</v>
      </c>
      <c r="R53" s="7" t="s">
        <v>248</v>
      </c>
    </row>
    <row r="54" spans="1:18" x14ac:dyDescent="0.15">
      <c r="A54" s="1" t="s">
        <v>258</v>
      </c>
      <c r="B54" s="1"/>
      <c r="C54" s="1"/>
      <c r="D54" s="13"/>
      <c r="E54" s="21" t="s">
        <v>381</v>
      </c>
      <c r="F54" s="21" t="s">
        <v>381</v>
      </c>
      <c r="G54" s="21" t="s">
        <v>381</v>
      </c>
      <c r="H54" s="21" t="s">
        <v>497</v>
      </c>
      <c r="I54" s="21" t="s">
        <v>292</v>
      </c>
      <c r="J54" s="21" t="s">
        <v>497</v>
      </c>
      <c r="K54" s="21" t="s">
        <v>253</v>
      </c>
      <c r="L54" s="1" t="s">
        <v>601</v>
      </c>
      <c r="M54" s="1" t="s">
        <v>285</v>
      </c>
      <c r="N54" s="1" t="s">
        <v>601</v>
      </c>
      <c r="O54" s="1" t="s">
        <v>601</v>
      </c>
      <c r="P54" s="1" t="s">
        <v>285</v>
      </c>
      <c r="Q54" t="s">
        <v>195</v>
      </c>
      <c r="R54" s="21" t="s">
        <v>350</v>
      </c>
    </row>
    <row r="55" spans="1:18" x14ac:dyDescent="0.15">
      <c r="A55" s="1" t="s">
        <v>522</v>
      </c>
      <c r="B55" s="1"/>
      <c r="C55" s="1"/>
      <c r="D55" s="13"/>
      <c r="E55" s="21" t="s">
        <v>321</v>
      </c>
      <c r="F55" s="21" t="s">
        <v>224</v>
      </c>
      <c r="G55" s="21" t="s">
        <v>224</v>
      </c>
      <c r="H55" s="21" t="s">
        <v>400</v>
      </c>
      <c r="I55" s="21" t="s">
        <v>321</v>
      </c>
      <c r="J55" s="21" t="s">
        <v>400</v>
      </c>
      <c r="K55" s="21" t="s">
        <v>495</v>
      </c>
      <c r="L55" s="1" t="s">
        <v>331</v>
      </c>
      <c r="M55" s="1" t="s">
        <v>285</v>
      </c>
      <c r="N55" s="21" t="s">
        <v>224</v>
      </c>
      <c r="O55" s="21" t="s">
        <v>224</v>
      </c>
      <c r="P55" s="1" t="s">
        <v>285</v>
      </c>
      <c r="Q55" t="s">
        <v>196</v>
      </c>
      <c r="R55" s="21" t="s">
        <v>351</v>
      </c>
    </row>
    <row r="56" spans="1:18" x14ac:dyDescent="0.15">
      <c r="A56" s="1" t="s">
        <v>512</v>
      </c>
      <c r="B56" s="1"/>
      <c r="C56" s="1"/>
      <c r="D56" s="13"/>
      <c r="E56" s="22" t="s">
        <v>260</v>
      </c>
      <c r="F56" s="22" t="s">
        <v>260</v>
      </c>
      <c r="G56" s="22" t="s">
        <v>260</v>
      </c>
      <c r="H56" s="22" t="s">
        <v>373</v>
      </c>
      <c r="I56" s="22" t="s">
        <v>601</v>
      </c>
      <c r="J56" s="22">
        <v>75</v>
      </c>
      <c r="K56" s="23" t="s">
        <v>255</v>
      </c>
      <c r="L56" s="1" t="s">
        <v>220</v>
      </c>
      <c r="M56" s="1" t="s">
        <v>285</v>
      </c>
      <c r="N56" s="23">
        <v>75</v>
      </c>
      <c r="O56" s="1" t="s">
        <v>601</v>
      </c>
      <c r="P56" s="1" t="s">
        <v>285</v>
      </c>
      <c r="Q56" s="69">
        <v>22</v>
      </c>
      <c r="R56" s="22" t="s">
        <v>352</v>
      </c>
    </row>
    <row r="57" spans="1:18" x14ac:dyDescent="0.15">
      <c r="A57" s="1" t="s">
        <v>532</v>
      </c>
      <c r="B57" s="1"/>
      <c r="C57" s="1"/>
      <c r="D57" s="13"/>
      <c r="E57" s="21" t="s">
        <v>349</v>
      </c>
      <c r="F57" s="20" t="s">
        <v>318</v>
      </c>
      <c r="G57" s="20" t="s">
        <v>320</v>
      </c>
      <c r="H57" s="20" t="s">
        <v>372</v>
      </c>
      <c r="I57" s="20" t="s">
        <v>322</v>
      </c>
      <c r="J57" s="20" t="s">
        <v>380</v>
      </c>
      <c r="K57" s="21" t="s">
        <v>256</v>
      </c>
      <c r="L57" s="1" t="s">
        <v>383</v>
      </c>
      <c r="M57" s="1" t="s">
        <v>286</v>
      </c>
      <c r="N57" s="1" t="s">
        <v>601</v>
      </c>
      <c r="O57" s="1" t="s">
        <v>601</v>
      </c>
      <c r="P57" s="1" t="s">
        <v>286</v>
      </c>
      <c r="Q57" t="s">
        <v>328</v>
      </c>
      <c r="R57" s="20" t="s">
        <v>285</v>
      </c>
    </row>
    <row r="58" spans="1:18" x14ac:dyDescent="0.15">
      <c r="A58" s="1" t="s">
        <v>156</v>
      </c>
      <c r="B58" s="1"/>
      <c r="C58" s="1"/>
      <c r="D58" s="13"/>
      <c r="E58" s="64">
        <v>12.73</v>
      </c>
      <c r="F58" s="64">
        <v>12</v>
      </c>
      <c r="G58" s="64">
        <v>12</v>
      </c>
      <c r="H58" s="64" t="s">
        <v>292</v>
      </c>
      <c r="I58" s="65" t="s">
        <v>292</v>
      </c>
      <c r="J58" s="65" t="s">
        <v>107</v>
      </c>
      <c r="K58" s="64">
        <v>12.75</v>
      </c>
      <c r="L58" s="65" t="s">
        <v>107</v>
      </c>
      <c r="M58" s="65" t="s">
        <v>285</v>
      </c>
      <c r="N58" s="65" t="s">
        <v>107</v>
      </c>
      <c r="O58" s="65" t="s">
        <v>284</v>
      </c>
      <c r="P58" s="65" t="s">
        <v>285</v>
      </c>
      <c r="Q58" s="70">
        <v>15</v>
      </c>
      <c r="R58" s="64">
        <v>14.85</v>
      </c>
    </row>
    <row r="59" spans="1:18" x14ac:dyDescent="0.15">
      <c r="A59" s="1" t="s">
        <v>553</v>
      </c>
      <c r="B59" s="1"/>
      <c r="C59" s="1"/>
      <c r="D59" s="13"/>
      <c r="E59" s="21" t="s">
        <v>262</v>
      </c>
      <c r="F59" s="21" t="s">
        <v>319</v>
      </c>
      <c r="G59" s="21" t="s">
        <v>497</v>
      </c>
      <c r="H59" s="21" t="s">
        <v>497</v>
      </c>
      <c r="I59" s="21" t="s">
        <v>601</v>
      </c>
      <c r="J59" s="21" t="s">
        <v>497</v>
      </c>
      <c r="K59" s="21" t="s">
        <v>257</v>
      </c>
      <c r="L59" s="1" t="s">
        <v>601</v>
      </c>
      <c r="M59" s="1" t="s">
        <v>285</v>
      </c>
      <c r="N59" s="1" t="s">
        <v>601</v>
      </c>
      <c r="O59" s="1" t="s">
        <v>601</v>
      </c>
      <c r="P59" s="1" t="s">
        <v>285</v>
      </c>
      <c r="Q59" t="s">
        <v>329</v>
      </c>
      <c r="R59" s="21" t="s">
        <v>285</v>
      </c>
    </row>
    <row r="60" spans="1:18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</row>
  </sheetData>
  <sheetProtection algorithmName="SHA-512" hashValue="Fk5Nr2VQ/88YOzclKjrushMVjrfmXqKqE/2F7cDquuS7volyE/qMNRGvzsQzd83wn+1evxQSG8kPkzsYWClW9Q==" saltValue="kJJAwFADRcIDnsqJmYB7O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R60"/>
  <sheetViews>
    <sheetView workbookViewId="0">
      <selection sqref="A1:P60"/>
    </sheetView>
  </sheetViews>
  <sheetFormatPr baseColWidth="10" defaultRowHeight="13" x14ac:dyDescent="0.15"/>
  <cols>
    <col min="1" max="1" width="11.5" customWidth="1"/>
    <col min="2" max="2" width="15.5" customWidth="1"/>
    <col min="3" max="3" width="7.5" customWidth="1"/>
    <col min="4" max="4" width="1.6640625" customWidth="1"/>
    <col min="5" max="17" width="10" customWidth="1"/>
  </cols>
  <sheetData>
    <row r="1" spans="1:16" x14ac:dyDescent="0.15">
      <c r="A1" s="1" t="s">
        <v>489</v>
      </c>
    </row>
    <row r="2" spans="1:16" x14ac:dyDescent="0.1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</row>
    <row r="3" spans="1:16" x14ac:dyDescent="0.15">
      <c r="A3" s="2" t="s">
        <v>454</v>
      </c>
      <c r="B3" s="3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15">
      <c r="A4" s="1"/>
      <c r="B4" s="1"/>
      <c r="C4" s="1"/>
      <c r="D4" s="13"/>
      <c r="E4" s="5" t="s">
        <v>228</v>
      </c>
      <c r="F4" s="1"/>
      <c r="G4" s="1"/>
      <c r="H4" s="1"/>
      <c r="I4" s="1"/>
      <c r="J4" s="1"/>
      <c r="K4" s="1"/>
      <c r="L4" s="1"/>
      <c r="M4" s="1"/>
      <c r="N4" s="1"/>
      <c r="O4" s="1"/>
    </row>
    <row r="5" spans="1:16" x14ac:dyDescent="0.15">
      <c r="A5" s="1"/>
      <c r="B5" s="1"/>
      <c r="C5" s="1"/>
      <c r="D5" s="13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6" x14ac:dyDescent="0.15">
      <c r="A6" s="6" t="s">
        <v>418</v>
      </c>
      <c r="B6" s="1"/>
      <c r="C6" s="1" t="s">
        <v>314</v>
      </c>
      <c r="D6" s="13"/>
      <c r="E6" s="7" t="s">
        <v>492</v>
      </c>
      <c r="F6" s="9" t="s">
        <v>491</v>
      </c>
      <c r="G6" s="9" t="s">
        <v>385</v>
      </c>
      <c r="H6" s="9" t="s">
        <v>494</v>
      </c>
      <c r="I6" s="7" t="s">
        <v>470</v>
      </c>
      <c r="J6" s="7" t="s">
        <v>248</v>
      </c>
      <c r="K6" s="7" t="s">
        <v>467</v>
      </c>
      <c r="L6" s="7" t="s">
        <v>263</v>
      </c>
      <c r="M6" s="7" t="s">
        <v>203</v>
      </c>
      <c r="N6" s="7" t="s">
        <v>247</v>
      </c>
      <c r="O6" s="7" t="s">
        <v>204</v>
      </c>
      <c r="P6" s="7" t="s">
        <v>246</v>
      </c>
    </row>
    <row r="7" spans="1:16" x14ac:dyDescent="0.15">
      <c r="A7" s="1" t="s">
        <v>315</v>
      </c>
      <c r="B7" s="1"/>
      <c r="C7" s="1"/>
      <c r="D7" s="13"/>
      <c r="E7" s="8">
        <v>0.25</v>
      </c>
      <c r="F7" s="8">
        <v>0.25</v>
      </c>
      <c r="G7" s="8">
        <v>0.25</v>
      </c>
      <c r="H7" s="8">
        <v>0.25</v>
      </c>
      <c r="I7" s="8">
        <v>0.25</v>
      </c>
      <c r="J7" s="8">
        <v>0.25</v>
      </c>
      <c r="K7" s="8">
        <v>0.25</v>
      </c>
      <c r="L7" s="8">
        <v>0.25</v>
      </c>
      <c r="M7" s="8">
        <v>0.25</v>
      </c>
      <c r="N7" s="8">
        <v>0.25</v>
      </c>
      <c r="O7" s="8">
        <v>0.25</v>
      </c>
      <c r="P7" s="8">
        <v>0.25</v>
      </c>
    </row>
    <row r="8" spans="1:16" x14ac:dyDescent="0.15">
      <c r="A8" s="1" t="s">
        <v>468</v>
      </c>
      <c r="B8" s="1"/>
      <c r="C8" s="1"/>
      <c r="D8" s="13"/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1</v>
      </c>
    </row>
    <row r="9" spans="1:16" x14ac:dyDescent="0.15">
      <c r="A9" s="1" t="s">
        <v>469</v>
      </c>
      <c r="B9" s="1"/>
      <c r="C9" s="1"/>
      <c r="D9" s="13"/>
      <c r="E9" s="8">
        <v>0.75</v>
      </c>
      <c r="F9" s="8">
        <v>0.75</v>
      </c>
      <c r="G9" s="8">
        <v>0.75</v>
      </c>
      <c r="H9" s="8">
        <v>0.75</v>
      </c>
      <c r="I9" s="8">
        <v>0.75</v>
      </c>
      <c r="J9" s="8">
        <v>0.75</v>
      </c>
      <c r="K9" s="8">
        <v>0.75</v>
      </c>
      <c r="L9" s="8">
        <v>0.75</v>
      </c>
      <c r="M9" s="8">
        <v>0.75</v>
      </c>
      <c r="N9" s="8">
        <v>0.75</v>
      </c>
      <c r="O9" s="8">
        <v>0.75</v>
      </c>
      <c r="P9" s="8">
        <v>0.75</v>
      </c>
    </row>
    <row r="10" spans="1:16" x14ac:dyDescent="0.15">
      <c r="A10" s="1" t="s">
        <v>510</v>
      </c>
      <c r="B10" s="1"/>
      <c r="C10" s="1"/>
      <c r="D10" s="13"/>
      <c r="E10" s="1">
        <v>3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  <c r="N10" s="1">
        <v>3</v>
      </c>
      <c r="O10" s="1">
        <v>3</v>
      </c>
      <c r="P10" s="1">
        <v>3</v>
      </c>
    </row>
    <row r="11" spans="1:16" x14ac:dyDescent="0.15">
      <c r="A11" s="1" t="s">
        <v>264</v>
      </c>
      <c r="B11" s="1"/>
      <c r="C11" s="1"/>
      <c r="D11" s="13"/>
      <c r="E11" s="1">
        <v>300</v>
      </c>
      <c r="F11" s="1">
        <v>1000</v>
      </c>
      <c r="G11" s="1">
        <v>1000</v>
      </c>
      <c r="H11" s="1">
        <v>300</v>
      </c>
      <c r="I11" s="1">
        <v>300</v>
      </c>
      <c r="J11" s="1">
        <v>300</v>
      </c>
      <c r="K11" s="1">
        <v>300</v>
      </c>
      <c r="L11" s="1">
        <v>300</v>
      </c>
      <c r="M11" s="1">
        <v>300</v>
      </c>
      <c r="N11" s="1">
        <v>300</v>
      </c>
      <c r="O11" s="1">
        <v>1000</v>
      </c>
      <c r="P11" s="1">
        <v>1000</v>
      </c>
    </row>
    <row r="12" spans="1:16" x14ac:dyDescent="0.15">
      <c r="A12" s="1" t="s">
        <v>434</v>
      </c>
      <c r="B12" s="1"/>
      <c r="C12" s="1"/>
      <c r="D12" s="13"/>
      <c r="E12" s="1">
        <v>1000</v>
      </c>
      <c r="F12" s="1">
        <v>1000</v>
      </c>
      <c r="G12" s="1">
        <v>2500</v>
      </c>
      <c r="H12" s="1">
        <v>1000</v>
      </c>
      <c r="I12" s="1">
        <v>1000</v>
      </c>
      <c r="J12" s="1">
        <v>1000</v>
      </c>
      <c r="K12" s="1">
        <v>1000</v>
      </c>
      <c r="L12" s="14">
        <v>300</v>
      </c>
      <c r="M12" s="1">
        <v>1000</v>
      </c>
      <c r="N12">
        <v>1000</v>
      </c>
      <c r="O12" s="1">
        <v>1000</v>
      </c>
      <c r="P12" s="1">
        <v>1000</v>
      </c>
    </row>
    <row r="13" spans="1:16" x14ac:dyDescent="0.15">
      <c r="A13" s="1" t="s">
        <v>307</v>
      </c>
      <c r="B13" s="1"/>
      <c r="C13" s="1"/>
      <c r="D13" s="13"/>
      <c r="E13" s="1">
        <v>2500</v>
      </c>
      <c r="F13" s="1">
        <v>1000</v>
      </c>
      <c r="G13" s="1">
        <v>2500</v>
      </c>
      <c r="H13" s="1">
        <v>2500</v>
      </c>
      <c r="I13" s="1">
        <v>2500</v>
      </c>
      <c r="J13" s="1">
        <v>2500</v>
      </c>
      <c r="K13" s="1">
        <v>2500</v>
      </c>
      <c r="L13" s="14">
        <v>300</v>
      </c>
      <c r="M13" s="1">
        <v>1000</v>
      </c>
      <c r="N13" s="1">
        <v>1000</v>
      </c>
      <c r="O13" s="1">
        <v>1000</v>
      </c>
      <c r="P13" s="1">
        <v>1000</v>
      </c>
    </row>
    <row r="14" spans="1:16" x14ac:dyDescent="0.15">
      <c r="A14" s="15" t="s">
        <v>221</v>
      </c>
      <c r="B14" s="15"/>
      <c r="C14" s="15"/>
      <c r="D14" s="13"/>
      <c r="E14" s="15">
        <v>5000</v>
      </c>
      <c r="F14" s="15">
        <v>1000</v>
      </c>
      <c r="G14" s="15">
        <v>2500</v>
      </c>
      <c r="H14" s="15">
        <v>2500</v>
      </c>
      <c r="I14" s="15">
        <v>5000</v>
      </c>
      <c r="J14" s="15">
        <v>5000</v>
      </c>
      <c r="K14" s="15">
        <v>2500</v>
      </c>
      <c r="L14" s="16">
        <v>300</v>
      </c>
      <c r="M14" s="15">
        <v>1000</v>
      </c>
      <c r="N14" s="15">
        <v>1000</v>
      </c>
      <c r="O14" s="15">
        <v>1000</v>
      </c>
      <c r="P14" s="15">
        <v>1000</v>
      </c>
    </row>
    <row r="15" spans="1:16" x14ac:dyDescent="0.15">
      <c r="A15" s="1" t="s">
        <v>519</v>
      </c>
      <c r="B15" s="1"/>
      <c r="C15" s="1"/>
      <c r="D15" s="13"/>
      <c r="E15" s="26">
        <v>35.573999999999998</v>
      </c>
      <c r="F15" s="1">
        <v>37.18</v>
      </c>
      <c r="G15" s="1">
        <v>39.380000000000003</v>
      </c>
      <c r="H15" s="26">
        <v>33.802999999999997</v>
      </c>
      <c r="I15" s="1">
        <v>34.947000000000003</v>
      </c>
      <c r="J15" s="1">
        <v>31.593209999999999</v>
      </c>
      <c r="K15" s="1">
        <v>35.045999999999999</v>
      </c>
      <c r="L15" s="1">
        <v>36.685000000000002</v>
      </c>
      <c r="M15" s="1">
        <v>33.880000000000003</v>
      </c>
      <c r="N15" s="1">
        <v>32.67</v>
      </c>
      <c r="O15" s="1">
        <v>33.792000000000002</v>
      </c>
      <c r="P15" s="1">
        <v>31.437999999999999</v>
      </c>
    </row>
    <row r="16" spans="1:16" x14ac:dyDescent="0.15">
      <c r="A16" s="1" t="s">
        <v>192</v>
      </c>
      <c r="B16" s="1"/>
      <c r="C16" s="1"/>
      <c r="D16" s="13"/>
      <c r="E16" s="26">
        <v>38.621000000000002</v>
      </c>
      <c r="F16" s="1">
        <v>0</v>
      </c>
      <c r="G16" s="1">
        <v>43.78</v>
      </c>
      <c r="H16" s="26">
        <v>34.408000000000001</v>
      </c>
      <c r="I16" s="1">
        <v>38.093000000000004</v>
      </c>
      <c r="J16" s="1">
        <v>32.746450000000003</v>
      </c>
      <c r="K16" s="1">
        <v>35.673000000000002</v>
      </c>
      <c r="L16" s="1">
        <v>0</v>
      </c>
      <c r="M16" s="1">
        <v>35.53</v>
      </c>
      <c r="N16" s="1">
        <v>32.67</v>
      </c>
      <c r="O16" s="1">
        <v>0</v>
      </c>
      <c r="P16" s="1">
        <v>0</v>
      </c>
    </row>
    <row r="17" spans="1:18" x14ac:dyDescent="0.15">
      <c r="A17" s="1" t="s">
        <v>533</v>
      </c>
      <c r="B17" s="1"/>
      <c r="C17" s="1"/>
      <c r="D17" s="13"/>
      <c r="E17" s="26">
        <v>44.604999999999997</v>
      </c>
      <c r="F17" s="1">
        <v>0</v>
      </c>
      <c r="G17" s="1">
        <v>0</v>
      </c>
      <c r="H17" s="26">
        <v>39.886000000000003</v>
      </c>
      <c r="I17" s="1">
        <v>42.999000000000002</v>
      </c>
      <c r="J17" s="1">
        <v>38.571939999999998</v>
      </c>
      <c r="K17" s="1">
        <v>40.832000000000001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</row>
    <row r="18" spans="1:18" x14ac:dyDescent="0.15">
      <c r="A18" s="1" t="s">
        <v>368</v>
      </c>
      <c r="B18" s="1"/>
      <c r="C18" s="1"/>
      <c r="D18" s="13"/>
      <c r="E18" s="26">
        <v>44.604999999999997</v>
      </c>
      <c r="F18" s="1">
        <v>0</v>
      </c>
      <c r="G18" s="1">
        <v>0</v>
      </c>
      <c r="H18" s="26">
        <v>0</v>
      </c>
      <c r="I18" s="1">
        <v>46.277000000000001</v>
      </c>
      <c r="J18" s="1">
        <v>37.812170000000002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</row>
    <row r="19" spans="1:18" x14ac:dyDescent="0.15">
      <c r="A19" s="1" t="s">
        <v>369</v>
      </c>
      <c r="B19" s="1"/>
      <c r="C19" s="1"/>
      <c r="D19" s="13"/>
      <c r="E19" s="26">
        <v>44.604999999999997</v>
      </c>
      <c r="F19" s="1">
        <v>44.186999999999998</v>
      </c>
      <c r="G19" s="1">
        <v>47.19</v>
      </c>
      <c r="H19" s="26">
        <v>43.593000000000004</v>
      </c>
      <c r="I19" s="1">
        <v>46.277000000000001</v>
      </c>
      <c r="J19" s="1">
        <v>37.812170000000002</v>
      </c>
      <c r="K19" s="1">
        <v>41.475000000000001</v>
      </c>
      <c r="L19" s="1">
        <v>36.662999999999997</v>
      </c>
      <c r="M19" s="1">
        <v>40.81</v>
      </c>
      <c r="N19" s="1">
        <v>41.8</v>
      </c>
      <c r="O19" s="1">
        <v>38.037999999999997</v>
      </c>
      <c r="P19" s="1">
        <v>36.322000000000003</v>
      </c>
    </row>
    <row r="20" spans="1:18" x14ac:dyDescent="0.15">
      <c r="A20" s="1" t="s">
        <v>509</v>
      </c>
      <c r="B20" s="1"/>
      <c r="C20" s="1"/>
      <c r="D20" s="13"/>
      <c r="E20" s="26">
        <v>33.835999999999999</v>
      </c>
      <c r="F20" s="1">
        <v>37.18</v>
      </c>
      <c r="G20" s="1">
        <v>36.85</v>
      </c>
      <c r="H20" s="26">
        <v>33.802999999999997</v>
      </c>
      <c r="I20" s="1">
        <v>33.164999999999999</v>
      </c>
      <c r="J20" s="1">
        <v>31.593209999999999</v>
      </c>
      <c r="K20" s="1">
        <v>35.045999999999999</v>
      </c>
      <c r="L20" s="1">
        <v>36.685000000000002</v>
      </c>
      <c r="M20" s="1">
        <v>30.58</v>
      </c>
      <c r="N20" s="1">
        <v>32.67</v>
      </c>
      <c r="O20" s="1">
        <v>33.792000000000002</v>
      </c>
      <c r="P20" s="1">
        <v>31.437999999999999</v>
      </c>
    </row>
    <row r="21" spans="1:18" x14ac:dyDescent="0.15">
      <c r="A21" s="1" t="s">
        <v>343</v>
      </c>
      <c r="B21" s="1"/>
      <c r="C21" s="1"/>
      <c r="D21" s="13"/>
      <c r="E21" s="26">
        <v>34.451999999999998</v>
      </c>
      <c r="F21" s="1">
        <v>0</v>
      </c>
      <c r="G21" s="1">
        <v>40.92</v>
      </c>
      <c r="H21" s="26">
        <v>34.408000000000001</v>
      </c>
      <c r="I21" s="1">
        <v>33.792000000000002</v>
      </c>
      <c r="J21" s="1">
        <v>32.746450000000003</v>
      </c>
      <c r="K21" s="1">
        <v>35.673000000000002</v>
      </c>
      <c r="L21" s="1">
        <v>0</v>
      </c>
      <c r="M21" s="1">
        <v>31.68</v>
      </c>
      <c r="N21" s="1">
        <v>32.67</v>
      </c>
      <c r="O21" s="1">
        <v>0</v>
      </c>
      <c r="P21" s="1">
        <v>0</v>
      </c>
    </row>
    <row r="22" spans="1:18" x14ac:dyDescent="0.15">
      <c r="A22" s="1" t="s">
        <v>370</v>
      </c>
      <c r="B22" s="1"/>
      <c r="C22" s="1"/>
      <c r="D22" s="13"/>
      <c r="E22" s="26">
        <v>40.381</v>
      </c>
      <c r="F22" s="1">
        <v>0</v>
      </c>
      <c r="G22" s="1">
        <v>0</v>
      </c>
      <c r="H22" s="26">
        <v>39.886000000000003</v>
      </c>
      <c r="I22" s="1">
        <v>38.676000000000002</v>
      </c>
      <c r="J22" s="1">
        <v>38.571939999999998</v>
      </c>
      <c r="K22" s="1">
        <v>40.832000000000001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</row>
    <row r="23" spans="1:18" x14ac:dyDescent="0.15">
      <c r="A23" s="1" t="s">
        <v>178</v>
      </c>
      <c r="B23" s="1"/>
      <c r="C23" s="1"/>
      <c r="D23" s="13"/>
      <c r="E23" s="26">
        <v>40.381</v>
      </c>
      <c r="F23" s="1">
        <v>0</v>
      </c>
      <c r="G23" s="1">
        <v>0</v>
      </c>
      <c r="H23" s="26">
        <v>0</v>
      </c>
      <c r="I23" s="1">
        <v>41.954000000000001</v>
      </c>
      <c r="J23" s="1">
        <v>37.812170000000002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</row>
    <row r="24" spans="1:18" x14ac:dyDescent="0.15">
      <c r="A24" s="1" t="s">
        <v>293</v>
      </c>
      <c r="B24" s="1"/>
      <c r="C24" s="1"/>
      <c r="D24" s="13"/>
      <c r="E24" s="26">
        <v>40.381</v>
      </c>
      <c r="F24" s="1">
        <v>44.186999999999998</v>
      </c>
      <c r="G24" s="1">
        <v>42.13</v>
      </c>
      <c r="H24" s="26">
        <v>43.593000000000004</v>
      </c>
      <c r="I24" s="1">
        <v>41.954000000000001</v>
      </c>
      <c r="J24" s="1">
        <v>37.812170000000002</v>
      </c>
      <c r="K24" s="1">
        <v>41.475000000000001</v>
      </c>
      <c r="L24" s="1">
        <v>36.630000000000003</v>
      </c>
      <c r="M24" s="1">
        <v>34.76</v>
      </c>
      <c r="N24" s="1">
        <v>41.8</v>
      </c>
      <c r="O24" s="1">
        <v>38.037999999999997</v>
      </c>
      <c r="P24" s="1">
        <v>36.322000000000003</v>
      </c>
    </row>
    <row r="25" spans="1:18" x14ac:dyDescent="0.15">
      <c r="A25" s="1" t="s">
        <v>294</v>
      </c>
      <c r="B25" s="1"/>
      <c r="C25" s="1"/>
      <c r="D25" s="13"/>
      <c r="E25" s="26">
        <v>70.168999999999997</v>
      </c>
      <c r="F25" s="1">
        <v>81.168999999999997</v>
      </c>
      <c r="G25" s="1">
        <v>81.400000000000006</v>
      </c>
      <c r="H25" s="26">
        <v>80.011799999999994</v>
      </c>
      <c r="I25" s="1">
        <v>74.733999999999995</v>
      </c>
      <c r="J25" s="1">
        <v>75.7166</v>
      </c>
      <c r="K25" s="1">
        <v>89.814999999999998</v>
      </c>
      <c r="L25" s="1">
        <v>75.548000000000002</v>
      </c>
      <c r="M25" s="1">
        <v>78.87</v>
      </c>
      <c r="N25" s="1">
        <v>71.5</v>
      </c>
      <c r="O25" s="1">
        <v>75.342519999999993</v>
      </c>
      <c r="P25" s="1">
        <v>72.599999999999994</v>
      </c>
      <c r="Q25" s="1"/>
      <c r="R25" s="1"/>
    </row>
    <row r="26" spans="1:18" x14ac:dyDescent="0.15">
      <c r="A26" s="1"/>
      <c r="B26" s="1"/>
      <c r="C26" s="1"/>
      <c r="D26" s="13"/>
      <c r="E26" s="1"/>
      <c r="F26" s="1"/>
      <c r="G26" s="1"/>
      <c r="H26" s="1"/>
      <c r="I26" s="1"/>
      <c r="K26" s="1"/>
      <c r="L26" s="1"/>
      <c r="M26" s="1"/>
      <c r="N26" s="1"/>
      <c r="O26" s="1"/>
    </row>
    <row r="27" spans="1:18" x14ac:dyDescent="0.15">
      <c r="A27" s="1"/>
      <c r="B27" s="1"/>
      <c r="C27" s="1"/>
      <c r="D27" s="13"/>
      <c r="E27" s="1"/>
      <c r="F27" s="1"/>
      <c r="G27" s="1"/>
      <c r="H27" s="1"/>
      <c r="I27" s="1"/>
      <c r="K27" s="1"/>
      <c r="L27" s="1"/>
      <c r="M27" s="1"/>
      <c r="N27" s="1"/>
      <c r="O27" s="1"/>
    </row>
    <row r="28" spans="1:18" x14ac:dyDescent="0.15">
      <c r="A28" s="6" t="s">
        <v>179</v>
      </c>
      <c r="B28" s="1"/>
      <c r="C28" s="1" t="s">
        <v>314</v>
      </c>
      <c r="D28" s="13"/>
      <c r="E28" s="7" t="s">
        <v>492</v>
      </c>
      <c r="F28" s="9" t="s">
        <v>491</v>
      </c>
      <c r="G28" s="9" t="s">
        <v>385</v>
      </c>
      <c r="H28" s="9" t="s">
        <v>494</v>
      </c>
      <c r="I28" s="7" t="s">
        <v>470</v>
      </c>
      <c r="J28" s="7" t="s">
        <v>248</v>
      </c>
      <c r="K28" s="7" t="s">
        <v>467</v>
      </c>
      <c r="L28" s="7" t="s">
        <v>263</v>
      </c>
      <c r="M28" s="7" t="s">
        <v>203</v>
      </c>
      <c r="N28" s="7" t="s">
        <v>247</v>
      </c>
      <c r="O28" s="7" t="s">
        <v>204</v>
      </c>
      <c r="P28" s="7" t="s">
        <v>246</v>
      </c>
    </row>
    <row r="29" spans="1:18" x14ac:dyDescent="0.15">
      <c r="A29" s="1" t="s">
        <v>315</v>
      </c>
      <c r="B29" s="1"/>
      <c r="C29" s="1"/>
      <c r="D29" s="13"/>
      <c r="E29" s="8">
        <v>0.25</v>
      </c>
      <c r="F29" s="8">
        <v>0.25</v>
      </c>
      <c r="G29" s="8">
        <v>0.25</v>
      </c>
      <c r="H29" s="8">
        <v>0.25</v>
      </c>
      <c r="I29" s="8">
        <v>0.25</v>
      </c>
      <c r="J29" s="8">
        <v>0.25</v>
      </c>
      <c r="K29" s="8">
        <v>0.25</v>
      </c>
      <c r="L29" s="8">
        <v>0.25</v>
      </c>
      <c r="M29" s="8">
        <v>0.25</v>
      </c>
      <c r="N29" s="8">
        <v>0.25</v>
      </c>
      <c r="O29" s="8">
        <v>0.25</v>
      </c>
      <c r="P29" s="8">
        <v>0.25</v>
      </c>
    </row>
    <row r="30" spans="1:18" x14ac:dyDescent="0.15">
      <c r="A30" s="1" t="s">
        <v>468</v>
      </c>
      <c r="B30" s="1"/>
      <c r="C30" s="1"/>
      <c r="D30" s="13"/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</row>
    <row r="31" spans="1:18" x14ac:dyDescent="0.15">
      <c r="A31" s="1" t="s">
        <v>469</v>
      </c>
      <c r="B31" s="1"/>
      <c r="C31" s="1"/>
      <c r="D31" s="13"/>
      <c r="E31" s="8">
        <v>0.75</v>
      </c>
      <c r="F31" s="8">
        <v>0.75</v>
      </c>
      <c r="G31" s="8">
        <v>0.75</v>
      </c>
      <c r="H31" s="8">
        <v>0.75</v>
      </c>
      <c r="I31" s="8">
        <v>0.75</v>
      </c>
      <c r="J31" s="8">
        <v>0.75</v>
      </c>
      <c r="K31" s="8">
        <v>0.75</v>
      </c>
      <c r="L31" s="8">
        <v>0.75</v>
      </c>
      <c r="M31" s="8">
        <v>0.75</v>
      </c>
      <c r="N31" s="8">
        <v>0.75</v>
      </c>
      <c r="O31" s="8">
        <v>0.75</v>
      </c>
      <c r="P31" s="8">
        <v>0.75</v>
      </c>
    </row>
    <row r="32" spans="1:18" x14ac:dyDescent="0.15">
      <c r="A32" s="1" t="s">
        <v>510</v>
      </c>
      <c r="B32" s="1"/>
      <c r="C32" s="1"/>
      <c r="D32" s="13"/>
      <c r="E32" s="1">
        <v>3</v>
      </c>
      <c r="F32" s="1">
        <v>3</v>
      </c>
      <c r="G32" s="1">
        <v>3</v>
      </c>
      <c r="H32" s="1">
        <v>3</v>
      </c>
      <c r="I32" s="1">
        <v>3</v>
      </c>
      <c r="J32" s="1">
        <v>3</v>
      </c>
      <c r="K32" s="1">
        <v>3</v>
      </c>
      <c r="L32" s="1">
        <v>3</v>
      </c>
      <c r="M32" s="1">
        <v>3</v>
      </c>
      <c r="N32" s="1">
        <v>3</v>
      </c>
      <c r="O32" s="1">
        <v>3</v>
      </c>
      <c r="P32" s="1">
        <v>3</v>
      </c>
    </row>
    <row r="33" spans="1:16" x14ac:dyDescent="0.15">
      <c r="A33" s="1" t="s">
        <v>264</v>
      </c>
      <c r="B33" s="1"/>
      <c r="C33" s="1"/>
      <c r="D33" s="13"/>
      <c r="E33" s="1">
        <v>300</v>
      </c>
      <c r="F33" s="1">
        <v>1000</v>
      </c>
      <c r="G33" s="1">
        <v>1000</v>
      </c>
      <c r="H33" s="1">
        <v>300</v>
      </c>
      <c r="I33" s="1">
        <v>300</v>
      </c>
      <c r="J33" s="1">
        <v>300</v>
      </c>
      <c r="K33" s="1">
        <v>300</v>
      </c>
      <c r="L33" s="1">
        <v>300</v>
      </c>
      <c r="M33" s="1">
        <v>300</v>
      </c>
      <c r="N33" s="1">
        <v>300</v>
      </c>
      <c r="O33" s="1">
        <v>1000</v>
      </c>
      <c r="P33" s="1">
        <v>1000</v>
      </c>
    </row>
    <row r="34" spans="1:16" x14ac:dyDescent="0.15">
      <c r="A34" s="1" t="s">
        <v>434</v>
      </c>
      <c r="B34" s="1"/>
      <c r="C34" s="1"/>
      <c r="D34" s="13"/>
      <c r="E34" s="1">
        <v>1000</v>
      </c>
      <c r="F34" s="1">
        <v>1000</v>
      </c>
      <c r="G34" s="1">
        <v>2500</v>
      </c>
      <c r="H34" s="1">
        <v>1000</v>
      </c>
      <c r="I34" s="1">
        <v>1000</v>
      </c>
      <c r="J34" s="1">
        <v>1000</v>
      </c>
      <c r="K34" s="1">
        <v>1000</v>
      </c>
      <c r="L34" s="14">
        <v>300</v>
      </c>
      <c r="M34" s="1">
        <v>1000</v>
      </c>
      <c r="N34">
        <v>1000</v>
      </c>
      <c r="O34" s="1">
        <v>1000</v>
      </c>
      <c r="P34" s="1">
        <v>1000</v>
      </c>
    </row>
    <row r="35" spans="1:16" x14ac:dyDescent="0.15">
      <c r="A35" s="1" t="s">
        <v>307</v>
      </c>
      <c r="B35" s="1"/>
      <c r="C35" s="1"/>
      <c r="D35" s="13"/>
      <c r="E35" s="1">
        <v>2500</v>
      </c>
      <c r="F35" s="1">
        <v>1000</v>
      </c>
      <c r="G35" s="1">
        <v>2500</v>
      </c>
      <c r="H35" s="1">
        <v>2500</v>
      </c>
      <c r="I35" s="1">
        <v>2500</v>
      </c>
      <c r="J35" s="1">
        <v>2500</v>
      </c>
      <c r="K35" s="1">
        <v>2500</v>
      </c>
      <c r="L35" s="14">
        <v>300</v>
      </c>
      <c r="M35" s="1">
        <v>1000</v>
      </c>
      <c r="N35" s="1">
        <v>1000</v>
      </c>
      <c r="O35" s="1">
        <v>1000</v>
      </c>
      <c r="P35" s="1">
        <v>1000</v>
      </c>
    </row>
    <row r="36" spans="1:16" x14ac:dyDescent="0.15">
      <c r="A36" s="1" t="s">
        <v>221</v>
      </c>
      <c r="B36" s="1"/>
      <c r="C36" s="1"/>
      <c r="D36" s="13"/>
      <c r="E36" s="1">
        <v>5000</v>
      </c>
      <c r="F36" s="15">
        <v>1000</v>
      </c>
      <c r="G36" s="15">
        <v>2500</v>
      </c>
      <c r="H36" s="1">
        <v>2500</v>
      </c>
      <c r="I36" s="1">
        <v>5000</v>
      </c>
      <c r="J36" s="1">
        <v>5000</v>
      </c>
      <c r="K36" s="15">
        <v>2500</v>
      </c>
      <c r="L36" s="14">
        <v>300</v>
      </c>
      <c r="M36" s="1">
        <v>1000</v>
      </c>
      <c r="N36" s="15">
        <v>1000</v>
      </c>
      <c r="O36" s="15">
        <v>1000</v>
      </c>
      <c r="P36" s="15">
        <v>1000</v>
      </c>
    </row>
    <row r="37" spans="1:16" x14ac:dyDescent="0.15">
      <c r="A37" s="18" t="s">
        <v>396</v>
      </c>
      <c r="B37" s="18"/>
      <c r="C37" s="18"/>
      <c r="D37" s="13"/>
      <c r="E37" s="18">
        <v>2000</v>
      </c>
      <c r="F37" s="18">
        <v>2000</v>
      </c>
      <c r="G37" s="18">
        <v>2000</v>
      </c>
      <c r="H37" s="18">
        <v>2000</v>
      </c>
      <c r="I37" s="18">
        <v>2000</v>
      </c>
      <c r="J37" s="18">
        <v>2000</v>
      </c>
      <c r="K37" s="18">
        <v>2000</v>
      </c>
      <c r="L37" s="19">
        <v>2000</v>
      </c>
      <c r="M37" s="18">
        <v>2000</v>
      </c>
      <c r="N37" s="19">
        <v>2000</v>
      </c>
      <c r="O37" s="19">
        <v>2000</v>
      </c>
      <c r="P37" s="19">
        <v>2000</v>
      </c>
    </row>
    <row r="38" spans="1:16" x14ac:dyDescent="0.15">
      <c r="A38" s="1" t="s">
        <v>519</v>
      </c>
      <c r="B38" s="1"/>
      <c r="C38" s="1"/>
      <c r="D38" s="13"/>
      <c r="E38" s="26">
        <v>35.573999999999998</v>
      </c>
      <c r="F38" s="1">
        <v>37.18</v>
      </c>
      <c r="G38" s="1">
        <v>39.380000000000003</v>
      </c>
      <c r="H38" s="26">
        <v>33.802999999999997</v>
      </c>
      <c r="I38" s="1">
        <v>34.947000000000003</v>
      </c>
      <c r="J38" s="1">
        <v>31.593209999999999</v>
      </c>
      <c r="K38" s="1">
        <v>35.045999999999999</v>
      </c>
      <c r="L38" s="1">
        <v>36.685000000000002</v>
      </c>
      <c r="M38" s="1">
        <v>33.880000000000003</v>
      </c>
      <c r="N38" s="1">
        <v>32.67</v>
      </c>
      <c r="O38" s="1">
        <v>33.792000000000002</v>
      </c>
      <c r="P38" s="1">
        <v>31.437999999999999</v>
      </c>
    </row>
    <row r="39" spans="1:16" x14ac:dyDescent="0.15">
      <c r="A39" s="1" t="s">
        <v>192</v>
      </c>
      <c r="B39" s="1"/>
      <c r="C39" s="1"/>
      <c r="D39" s="13"/>
      <c r="E39" s="26">
        <v>38.621000000000002</v>
      </c>
      <c r="F39" s="1">
        <v>0</v>
      </c>
      <c r="G39" s="1">
        <v>43.78</v>
      </c>
      <c r="H39" s="26">
        <v>34.408000000000001</v>
      </c>
      <c r="I39" s="1">
        <v>38.093000000000004</v>
      </c>
      <c r="J39" s="1">
        <v>32.746450000000003</v>
      </c>
      <c r="K39" s="1">
        <v>35.673000000000002</v>
      </c>
      <c r="L39" s="1">
        <v>0</v>
      </c>
      <c r="M39" s="1">
        <v>35.53</v>
      </c>
      <c r="N39" s="1">
        <v>32.67</v>
      </c>
      <c r="O39" s="1">
        <v>0</v>
      </c>
      <c r="P39" s="1">
        <v>0</v>
      </c>
    </row>
    <row r="40" spans="1:16" x14ac:dyDescent="0.15">
      <c r="A40" s="1" t="s">
        <v>513</v>
      </c>
      <c r="B40" s="1"/>
      <c r="C40" s="1"/>
      <c r="D40" s="13"/>
      <c r="E40" s="26">
        <v>44.604999999999997</v>
      </c>
      <c r="F40" s="1">
        <v>0</v>
      </c>
      <c r="G40" s="1">
        <v>0</v>
      </c>
      <c r="H40" s="26">
        <v>39.886000000000003</v>
      </c>
      <c r="I40" s="1">
        <v>42.999000000000002</v>
      </c>
      <c r="J40" s="1">
        <v>38.571939999999998</v>
      </c>
      <c r="K40" s="1">
        <v>40.832000000000001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</row>
    <row r="41" spans="1:16" x14ac:dyDescent="0.15">
      <c r="A41" s="1" t="s">
        <v>596</v>
      </c>
      <c r="B41" s="1"/>
      <c r="C41" s="1"/>
      <c r="D41" s="13"/>
      <c r="E41" s="26">
        <v>44.604999999999997</v>
      </c>
      <c r="F41" s="1">
        <v>0</v>
      </c>
      <c r="G41" s="1">
        <v>0</v>
      </c>
      <c r="H41" s="26">
        <v>0</v>
      </c>
      <c r="I41" s="1">
        <v>46.277000000000001</v>
      </c>
      <c r="J41" s="1">
        <v>37.812170000000002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</row>
    <row r="42" spans="1:16" x14ac:dyDescent="0.15">
      <c r="A42" s="1" t="s">
        <v>597</v>
      </c>
      <c r="B42" s="1"/>
      <c r="C42" s="1"/>
      <c r="D42" s="13"/>
      <c r="E42" s="26">
        <v>44.604999999999997</v>
      </c>
      <c r="F42" s="1">
        <v>44.186999999999998</v>
      </c>
      <c r="G42" s="1">
        <v>47.19</v>
      </c>
      <c r="H42" s="26">
        <v>43.593000000000004</v>
      </c>
      <c r="I42" s="1">
        <v>46.277000000000001</v>
      </c>
      <c r="J42" s="1">
        <v>37.812170000000002</v>
      </c>
      <c r="K42" s="1">
        <v>41.475000000000001</v>
      </c>
      <c r="L42" s="1">
        <v>36.662999999999997</v>
      </c>
      <c r="M42" s="1">
        <v>40.81</v>
      </c>
      <c r="N42" s="1">
        <v>41.8</v>
      </c>
      <c r="O42" s="1">
        <v>38.037999999999997</v>
      </c>
      <c r="P42" s="1">
        <v>36.322000000000003</v>
      </c>
    </row>
    <row r="43" spans="1:16" x14ac:dyDescent="0.15">
      <c r="A43" s="1" t="s">
        <v>509</v>
      </c>
      <c r="B43" s="1"/>
      <c r="C43" s="1"/>
      <c r="D43" s="13"/>
      <c r="E43" s="26">
        <v>33.835999999999999</v>
      </c>
      <c r="F43" s="1">
        <v>37.18</v>
      </c>
      <c r="G43" s="1">
        <v>36.85</v>
      </c>
      <c r="H43" s="26">
        <v>33.802999999999997</v>
      </c>
      <c r="I43" s="1">
        <v>33.164999999999999</v>
      </c>
      <c r="J43" s="1">
        <v>31.593209999999999</v>
      </c>
      <c r="K43" s="1">
        <v>35.045999999999999</v>
      </c>
      <c r="L43" s="1">
        <v>36.685000000000002</v>
      </c>
      <c r="M43" s="1">
        <v>30.58</v>
      </c>
      <c r="N43" s="1">
        <v>32.67</v>
      </c>
      <c r="O43" s="1">
        <v>33.792000000000002</v>
      </c>
      <c r="P43" s="1">
        <v>31.437999999999999</v>
      </c>
    </row>
    <row r="44" spans="1:16" x14ac:dyDescent="0.15">
      <c r="A44" s="1" t="s">
        <v>343</v>
      </c>
      <c r="B44" s="1"/>
      <c r="C44" s="1"/>
      <c r="D44" s="13"/>
      <c r="E44" s="26">
        <v>34.451999999999998</v>
      </c>
      <c r="F44" s="1">
        <v>0</v>
      </c>
      <c r="G44" s="1">
        <v>40.92</v>
      </c>
      <c r="H44" s="26">
        <v>34.408000000000001</v>
      </c>
      <c r="I44" s="1">
        <v>33.792000000000002</v>
      </c>
      <c r="J44" s="1">
        <v>32.746450000000003</v>
      </c>
      <c r="K44" s="1">
        <v>35.673000000000002</v>
      </c>
      <c r="L44" s="1">
        <v>0</v>
      </c>
      <c r="M44" s="1">
        <v>31.68</v>
      </c>
      <c r="N44" s="1">
        <v>32.67</v>
      </c>
      <c r="O44" s="1">
        <v>0</v>
      </c>
      <c r="P44" s="1">
        <v>0</v>
      </c>
    </row>
    <row r="45" spans="1:16" x14ac:dyDescent="0.15">
      <c r="A45" s="1" t="s">
        <v>370</v>
      </c>
      <c r="B45" s="1"/>
      <c r="C45" s="1"/>
      <c r="D45" s="13"/>
      <c r="E45" s="26">
        <v>40.381</v>
      </c>
      <c r="F45" s="1">
        <v>0</v>
      </c>
      <c r="G45" s="1">
        <v>0</v>
      </c>
      <c r="H45" s="26">
        <v>39.886000000000003</v>
      </c>
      <c r="I45" s="1">
        <v>38.676000000000002</v>
      </c>
      <c r="J45" s="1">
        <v>38.571939999999998</v>
      </c>
      <c r="K45" s="1">
        <v>40.832000000000001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</row>
    <row r="46" spans="1:16" x14ac:dyDescent="0.15">
      <c r="A46" s="1" t="s">
        <v>178</v>
      </c>
      <c r="B46" s="1"/>
      <c r="C46" s="1"/>
      <c r="D46" s="13"/>
      <c r="E46" s="26">
        <v>40.381</v>
      </c>
      <c r="F46" s="1">
        <v>0</v>
      </c>
      <c r="G46" s="1">
        <v>0</v>
      </c>
      <c r="H46" s="26">
        <v>0</v>
      </c>
      <c r="I46" s="1">
        <v>41.954000000000001</v>
      </c>
      <c r="J46" s="1">
        <v>37.812170000000002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</row>
    <row r="47" spans="1:16" x14ac:dyDescent="0.15">
      <c r="A47" s="1" t="s">
        <v>293</v>
      </c>
      <c r="B47" s="1"/>
      <c r="C47" s="1"/>
      <c r="D47" s="13"/>
      <c r="E47" s="26">
        <v>40.381</v>
      </c>
      <c r="F47" s="1">
        <v>44.186999999999998</v>
      </c>
      <c r="G47" s="1">
        <v>42.13</v>
      </c>
      <c r="H47" s="26">
        <v>43.593000000000004</v>
      </c>
      <c r="I47" s="1">
        <v>41.954000000000001</v>
      </c>
      <c r="J47" s="1">
        <v>37.812170000000002</v>
      </c>
      <c r="K47" s="1">
        <v>41.475000000000001</v>
      </c>
      <c r="L47" s="1">
        <v>36.630000000000003</v>
      </c>
      <c r="M47" s="1">
        <v>34.76</v>
      </c>
      <c r="N47" s="1">
        <v>41.8</v>
      </c>
      <c r="O47" s="1">
        <v>38.037999999999997</v>
      </c>
      <c r="P47" s="1">
        <v>36.322000000000003</v>
      </c>
    </row>
    <row r="48" spans="1:16" x14ac:dyDescent="0.15">
      <c r="A48" s="1" t="s">
        <v>551</v>
      </c>
      <c r="B48" s="1"/>
      <c r="C48" s="1"/>
      <c r="D48" s="13"/>
      <c r="E48" s="26">
        <v>16.687000000000001</v>
      </c>
      <c r="F48" s="1">
        <v>17.864000000000001</v>
      </c>
      <c r="G48" s="1">
        <v>18.37</v>
      </c>
      <c r="H48" s="26">
        <v>16.445</v>
      </c>
      <c r="I48" s="1">
        <v>16.038</v>
      </c>
      <c r="J48" s="1">
        <v>15.040900000000001</v>
      </c>
      <c r="K48" s="1">
        <v>16.907</v>
      </c>
      <c r="L48" s="26">
        <v>17.742999999999999</v>
      </c>
      <c r="M48" s="1">
        <v>16.72</v>
      </c>
      <c r="N48" s="1">
        <v>16.5</v>
      </c>
      <c r="O48" s="26">
        <v>19.722999999999999</v>
      </c>
      <c r="P48">
        <v>16.753</v>
      </c>
    </row>
    <row r="49" spans="1:16" x14ac:dyDescent="0.15">
      <c r="A49" s="1" t="s">
        <v>457</v>
      </c>
      <c r="B49" s="1"/>
      <c r="C49" s="1"/>
      <c r="D49" s="13"/>
      <c r="E49" s="26">
        <v>16.687000000000001</v>
      </c>
      <c r="F49" s="1">
        <v>17.655000000000001</v>
      </c>
      <c r="G49" s="1">
        <v>18.37</v>
      </c>
      <c r="H49" s="26">
        <v>16.445</v>
      </c>
      <c r="I49" s="1">
        <v>17.314</v>
      </c>
      <c r="J49" s="1">
        <v>14.6593</v>
      </c>
      <c r="K49" s="1">
        <v>16.907</v>
      </c>
      <c r="L49" s="26">
        <v>17.742999999999999</v>
      </c>
      <c r="M49" s="1">
        <v>16.72</v>
      </c>
      <c r="N49" s="1">
        <v>18.149999999999999</v>
      </c>
      <c r="O49" s="26">
        <v>19.722999999999999</v>
      </c>
      <c r="P49">
        <v>16.753</v>
      </c>
    </row>
    <row r="50" spans="1:16" x14ac:dyDescent="0.15">
      <c r="A50" s="1" t="s">
        <v>294</v>
      </c>
      <c r="B50" s="1"/>
      <c r="C50" s="1"/>
      <c r="D50" s="13"/>
      <c r="E50" s="26">
        <v>70.168999999999997</v>
      </c>
      <c r="F50" s="1">
        <v>81.168999999999997</v>
      </c>
      <c r="G50" s="1">
        <v>81.400000000000006</v>
      </c>
      <c r="H50" s="26">
        <v>80.011799999999994</v>
      </c>
      <c r="I50" s="1">
        <v>74.733999999999995</v>
      </c>
      <c r="J50" s="1">
        <v>75.7166</v>
      </c>
      <c r="K50" s="1">
        <v>89.814999999999998</v>
      </c>
      <c r="L50" s="1">
        <v>75.548000000000002</v>
      </c>
      <c r="M50" s="1">
        <v>78.87</v>
      </c>
      <c r="N50" s="1">
        <v>71.5</v>
      </c>
      <c r="O50" s="1">
        <v>75.342519999999993</v>
      </c>
      <c r="P50" s="1">
        <v>72.599999999999994</v>
      </c>
    </row>
    <row r="51" spans="1:16" x14ac:dyDescent="0.15">
      <c r="A51" s="1"/>
      <c r="B51" s="1"/>
      <c r="C51" s="1"/>
      <c r="D51" s="1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6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15">
      <c r="A53" s="6" t="s">
        <v>490</v>
      </c>
      <c r="B53" s="1"/>
      <c r="C53" s="1"/>
      <c r="D53" s="13"/>
      <c r="E53" s="7" t="s">
        <v>492</v>
      </c>
      <c r="F53" s="9" t="s">
        <v>491</v>
      </c>
      <c r="G53" s="9" t="s">
        <v>385</v>
      </c>
      <c r="H53" s="9" t="s">
        <v>494</v>
      </c>
      <c r="I53" s="7" t="s">
        <v>470</v>
      </c>
      <c r="J53" s="7" t="s">
        <v>248</v>
      </c>
      <c r="K53" s="7" t="s">
        <v>467</v>
      </c>
      <c r="L53" s="7" t="s">
        <v>263</v>
      </c>
      <c r="M53" s="7" t="s">
        <v>203</v>
      </c>
      <c r="N53" s="7" t="s">
        <v>247</v>
      </c>
      <c r="O53" s="7" t="s">
        <v>204</v>
      </c>
      <c r="P53" s="7" t="s">
        <v>246</v>
      </c>
    </row>
    <row r="54" spans="1:16" x14ac:dyDescent="0.15">
      <c r="A54" s="1" t="s">
        <v>258</v>
      </c>
      <c r="B54" s="1"/>
      <c r="C54" s="1"/>
      <c r="D54" s="13"/>
      <c r="E54" s="20" t="s">
        <v>414</v>
      </c>
      <c r="F54" s="21" t="s">
        <v>381</v>
      </c>
      <c r="G54" s="21" t="s">
        <v>105</v>
      </c>
      <c r="H54" s="21" t="s">
        <v>497</v>
      </c>
      <c r="I54" s="21" t="s">
        <v>292</v>
      </c>
      <c r="J54" s="21" t="s">
        <v>110</v>
      </c>
      <c r="K54" s="21" t="s">
        <v>497</v>
      </c>
      <c r="L54" s="21" t="s">
        <v>223</v>
      </c>
      <c r="M54" s="1" t="s">
        <v>225</v>
      </c>
      <c r="N54" s="1" t="s">
        <v>285</v>
      </c>
      <c r="O54" s="1" t="s">
        <v>601</v>
      </c>
      <c r="P54" s="1" t="s">
        <v>387</v>
      </c>
    </row>
    <row r="55" spans="1:16" x14ac:dyDescent="0.15">
      <c r="A55" s="1" t="s">
        <v>522</v>
      </c>
      <c r="B55" s="1"/>
      <c r="C55" s="1"/>
      <c r="D55" s="13"/>
      <c r="E55" s="21" t="s">
        <v>400</v>
      </c>
      <c r="F55" s="21" t="s">
        <v>224</v>
      </c>
      <c r="G55" s="21" t="s">
        <v>401</v>
      </c>
      <c r="H55" s="21" t="s">
        <v>400</v>
      </c>
      <c r="I55" s="21" t="s">
        <v>225</v>
      </c>
      <c r="J55" s="21" t="s">
        <v>395</v>
      </c>
      <c r="K55" s="21" t="s">
        <v>400</v>
      </c>
      <c r="L55" s="21" t="s">
        <v>226</v>
      </c>
      <c r="M55" s="1" t="s">
        <v>331</v>
      </c>
      <c r="N55" s="1" t="s">
        <v>285</v>
      </c>
      <c r="O55" s="21" t="s">
        <v>224</v>
      </c>
      <c r="P55" s="21" t="s">
        <v>224</v>
      </c>
    </row>
    <row r="56" spans="1:16" x14ac:dyDescent="0.15">
      <c r="A56" s="1" t="s">
        <v>512</v>
      </c>
      <c r="B56" s="1"/>
      <c r="C56" s="1"/>
      <c r="D56" s="13"/>
      <c r="E56" s="21" t="s">
        <v>227</v>
      </c>
      <c r="F56" s="22" t="s">
        <v>260</v>
      </c>
      <c r="G56" s="22" t="s">
        <v>390</v>
      </c>
      <c r="H56" s="22" t="s">
        <v>466</v>
      </c>
      <c r="I56" s="22" t="s">
        <v>225</v>
      </c>
      <c r="J56" s="22">
        <v>82.5</v>
      </c>
      <c r="K56" s="22">
        <v>75</v>
      </c>
      <c r="L56" s="23">
        <v>48</v>
      </c>
      <c r="M56" s="1" t="s">
        <v>220</v>
      </c>
      <c r="N56" s="1" t="s">
        <v>285</v>
      </c>
      <c r="O56" s="23">
        <v>75</v>
      </c>
      <c r="P56" s="1" t="s">
        <v>387</v>
      </c>
    </row>
    <row r="57" spans="1:16" x14ac:dyDescent="0.15">
      <c r="A57" s="1" t="s">
        <v>532</v>
      </c>
      <c r="B57" s="1"/>
      <c r="C57" s="1"/>
      <c r="D57" s="13"/>
      <c r="E57" s="21" t="s">
        <v>415</v>
      </c>
      <c r="F57" s="20" t="s">
        <v>259</v>
      </c>
      <c r="G57" s="20" t="s">
        <v>106</v>
      </c>
      <c r="H57" s="20" t="s">
        <v>111</v>
      </c>
      <c r="I57" s="20" t="s">
        <v>288</v>
      </c>
      <c r="J57" s="20" t="s">
        <v>285</v>
      </c>
      <c r="K57" s="20" t="s">
        <v>380</v>
      </c>
      <c r="L57" s="21" t="s">
        <v>497</v>
      </c>
      <c r="M57" s="1" t="s">
        <v>232</v>
      </c>
      <c r="N57" s="1" t="s">
        <v>286</v>
      </c>
      <c r="O57" s="1" t="s">
        <v>601</v>
      </c>
      <c r="P57" s="1" t="s">
        <v>387</v>
      </c>
    </row>
    <row r="58" spans="1:16" x14ac:dyDescent="0.15">
      <c r="A58" s="1" t="s">
        <v>156</v>
      </c>
      <c r="B58" s="1"/>
      <c r="C58" s="1"/>
      <c r="D58" s="13"/>
      <c r="E58" s="64">
        <v>12.73</v>
      </c>
      <c r="F58" s="64">
        <v>12</v>
      </c>
      <c r="G58" s="64" t="s">
        <v>292</v>
      </c>
      <c r="H58" s="64" t="s">
        <v>292</v>
      </c>
      <c r="I58" s="65" t="s">
        <v>292</v>
      </c>
      <c r="J58" s="64">
        <v>14.85</v>
      </c>
      <c r="K58" s="65" t="s">
        <v>107</v>
      </c>
      <c r="L58" s="64">
        <v>12.75</v>
      </c>
      <c r="M58" s="65" t="s">
        <v>107</v>
      </c>
      <c r="N58" s="65" t="s">
        <v>285</v>
      </c>
      <c r="O58" s="65" t="s">
        <v>107</v>
      </c>
      <c r="P58" s="65" t="s">
        <v>284</v>
      </c>
    </row>
    <row r="59" spans="1:16" x14ac:dyDescent="0.15">
      <c r="A59" s="1" t="s">
        <v>553</v>
      </c>
      <c r="B59" s="1"/>
      <c r="C59" s="1"/>
      <c r="D59" s="13"/>
      <c r="E59" s="21" t="s">
        <v>262</v>
      </c>
      <c r="F59" s="21" t="s">
        <v>262</v>
      </c>
      <c r="G59" s="21" t="s">
        <v>497</v>
      </c>
      <c r="H59" s="21" t="s">
        <v>497</v>
      </c>
      <c r="I59" s="21" t="s">
        <v>225</v>
      </c>
      <c r="J59" s="21" t="s">
        <v>285</v>
      </c>
      <c r="K59" s="21" t="s">
        <v>497</v>
      </c>
      <c r="L59" s="21" t="s">
        <v>384</v>
      </c>
      <c r="M59" s="1" t="s">
        <v>225</v>
      </c>
      <c r="N59" s="1" t="s">
        <v>285</v>
      </c>
      <c r="O59" s="1" t="s">
        <v>198</v>
      </c>
      <c r="P59" s="1" t="s">
        <v>387</v>
      </c>
    </row>
    <row r="60" spans="1:16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</sheetData>
  <sheetProtection algorithmName="SHA-512" hashValue="AYjmI+r205o4us3HiAGXTwbxjh6kURe3OBQhJIhT4Pel6siRNUALb0gaJeMUN9MxHJu0pK9WOqgsz/DyOTb6Qw==" saltValue="7qJLRoVqVm+Qwwd8Wdfp+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O60"/>
  <sheetViews>
    <sheetView workbookViewId="0">
      <selection activeCell="Q23" sqref="Q23:Q24"/>
    </sheetView>
  </sheetViews>
  <sheetFormatPr baseColWidth="10" defaultRowHeight="13" x14ac:dyDescent="0.15"/>
  <cols>
    <col min="1" max="1" width="11.5" customWidth="1"/>
    <col min="2" max="2" width="15.5" customWidth="1"/>
    <col min="3" max="3" width="7.5" customWidth="1"/>
    <col min="4" max="4" width="1.6640625" customWidth="1"/>
    <col min="5" max="15" width="10" customWidth="1"/>
  </cols>
  <sheetData>
    <row r="1" spans="1:15" x14ac:dyDescent="0.15">
      <c r="A1" s="1" t="s">
        <v>489</v>
      </c>
    </row>
    <row r="2" spans="1:15" x14ac:dyDescent="0.1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x14ac:dyDescent="0.15">
      <c r="A3" s="2" t="s">
        <v>598</v>
      </c>
      <c r="B3" s="3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x14ac:dyDescent="0.15">
      <c r="A4" s="1"/>
      <c r="B4" s="1"/>
      <c r="C4" s="1"/>
      <c r="D4" s="13"/>
      <c r="E4" s="5" t="s">
        <v>148</v>
      </c>
      <c r="F4" s="1"/>
      <c r="G4" s="1"/>
      <c r="H4" s="1"/>
      <c r="I4" s="1"/>
      <c r="J4" s="1"/>
      <c r="K4" s="1"/>
      <c r="L4" s="1"/>
      <c r="M4" s="1"/>
    </row>
    <row r="5" spans="1:15" x14ac:dyDescent="0.15">
      <c r="A5" s="1"/>
      <c r="B5" s="1"/>
      <c r="C5" s="1"/>
      <c r="D5" s="13"/>
      <c r="E5" s="1"/>
      <c r="F5" s="1"/>
      <c r="G5" s="1"/>
      <c r="H5" s="1"/>
      <c r="I5" s="1"/>
      <c r="J5" s="1"/>
      <c r="K5" s="1"/>
      <c r="L5" s="1"/>
      <c r="M5" s="1"/>
    </row>
    <row r="6" spans="1:15" x14ac:dyDescent="0.15">
      <c r="A6" s="6" t="s">
        <v>418</v>
      </c>
      <c r="B6" s="1"/>
      <c r="C6" s="1" t="s">
        <v>314</v>
      </c>
      <c r="D6" s="13"/>
      <c r="E6" s="7" t="s">
        <v>492</v>
      </c>
      <c r="F6" s="9" t="s">
        <v>491</v>
      </c>
      <c r="G6" s="9" t="s">
        <v>385</v>
      </c>
      <c r="H6" s="9" t="s">
        <v>494</v>
      </c>
      <c r="I6" s="7" t="s">
        <v>470</v>
      </c>
      <c r="J6" s="7" t="s">
        <v>467</v>
      </c>
      <c r="K6" s="7" t="s">
        <v>263</v>
      </c>
      <c r="L6" s="7" t="s">
        <v>540</v>
      </c>
      <c r="M6" s="7" t="s">
        <v>312</v>
      </c>
    </row>
    <row r="7" spans="1:15" x14ac:dyDescent="0.15">
      <c r="A7" s="1" t="s">
        <v>315</v>
      </c>
      <c r="B7" s="1"/>
      <c r="C7" s="1"/>
      <c r="D7" s="13"/>
      <c r="E7" s="8">
        <v>0.25</v>
      </c>
      <c r="F7" s="8">
        <v>0.25</v>
      </c>
      <c r="G7" s="8">
        <v>0.25</v>
      </c>
      <c r="H7" s="8">
        <v>0.25</v>
      </c>
      <c r="I7" s="8">
        <v>0.25</v>
      </c>
      <c r="J7" s="8">
        <v>0.25</v>
      </c>
      <c r="K7" s="8">
        <v>0.25</v>
      </c>
      <c r="L7" s="8">
        <v>0.25</v>
      </c>
      <c r="M7" s="8">
        <v>0.25</v>
      </c>
    </row>
    <row r="8" spans="1:15" x14ac:dyDescent="0.15">
      <c r="A8" s="1" t="s">
        <v>468</v>
      </c>
      <c r="B8" s="1"/>
      <c r="C8" s="1"/>
      <c r="D8" s="13"/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</row>
    <row r="9" spans="1:15" x14ac:dyDescent="0.15">
      <c r="A9" s="1" t="s">
        <v>469</v>
      </c>
      <c r="B9" s="1"/>
      <c r="C9" s="1"/>
      <c r="D9" s="13"/>
      <c r="E9" s="8">
        <v>0.75</v>
      </c>
      <c r="F9" s="8">
        <v>0.75</v>
      </c>
      <c r="G9" s="8">
        <v>0.75</v>
      </c>
      <c r="H9" s="8">
        <v>0.75</v>
      </c>
      <c r="I9" s="8">
        <v>0.75</v>
      </c>
      <c r="J9" s="8">
        <v>0.75</v>
      </c>
      <c r="K9" s="8">
        <v>0.75</v>
      </c>
      <c r="L9" s="8">
        <v>0.75</v>
      </c>
      <c r="M9" s="8">
        <v>0.75</v>
      </c>
    </row>
    <row r="10" spans="1:15" x14ac:dyDescent="0.15">
      <c r="A10" s="1" t="s">
        <v>510</v>
      </c>
      <c r="B10" s="1"/>
      <c r="C10" s="1"/>
      <c r="D10" s="13"/>
      <c r="E10" s="1">
        <v>3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</row>
    <row r="11" spans="1:15" x14ac:dyDescent="0.15">
      <c r="A11" s="1" t="s">
        <v>264</v>
      </c>
      <c r="B11" s="1"/>
      <c r="C11" s="1"/>
      <c r="D11" s="13"/>
      <c r="E11" s="1">
        <v>300</v>
      </c>
      <c r="F11" s="1">
        <v>300</v>
      </c>
      <c r="G11" s="1">
        <v>1000</v>
      </c>
      <c r="H11" s="1">
        <v>300</v>
      </c>
      <c r="I11" s="1">
        <v>300</v>
      </c>
      <c r="J11" s="1">
        <v>300</v>
      </c>
      <c r="K11" s="1">
        <v>300</v>
      </c>
      <c r="L11" s="1">
        <v>300</v>
      </c>
      <c r="M11" s="1">
        <v>1000</v>
      </c>
    </row>
    <row r="12" spans="1:15" x14ac:dyDescent="0.15">
      <c r="A12" s="1" t="s">
        <v>434</v>
      </c>
      <c r="B12" s="1"/>
      <c r="C12" s="1"/>
      <c r="D12" s="13"/>
      <c r="E12" s="1">
        <v>1000</v>
      </c>
      <c r="F12" s="1">
        <v>1000</v>
      </c>
      <c r="G12" s="1">
        <v>2500</v>
      </c>
      <c r="H12" s="1">
        <v>1000</v>
      </c>
      <c r="I12" s="1">
        <v>1000</v>
      </c>
      <c r="J12" s="1">
        <v>1000</v>
      </c>
      <c r="K12" s="14">
        <v>300</v>
      </c>
      <c r="L12" s="1">
        <v>1000</v>
      </c>
      <c r="M12" s="1">
        <v>1000</v>
      </c>
    </row>
    <row r="13" spans="1:15" x14ac:dyDescent="0.15">
      <c r="A13" s="1" t="s">
        <v>307</v>
      </c>
      <c r="B13" s="1"/>
      <c r="C13" s="1"/>
      <c r="D13" s="13"/>
      <c r="E13" s="1">
        <v>2500</v>
      </c>
      <c r="F13" s="1">
        <v>2500</v>
      </c>
      <c r="G13" s="1">
        <v>2500</v>
      </c>
      <c r="H13" s="1">
        <v>2500</v>
      </c>
      <c r="I13" s="1">
        <v>2500</v>
      </c>
      <c r="J13" s="1">
        <v>2500</v>
      </c>
      <c r="K13" s="14">
        <v>300</v>
      </c>
      <c r="L13" s="1">
        <v>1000</v>
      </c>
      <c r="M13" s="1">
        <v>1000</v>
      </c>
    </row>
    <row r="14" spans="1:15" x14ac:dyDescent="0.15">
      <c r="A14" s="15" t="s">
        <v>221</v>
      </c>
      <c r="B14" s="15"/>
      <c r="C14" s="15"/>
      <c r="D14" s="13"/>
      <c r="E14" s="15">
        <v>5000</v>
      </c>
      <c r="F14" s="15">
        <v>5000</v>
      </c>
      <c r="G14" s="15">
        <v>2500</v>
      </c>
      <c r="H14" s="1">
        <v>2500</v>
      </c>
      <c r="I14" s="15">
        <v>5000</v>
      </c>
      <c r="J14" s="15">
        <v>2500</v>
      </c>
      <c r="K14" s="16">
        <v>300</v>
      </c>
      <c r="L14" s="15">
        <v>1000</v>
      </c>
      <c r="M14" s="15">
        <v>1000</v>
      </c>
    </row>
    <row r="15" spans="1:15" x14ac:dyDescent="0.15">
      <c r="A15" s="1" t="s">
        <v>519</v>
      </c>
      <c r="B15" s="1"/>
      <c r="C15" s="1"/>
      <c r="D15" s="13"/>
      <c r="E15" s="26">
        <v>33.055</v>
      </c>
      <c r="F15" s="1">
        <v>35.606999999999999</v>
      </c>
      <c r="G15" s="1">
        <v>36.465000000000003</v>
      </c>
      <c r="H15" s="27">
        <v>33.802999999999997</v>
      </c>
      <c r="I15" s="1">
        <v>34.947000000000003</v>
      </c>
      <c r="J15" s="1">
        <v>33.33</v>
      </c>
      <c r="K15" s="1">
        <v>33.296999999999997</v>
      </c>
      <c r="L15" s="1">
        <v>36.299999999999997</v>
      </c>
      <c r="M15" s="1">
        <v>32.054000000000002</v>
      </c>
    </row>
    <row r="16" spans="1:15" x14ac:dyDescent="0.15">
      <c r="A16" s="1" t="s">
        <v>192</v>
      </c>
      <c r="B16" s="1"/>
      <c r="C16" s="1"/>
      <c r="D16" s="13"/>
      <c r="E16" s="26">
        <v>36.024999999999999</v>
      </c>
      <c r="F16" s="1">
        <v>38.764000000000003</v>
      </c>
      <c r="G16" s="1">
        <v>43.23</v>
      </c>
      <c r="H16" s="26">
        <v>34.408000000000001</v>
      </c>
      <c r="I16" s="1">
        <v>38.093000000000004</v>
      </c>
      <c r="J16" s="1">
        <v>33.957000000000001</v>
      </c>
      <c r="K16" s="1">
        <v>0</v>
      </c>
      <c r="L16" s="1">
        <v>37.950000000000003</v>
      </c>
      <c r="M16" s="1">
        <v>0</v>
      </c>
    </row>
    <row r="17" spans="1:13" x14ac:dyDescent="0.15">
      <c r="A17" s="1" t="s">
        <v>533</v>
      </c>
      <c r="B17" s="1"/>
      <c r="C17" s="1"/>
      <c r="D17" s="13"/>
      <c r="E17" s="26">
        <v>40.645000000000003</v>
      </c>
      <c r="F17" s="1">
        <v>43.758000000000003</v>
      </c>
      <c r="G17" s="1">
        <v>0</v>
      </c>
      <c r="H17" s="26">
        <v>39.886000000000003</v>
      </c>
      <c r="I17" s="1">
        <v>42.999000000000002</v>
      </c>
      <c r="J17" s="1">
        <v>38.863</v>
      </c>
      <c r="K17" s="1">
        <v>0</v>
      </c>
      <c r="L17" s="1">
        <v>0</v>
      </c>
      <c r="M17" s="1">
        <v>0</v>
      </c>
    </row>
    <row r="18" spans="1:13" x14ac:dyDescent="0.15">
      <c r="A18" s="1" t="s">
        <v>368</v>
      </c>
      <c r="B18" s="1"/>
      <c r="C18" s="1"/>
      <c r="D18" s="13"/>
      <c r="E18" s="26">
        <v>43.725000000000001</v>
      </c>
      <c r="F18" s="1">
        <v>47.146000000000001</v>
      </c>
      <c r="G18" s="1">
        <v>0</v>
      </c>
      <c r="H18" s="26">
        <v>0</v>
      </c>
      <c r="I18" s="1">
        <v>46.277000000000001</v>
      </c>
      <c r="J18" s="1">
        <v>0</v>
      </c>
      <c r="K18" s="1">
        <v>0</v>
      </c>
      <c r="L18" s="1">
        <v>0</v>
      </c>
      <c r="M18" s="1">
        <v>0</v>
      </c>
    </row>
    <row r="19" spans="1:13" x14ac:dyDescent="0.15">
      <c r="A19" s="1" t="s">
        <v>369</v>
      </c>
      <c r="B19" s="1"/>
      <c r="C19" s="1"/>
      <c r="D19" s="13"/>
      <c r="E19" s="26">
        <v>43.725000000000001</v>
      </c>
      <c r="F19" s="1">
        <v>47.146000000000001</v>
      </c>
      <c r="G19" s="1">
        <v>43.23</v>
      </c>
      <c r="H19" s="26">
        <v>43.593000000000004</v>
      </c>
      <c r="I19" s="1">
        <v>46.277000000000001</v>
      </c>
      <c r="J19" s="1">
        <v>42.152000000000001</v>
      </c>
      <c r="K19" s="1">
        <v>33.186999999999998</v>
      </c>
      <c r="L19" s="1">
        <v>41.8</v>
      </c>
      <c r="M19" s="1">
        <v>36.750999999999998</v>
      </c>
    </row>
    <row r="20" spans="1:13" x14ac:dyDescent="0.15">
      <c r="A20" s="1" t="s">
        <v>509</v>
      </c>
      <c r="B20" s="1"/>
      <c r="C20" s="1"/>
      <c r="D20" s="13"/>
      <c r="E20" s="26">
        <v>31.372</v>
      </c>
      <c r="F20" s="1">
        <v>33.802999999999997</v>
      </c>
      <c r="G20" s="1">
        <v>34.045000000000002</v>
      </c>
      <c r="H20" s="27">
        <v>33.802999999999997</v>
      </c>
      <c r="I20" s="1">
        <v>33.164999999999999</v>
      </c>
      <c r="J20" s="1">
        <v>33.33</v>
      </c>
      <c r="K20" s="1">
        <v>33.296999999999997</v>
      </c>
      <c r="L20" s="1">
        <v>32.450000000000003</v>
      </c>
      <c r="M20" s="1">
        <v>32.054000000000002</v>
      </c>
    </row>
    <row r="21" spans="1:13" x14ac:dyDescent="0.15">
      <c r="A21" s="1" t="s">
        <v>343</v>
      </c>
      <c r="B21" s="1"/>
      <c r="C21" s="1"/>
      <c r="D21" s="13"/>
      <c r="E21" s="26">
        <v>31.966000000000001</v>
      </c>
      <c r="F21" s="1">
        <v>34.441000000000003</v>
      </c>
      <c r="G21" s="1">
        <v>38.83</v>
      </c>
      <c r="H21" s="26">
        <v>34.408000000000001</v>
      </c>
      <c r="I21" s="1">
        <v>33.792000000000002</v>
      </c>
      <c r="J21" s="1">
        <v>33.957000000000001</v>
      </c>
      <c r="K21" s="1">
        <v>0</v>
      </c>
      <c r="L21" s="1">
        <v>33.549999999999997</v>
      </c>
      <c r="M21" s="1">
        <v>0</v>
      </c>
    </row>
    <row r="22" spans="1:13" x14ac:dyDescent="0.15">
      <c r="A22" s="1" t="s">
        <v>370</v>
      </c>
      <c r="B22" s="1"/>
      <c r="C22" s="1"/>
      <c r="D22" s="13"/>
      <c r="E22" s="26">
        <v>36.552999999999997</v>
      </c>
      <c r="F22" s="1">
        <v>39.412999999999997</v>
      </c>
      <c r="G22" s="1">
        <v>0</v>
      </c>
      <c r="H22" s="26">
        <v>39.886000000000003</v>
      </c>
      <c r="I22" s="1">
        <v>38.676000000000002</v>
      </c>
      <c r="J22" s="1">
        <v>38.863</v>
      </c>
      <c r="K22" s="1">
        <v>0</v>
      </c>
      <c r="L22" s="1">
        <v>0</v>
      </c>
      <c r="M22" s="1">
        <v>0</v>
      </c>
    </row>
    <row r="23" spans="1:13" x14ac:dyDescent="0.15">
      <c r="A23" s="1" t="s">
        <v>178</v>
      </c>
      <c r="B23" s="1"/>
      <c r="C23" s="1"/>
      <c r="D23" s="13"/>
      <c r="E23" s="26">
        <v>39.643999999999998</v>
      </c>
      <c r="F23" s="1">
        <v>42.801000000000002</v>
      </c>
      <c r="G23" s="1">
        <v>0</v>
      </c>
      <c r="H23" s="26">
        <v>0</v>
      </c>
      <c r="I23" s="1">
        <v>41.954000000000001</v>
      </c>
      <c r="J23" s="1">
        <v>0</v>
      </c>
      <c r="K23" s="1">
        <v>0</v>
      </c>
      <c r="L23" s="1">
        <v>0</v>
      </c>
      <c r="M23" s="1">
        <v>0</v>
      </c>
    </row>
    <row r="24" spans="1:13" x14ac:dyDescent="0.15">
      <c r="A24" s="1" t="s">
        <v>293</v>
      </c>
      <c r="B24" s="1"/>
      <c r="C24" s="1"/>
      <c r="D24" s="13"/>
      <c r="E24" s="26">
        <v>39.643999999999998</v>
      </c>
      <c r="F24" s="1">
        <v>42.801000000000002</v>
      </c>
      <c r="G24" s="1">
        <v>38.83</v>
      </c>
      <c r="H24" s="26">
        <v>43.593000000000004</v>
      </c>
      <c r="I24" s="1">
        <v>41.954000000000001</v>
      </c>
      <c r="J24" s="1">
        <v>42.152000000000001</v>
      </c>
      <c r="K24" s="1">
        <v>33.186999999999998</v>
      </c>
      <c r="L24" s="1">
        <v>35.200000000000003</v>
      </c>
      <c r="M24" s="1">
        <v>36.750999999999998</v>
      </c>
    </row>
    <row r="25" spans="1:13" x14ac:dyDescent="0.15">
      <c r="A25" s="1" t="s">
        <v>294</v>
      </c>
      <c r="B25" s="1"/>
      <c r="C25" s="1"/>
      <c r="D25" s="13"/>
      <c r="E25" s="26">
        <v>72.709999999999994</v>
      </c>
      <c r="F25" s="1">
        <v>78.165999999999997</v>
      </c>
      <c r="G25" s="1">
        <v>73.7</v>
      </c>
      <c r="H25" s="26">
        <v>80.013999999999996</v>
      </c>
      <c r="I25" s="1">
        <v>74.733999999999995</v>
      </c>
      <c r="J25" s="1">
        <v>75.096999999999994</v>
      </c>
      <c r="K25" s="1">
        <v>77.935000000000002</v>
      </c>
      <c r="L25" s="1">
        <v>75.900000000000006</v>
      </c>
      <c r="M25" s="1">
        <v>75.338999999999999</v>
      </c>
    </row>
    <row r="26" spans="1:13" x14ac:dyDescent="0.15">
      <c r="A26" s="1"/>
      <c r="B26" s="1"/>
      <c r="C26" s="1"/>
      <c r="D26" s="13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15">
      <c r="A27" s="1"/>
      <c r="B27" s="1"/>
      <c r="C27" s="1"/>
      <c r="D27" s="13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15">
      <c r="A28" s="6" t="s">
        <v>179</v>
      </c>
      <c r="B28" s="1"/>
      <c r="C28" s="1" t="s">
        <v>314</v>
      </c>
      <c r="D28" s="13"/>
      <c r="E28" s="7" t="s">
        <v>492</v>
      </c>
      <c r="F28" s="9" t="s">
        <v>491</v>
      </c>
      <c r="G28" s="9" t="s">
        <v>385</v>
      </c>
      <c r="H28" s="9" t="s">
        <v>494</v>
      </c>
      <c r="I28" s="7" t="s">
        <v>470</v>
      </c>
      <c r="J28" s="7" t="s">
        <v>432</v>
      </c>
      <c r="K28" s="7" t="s">
        <v>263</v>
      </c>
      <c r="L28" s="7" t="s">
        <v>203</v>
      </c>
      <c r="M28" s="7" t="s">
        <v>204</v>
      </c>
    </row>
    <row r="29" spans="1:13" x14ac:dyDescent="0.15">
      <c r="A29" s="1" t="s">
        <v>315</v>
      </c>
      <c r="B29" s="1"/>
      <c r="C29" s="1"/>
      <c r="D29" s="13"/>
      <c r="E29" s="8">
        <v>0.25</v>
      </c>
      <c r="F29" s="8">
        <v>0.25</v>
      </c>
      <c r="G29" s="8">
        <v>0.25</v>
      </c>
      <c r="H29" s="8">
        <v>0.25</v>
      </c>
      <c r="I29" s="8">
        <v>0.25</v>
      </c>
      <c r="J29" s="8">
        <v>0.25</v>
      </c>
      <c r="K29" s="8">
        <v>0.25</v>
      </c>
      <c r="L29" s="8">
        <v>0.25</v>
      </c>
      <c r="M29" s="8">
        <v>0.25</v>
      </c>
    </row>
    <row r="30" spans="1:13" x14ac:dyDescent="0.15">
      <c r="A30" s="1" t="s">
        <v>468</v>
      </c>
      <c r="B30" s="1"/>
      <c r="C30" s="1"/>
      <c r="D30" s="13"/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</row>
    <row r="31" spans="1:13" x14ac:dyDescent="0.15">
      <c r="A31" s="1" t="s">
        <v>469</v>
      </c>
      <c r="B31" s="1"/>
      <c r="C31" s="1"/>
      <c r="D31" s="13"/>
      <c r="E31" s="8">
        <v>0.75</v>
      </c>
      <c r="F31" s="8">
        <v>0.75</v>
      </c>
      <c r="G31" s="8">
        <v>0.75</v>
      </c>
      <c r="H31" s="8">
        <v>0.75</v>
      </c>
      <c r="I31" s="8">
        <v>0.75</v>
      </c>
      <c r="J31" s="8">
        <v>0.75</v>
      </c>
      <c r="K31" s="8">
        <v>0.75</v>
      </c>
      <c r="L31" s="8">
        <v>0.75</v>
      </c>
      <c r="M31" s="8">
        <v>0.75</v>
      </c>
    </row>
    <row r="32" spans="1:13" x14ac:dyDescent="0.15">
      <c r="A32" s="1" t="s">
        <v>510</v>
      </c>
      <c r="B32" s="1"/>
      <c r="C32" s="1"/>
      <c r="D32" s="13"/>
      <c r="E32" s="1">
        <v>3</v>
      </c>
      <c r="F32" s="1">
        <v>3</v>
      </c>
      <c r="G32" s="1">
        <v>3</v>
      </c>
      <c r="H32" s="1">
        <v>3</v>
      </c>
      <c r="I32" s="1">
        <v>3</v>
      </c>
      <c r="J32" s="1">
        <v>3</v>
      </c>
      <c r="K32" s="1">
        <v>3</v>
      </c>
      <c r="L32" s="1">
        <v>3</v>
      </c>
      <c r="M32" s="1">
        <v>3</v>
      </c>
    </row>
    <row r="33" spans="1:13" x14ac:dyDescent="0.15">
      <c r="A33" s="1" t="s">
        <v>264</v>
      </c>
      <c r="B33" s="1"/>
      <c r="C33" s="1"/>
      <c r="D33" s="13"/>
      <c r="E33" s="1">
        <v>300</v>
      </c>
      <c r="F33" s="1">
        <v>300</v>
      </c>
      <c r="G33" s="1">
        <v>1000</v>
      </c>
      <c r="H33" s="1">
        <v>300</v>
      </c>
      <c r="I33" s="1">
        <v>300</v>
      </c>
      <c r="J33" s="1">
        <v>300</v>
      </c>
      <c r="K33" s="1">
        <v>300</v>
      </c>
      <c r="L33" s="1">
        <v>300</v>
      </c>
      <c r="M33" s="1">
        <v>1000</v>
      </c>
    </row>
    <row r="34" spans="1:13" x14ac:dyDescent="0.15">
      <c r="A34" s="1" t="s">
        <v>434</v>
      </c>
      <c r="B34" s="1"/>
      <c r="C34" s="1"/>
      <c r="D34" s="13"/>
      <c r="E34" s="1">
        <v>1000</v>
      </c>
      <c r="F34" s="1">
        <v>1000</v>
      </c>
      <c r="G34" s="1">
        <v>2500</v>
      </c>
      <c r="H34" s="1">
        <v>1000</v>
      </c>
      <c r="I34" s="1">
        <v>1000</v>
      </c>
      <c r="J34" s="1">
        <v>1000</v>
      </c>
      <c r="K34" s="14">
        <v>300</v>
      </c>
      <c r="L34" s="1">
        <v>1000</v>
      </c>
      <c r="M34" s="1">
        <v>1000</v>
      </c>
    </row>
    <row r="35" spans="1:13" x14ac:dyDescent="0.15">
      <c r="A35" s="1" t="s">
        <v>307</v>
      </c>
      <c r="B35" s="1"/>
      <c r="C35" s="1"/>
      <c r="D35" s="13"/>
      <c r="E35" s="1">
        <v>2500</v>
      </c>
      <c r="F35" s="1">
        <v>2500</v>
      </c>
      <c r="G35" s="1">
        <v>2500</v>
      </c>
      <c r="H35" s="1">
        <v>2500</v>
      </c>
      <c r="I35" s="1">
        <v>2500</v>
      </c>
      <c r="J35" s="1">
        <v>2500</v>
      </c>
      <c r="K35" s="14">
        <v>300</v>
      </c>
      <c r="L35" s="1">
        <v>1000</v>
      </c>
      <c r="M35" s="1">
        <v>1000</v>
      </c>
    </row>
    <row r="36" spans="1:13" x14ac:dyDescent="0.15">
      <c r="A36" s="1" t="s">
        <v>221</v>
      </c>
      <c r="B36" s="1"/>
      <c r="C36" s="1"/>
      <c r="D36" s="13"/>
      <c r="E36" s="1">
        <v>5000</v>
      </c>
      <c r="F36" s="15">
        <v>5000</v>
      </c>
      <c r="G36" s="15">
        <v>2500</v>
      </c>
      <c r="H36" s="1">
        <v>2500</v>
      </c>
      <c r="I36" s="1">
        <v>5000</v>
      </c>
      <c r="J36" s="15">
        <v>2500</v>
      </c>
      <c r="K36" s="14">
        <v>300</v>
      </c>
      <c r="L36" s="1">
        <v>1000</v>
      </c>
      <c r="M36" s="15">
        <v>1000</v>
      </c>
    </row>
    <row r="37" spans="1:13" x14ac:dyDescent="0.15">
      <c r="A37" s="18" t="s">
        <v>396</v>
      </c>
      <c r="B37" s="18"/>
      <c r="C37" s="18"/>
      <c r="D37" s="13"/>
      <c r="E37" s="18">
        <v>2000</v>
      </c>
      <c r="F37" s="18">
        <v>2000</v>
      </c>
      <c r="G37" s="18">
        <v>2000</v>
      </c>
      <c r="H37" s="18">
        <v>2000</v>
      </c>
      <c r="I37" s="18">
        <v>2000</v>
      </c>
      <c r="J37" s="18">
        <v>2000</v>
      </c>
      <c r="K37" s="19">
        <v>2000</v>
      </c>
      <c r="L37" s="18">
        <v>2000</v>
      </c>
      <c r="M37" s="19">
        <v>2000</v>
      </c>
    </row>
    <row r="38" spans="1:13" x14ac:dyDescent="0.15">
      <c r="A38" s="1" t="s">
        <v>519</v>
      </c>
      <c r="B38" s="1"/>
      <c r="C38" s="1"/>
      <c r="D38" s="13"/>
      <c r="E38" s="26">
        <v>33.055</v>
      </c>
      <c r="F38" s="1">
        <v>35.606999999999999</v>
      </c>
      <c r="G38" s="1">
        <v>36.465000000000003</v>
      </c>
      <c r="H38" s="27">
        <v>33.802999999999997</v>
      </c>
      <c r="I38" s="1">
        <v>34.947000000000003</v>
      </c>
      <c r="J38" s="1">
        <v>33.33</v>
      </c>
      <c r="K38" s="1">
        <v>33.296999999999997</v>
      </c>
      <c r="L38" s="1">
        <v>36.299999999999997</v>
      </c>
      <c r="M38" s="1">
        <v>32.054000000000002</v>
      </c>
    </row>
    <row r="39" spans="1:13" x14ac:dyDescent="0.15">
      <c r="A39" s="1" t="s">
        <v>192</v>
      </c>
      <c r="B39" s="1"/>
      <c r="C39" s="1"/>
      <c r="D39" s="13"/>
      <c r="E39" s="26">
        <v>36.024999999999999</v>
      </c>
      <c r="F39" s="1">
        <v>38.764000000000003</v>
      </c>
      <c r="G39" s="1">
        <v>43.23</v>
      </c>
      <c r="H39" s="26">
        <v>34.408000000000001</v>
      </c>
      <c r="I39" s="1">
        <v>38.093000000000004</v>
      </c>
      <c r="J39" s="1">
        <v>33.957000000000001</v>
      </c>
      <c r="K39" s="1">
        <v>0</v>
      </c>
      <c r="L39" s="1">
        <v>37.950000000000003</v>
      </c>
      <c r="M39" s="1">
        <v>0</v>
      </c>
    </row>
    <row r="40" spans="1:13" x14ac:dyDescent="0.15">
      <c r="A40" s="1" t="s">
        <v>513</v>
      </c>
      <c r="B40" s="1"/>
      <c r="C40" s="1"/>
      <c r="D40" s="13"/>
      <c r="E40" s="26">
        <v>40.645000000000003</v>
      </c>
      <c r="F40" s="1">
        <v>43.758000000000003</v>
      </c>
      <c r="G40" s="1">
        <v>0</v>
      </c>
      <c r="H40" s="26">
        <v>39.886000000000003</v>
      </c>
      <c r="I40" s="1">
        <v>42.999000000000002</v>
      </c>
      <c r="J40" s="1">
        <v>38.863</v>
      </c>
      <c r="K40" s="1">
        <v>0</v>
      </c>
      <c r="L40" s="1">
        <v>0</v>
      </c>
      <c r="M40" s="1">
        <v>0</v>
      </c>
    </row>
    <row r="41" spans="1:13" x14ac:dyDescent="0.15">
      <c r="A41" s="1" t="s">
        <v>596</v>
      </c>
      <c r="B41" s="1"/>
      <c r="C41" s="1"/>
      <c r="D41" s="13"/>
      <c r="E41" s="26">
        <v>43.725000000000001</v>
      </c>
      <c r="F41" s="1">
        <v>47.146000000000001</v>
      </c>
      <c r="G41" s="1">
        <v>0</v>
      </c>
      <c r="H41" s="26">
        <v>0</v>
      </c>
      <c r="I41" s="1">
        <v>46.277000000000001</v>
      </c>
      <c r="J41" s="1">
        <v>0</v>
      </c>
      <c r="K41" s="1">
        <v>0</v>
      </c>
      <c r="L41" s="1">
        <v>0</v>
      </c>
      <c r="M41" s="1">
        <v>0</v>
      </c>
    </row>
    <row r="42" spans="1:13" x14ac:dyDescent="0.15">
      <c r="A42" s="1" t="s">
        <v>597</v>
      </c>
      <c r="B42" s="1"/>
      <c r="C42" s="1"/>
      <c r="D42" s="13"/>
      <c r="E42" s="26">
        <v>43.725000000000001</v>
      </c>
      <c r="F42" s="1">
        <v>47.146000000000001</v>
      </c>
      <c r="G42" s="1">
        <v>43.23</v>
      </c>
      <c r="H42" s="26">
        <v>43.593000000000004</v>
      </c>
      <c r="I42" s="1">
        <v>46.277000000000001</v>
      </c>
      <c r="J42" s="1">
        <v>42.152000000000001</v>
      </c>
      <c r="K42" s="1">
        <v>33.186999999999998</v>
      </c>
      <c r="L42" s="1">
        <v>41.8</v>
      </c>
      <c r="M42" s="1">
        <v>36.750999999999998</v>
      </c>
    </row>
    <row r="43" spans="1:13" x14ac:dyDescent="0.15">
      <c r="A43" s="1" t="s">
        <v>509</v>
      </c>
      <c r="B43" s="1"/>
      <c r="C43" s="1"/>
      <c r="D43" s="13"/>
      <c r="E43" s="26">
        <v>31.372</v>
      </c>
      <c r="F43" s="1">
        <v>33.802999999999997</v>
      </c>
      <c r="G43" s="1">
        <v>34.045000000000002</v>
      </c>
      <c r="H43" s="27">
        <v>33.802999999999997</v>
      </c>
      <c r="I43" s="1">
        <v>33.164999999999999</v>
      </c>
      <c r="J43" s="1">
        <v>33.33</v>
      </c>
      <c r="K43" s="1">
        <v>33.296999999999997</v>
      </c>
      <c r="L43" s="1">
        <v>32.450000000000003</v>
      </c>
      <c r="M43" s="1">
        <v>32.054000000000002</v>
      </c>
    </row>
    <row r="44" spans="1:13" x14ac:dyDescent="0.15">
      <c r="A44" s="1" t="s">
        <v>343</v>
      </c>
      <c r="B44" s="1"/>
      <c r="C44" s="1"/>
      <c r="D44" s="13"/>
      <c r="E44" s="26">
        <v>31.966000000000001</v>
      </c>
      <c r="F44" s="1">
        <v>34.441000000000003</v>
      </c>
      <c r="G44" s="1">
        <v>38.83</v>
      </c>
      <c r="H44" s="26">
        <v>34.408000000000001</v>
      </c>
      <c r="I44" s="1">
        <v>33.792000000000002</v>
      </c>
      <c r="J44" s="1">
        <v>33.957000000000001</v>
      </c>
      <c r="K44" s="1">
        <v>0</v>
      </c>
      <c r="L44" s="1">
        <v>33.549999999999997</v>
      </c>
      <c r="M44" s="1">
        <v>0</v>
      </c>
    </row>
    <row r="45" spans="1:13" x14ac:dyDescent="0.15">
      <c r="A45" s="1" t="s">
        <v>370</v>
      </c>
      <c r="B45" s="1"/>
      <c r="C45" s="1"/>
      <c r="D45" s="13"/>
      <c r="E45" s="26">
        <v>36.552999999999997</v>
      </c>
      <c r="F45" s="1">
        <v>39.412999999999997</v>
      </c>
      <c r="G45" s="1">
        <v>0</v>
      </c>
      <c r="H45" s="26">
        <v>39.886000000000003</v>
      </c>
      <c r="I45" s="1">
        <v>38.676000000000002</v>
      </c>
      <c r="J45" s="1">
        <v>38.863</v>
      </c>
      <c r="K45" s="1">
        <v>0</v>
      </c>
      <c r="L45" s="1">
        <v>0</v>
      </c>
      <c r="M45" s="1">
        <v>0</v>
      </c>
    </row>
    <row r="46" spans="1:13" x14ac:dyDescent="0.15">
      <c r="A46" s="1" t="s">
        <v>178</v>
      </c>
      <c r="B46" s="1"/>
      <c r="C46" s="1"/>
      <c r="D46" s="13"/>
      <c r="E46" s="26">
        <v>39.643999999999998</v>
      </c>
      <c r="F46" s="1">
        <v>42.801000000000002</v>
      </c>
      <c r="G46" s="1">
        <v>0</v>
      </c>
      <c r="H46" s="26">
        <v>0</v>
      </c>
      <c r="I46" s="1">
        <v>41.954000000000001</v>
      </c>
      <c r="J46" s="1">
        <v>0</v>
      </c>
      <c r="K46" s="1">
        <v>0</v>
      </c>
      <c r="L46" s="1">
        <v>0</v>
      </c>
      <c r="M46" s="1">
        <v>0</v>
      </c>
    </row>
    <row r="47" spans="1:13" x14ac:dyDescent="0.15">
      <c r="A47" s="1" t="s">
        <v>293</v>
      </c>
      <c r="B47" s="1"/>
      <c r="C47" s="1"/>
      <c r="D47" s="13"/>
      <c r="E47" s="26">
        <v>39.643999999999998</v>
      </c>
      <c r="F47" s="1">
        <v>42.801000000000002</v>
      </c>
      <c r="G47" s="1">
        <v>38.83</v>
      </c>
      <c r="H47" s="26">
        <v>43.593000000000004</v>
      </c>
      <c r="I47" s="1">
        <v>41.954000000000001</v>
      </c>
      <c r="J47" s="1">
        <v>42.152000000000001</v>
      </c>
      <c r="K47" s="1">
        <v>33.186999999999998</v>
      </c>
      <c r="L47" s="1">
        <v>35.200000000000003</v>
      </c>
      <c r="M47" s="1">
        <v>36.750999999999998</v>
      </c>
    </row>
    <row r="48" spans="1:13" x14ac:dyDescent="0.15">
      <c r="A48" s="1" t="s">
        <v>551</v>
      </c>
      <c r="B48" s="1"/>
      <c r="C48" s="1"/>
      <c r="D48" s="13"/>
      <c r="E48" s="26">
        <v>15.18</v>
      </c>
      <c r="F48" s="1">
        <v>16.356999999999999</v>
      </c>
      <c r="G48" s="1">
        <v>16.829999999999998</v>
      </c>
      <c r="H48" s="26">
        <v>16.445</v>
      </c>
      <c r="I48" s="1">
        <v>16.038</v>
      </c>
      <c r="J48" s="1">
        <v>16.114999999999998</v>
      </c>
      <c r="K48" s="26">
        <v>16.324000000000002</v>
      </c>
      <c r="L48" s="1">
        <v>19.14</v>
      </c>
      <c r="M48" s="26">
        <v>16.731000000000002</v>
      </c>
    </row>
    <row r="49" spans="1:13" x14ac:dyDescent="0.15">
      <c r="A49" s="1" t="s">
        <v>457</v>
      </c>
      <c r="B49" s="1"/>
      <c r="C49" s="1"/>
      <c r="D49" s="13"/>
      <c r="E49" s="26">
        <v>16.456</v>
      </c>
      <c r="F49" s="1">
        <v>17.742999999999999</v>
      </c>
      <c r="G49" s="1">
        <v>18.04</v>
      </c>
      <c r="H49" s="26">
        <v>16.445</v>
      </c>
      <c r="I49" s="1">
        <v>17.314</v>
      </c>
      <c r="J49" s="1">
        <v>17.402000000000001</v>
      </c>
      <c r="K49" s="26">
        <v>16.324000000000002</v>
      </c>
      <c r="L49" s="1">
        <v>20.239999999999998</v>
      </c>
      <c r="M49" s="26">
        <v>16.731000000000002</v>
      </c>
    </row>
    <row r="50" spans="1:13" x14ac:dyDescent="0.15">
      <c r="A50" s="1" t="s">
        <v>294</v>
      </c>
      <c r="B50" s="1"/>
      <c r="C50" s="1"/>
      <c r="D50" s="13"/>
      <c r="E50" s="26">
        <v>72.709999999999994</v>
      </c>
      <c r="F50" s="1">
        <v>78.165999999999997</v>
      </c>
      <c r="G50" s="1">
        <v>73.7</v>
      </c>
      <c r="H50" s="26">
        <v>80.013999999999996</v>
      </c>
      <c r="I50" s="1">
        <v>74.733999999999995</v>
      </c>
      <c r="J50" s="1">
        <v>72.203999999999994</v>
      </c>
      <c r="K50" s="1">
        <v>77.935000000000002</v>
      </c>
      <c r="L50" s="1">
        <v>75.900000000000006</v>
      </c>
      <c r="M50" s="1">
        <v>75.338999999999999</v>
      </c>
    </row>
    <row r="51" spans="1:13" x14ac:dyDescent="0.15">
      <c r="A51" s="1"/>
      <c r="B51" s="1"/>
      <c r="C51" s="1"/>
      <c r="D51" s="13"/>
      <c r="E51" s="1"/>
      <c r="F51" s="1"/>
      <c r="G51" s="1"/>
      <c r="H51" s="1"/>
      <c r="I51" s="1"/>
      <c r="J51" s="1"/>
      <c r="K51" s="1"/>
      <c r="L51" s="1"/>
      <c r="M51" s="1"/>
    </row>
    <row r="52" spans="1:13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x14ac:dyDescent="0.15">
      <c r="A53" s="6" t="s">
        <v>490</v>
      </c>
      <c r="B53" s="1"/>
      <c r="C53" s="1"/>
      <c r="D53" s="13"/>
      <c r="E53" s="7" t="s">
        <v>492</v>
      </c>
      <c r="F53" s="9" t="s">
        <v>491</v>
      </c>
      <c r="G53" s="9" t="s">
        <v>385</v>
      </c>
      <c r="H53" s="9" t="s">
        <v>494</v>
      </c>
      <c r="I53" s="7" t="s">
        <v>470</v>
      </c>
      <c r="J53" s="7" t="s">
        <v>432</v>
      </c>
      <c r="K53" s="7" t="s">
        <v>263</v>
      </c>
      <c r="L53" s="7" t="s">
        <v>203</v>
      </c>
      <c r="M53" s="7" t="s">
        <v>204</v>
      </c>
    </row>
    <row r="54" spans="1:13" x14ac:dyDescent="0.15">
      <c r="A54" s="1" t="s">
        <v>496</v>
      </c>
      <c r="B54" s="1"/>
      <c r="C54" s="1"/>
      <c r="D54" s="13"/>
      <c r="E54" s="20" t="s">
        <v>108</v>
      </c>
      <c r="F54" s="21" t="s">
        <v>261</v>
      </c>
      <c r="G54" s="21" t="s">
        <v>375</v>
      </c>
      <c r="H54" s="21" t="s">
        <v>497</v>
      </c>
      <c r="I54" s="21" t="s">
        <v>292</v>
      </c>
      <c r="J54" s="21" t="s">
        <v>497</v>
      </c>
      <c r="K54" s="21" t="s">
        <v>223</v>
      </c>
      <c r="L54" s="1" t="s">
        <v>225</v>
      </c>
      <c r="M54" s="1" t="s">
        <v>601</v>
      </c>
    </row>
    <row r="55" spans="1:13" x14ac:dyDescent="0.15">
      <c r="A55" s="1" t="s">
        <v>522</v>
      </c>
      <c r="B55" s="1"/>
      <c r="C55" s="1"/>
      <c r="D55" s="13"/>
      <c r="E55" s="21" t="s">
        <v>400</v>
      </c>
      <c r="F55" s="21" t="s">
        <v>224</v>
      </c>
      <c r="G55" s="21" t="s">
        <v>401</v>
      </c>
      <c r="H55" s="21" t="s">
        <v>400</v>
      </c>
      <c r="I55" s="21" t="s">
        <v>225</v>
      </c>
      <c r="J55" s="21" t="s">
        <v>400</v>
      </c>
      <c r="K55" s="21" t="s">
        <v>226</v>
      </c>
      <c r="L55" s="1" t="s">
        <v>331</v>
      </c>
      <c r="M55" s="21" t="s">
        <v>224</v>
      </c>
    </row>
    <row r="56" spans="1:13" x14ac:dyDescent="0.15">
      <c r="A56" s="1" t="s">
        <v>512</v>
      </c>
      <c r="B56" s="1"/>
      <c r="C56" s="1"/>
      <c r="D56" s="13"/>
      <c r="E56" s="21" t="s">
        <v>227</v>
      </c>
      <c r="F56" s="22">
        <v>70</v>
      </c>
      <c r="G56" s="22" t="s">
        <v>390</v>
      </c>
      <c r="H56" s="22" t="s">
        <v>466</v>
      </c>
      <c r="I56" s="22" t="s">
        <v>225</v>
      </c>
      <c r="J56" s="22">
        <v>75</v>
      </c>
      <c r="K56" s="23">
        <v>48</v>
      </c>
      <c r="L56" s="1" t="s">
        <v>220</v>
      </c>
      <c r="M56" s="1" t="s">
        <v>601</v>
      </c>
    </row>
    <row r="57" spans="1:13" x14ac:dyDescent="0.15">
      <c r="A57" s="1" t="s">
        <v>532</v>
      </c>
      <c r="B57" s="1"/>
      <c r="C57" s="1"/>
      <c r="D57" s="13"/>
      <c r="E57" s="21" t="s">
        <v>109</v>
      </c>
      <c r="F57" s="20">
        <v>0.02</v>
      </c>
      <c r="G57" s="20" t="s">
        <v>374</v>
      </c>
      <c r="H57" s="20" t="s">
        <v>416</v>
      </c>
      <c r="I57" s="20" t="s">
        <v>288</v>
      </c>
      <c r="J57" s="20" t="s">
        <v>202</v>
      </c>
      <c r="K57" s="21" t="s">
        <v>497</v>
      </c>
      <c r="L57" s="1" t="s">
        <v>232</v>
      </c>
      <c r="M57" s="1" t="s">
        <v>601</v>
      </c>
    </row>
    <row r="58" spans="1:13" x14ac:dyDescent="0.15">
      <c r="A58" s="1" t="s">
        <v>156</v>
      </c>
      <c r="B58" s="1"/>
      <c r="C58" s="1"/>
      <c r="D58" s="13"/>
      <c r="E58" s="22">
        <v>14</v>
      </c>
      <c r="F58" s="22">
        <v>12</v>
      </c>
      <c r="G58" s="20" t="s">
        <v>292</v>
      </c>
      <c r="H58" s="20" t="s">
        <v>292</v>
      </c>
      <c r="I58" s="1" t="s">
        <v>292</v>
      </c>
      <c r="J58" s="22" t="s">
        <v>290</v>
      </c>
      <c r="K58" s="22">
        <v>14</v>
      </c>
      <c r="L58" s="1" t="s">
        <v>103</v>
      </c>
      <c r="M58" s="1" t="s">
        <v>197</v>
      </c>
    </row>
    <row r="59" spans="1:13" x14ac:dyDescent="0.15">
      <c r="A59" s="1" t="s">
        <v>553</v>
      </c>
      <c r="B59" s="1"/>
      <c r="C59" s="1"/>
      <c r="D59" s="13"/>
      <c r="E59" s="21" t="s">
        <v>554</v>
      </c>
      <c r="F59" s="21" t="s">
        <v>262</v>
      </c>
      <c r="G59" s="21" t="s">
        <v>497</v>
      </c>
      <c r="H59" s="21" t="s">
        <v>497</v>
      </c>
      <c r="I59" s="21" t="s">
        <v>225</v>
      </c>
      <c r="J59" s="21" t="s">
        <v>497</v>
      </c>
      <c r="K59" s="21" t="s">
        <v>225</v>
      </c>
      <c r="L59" s="1" t="s">
        <v>225</v>
      </c>
      <c r="M59" s="1" t="s">
        <v>198</v>
      </c>
    </row>
    <row r="60" spans="1:13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</sheetData>
  <sheetProtection algorithmName="SHA-512" hashValue="gfjl7/OhDdqyqSYmEgJK/sanXwCDCTlPFPi2XDg9RgfP/Kr7jTMqWkD2xMuCAnvmhwm9bHVL6oBeZQR9HKf7UQ==" saltValue="cdDfkVmMP+uiVP4+LlrifQ==" spinCount="100000" sheet="1" objects="1" scenarios="1"/>
  <phoneticPr fontId="6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O60"/>
  <sheetViews>
    <sheetView workbookViewId="0">
      <selection activeCell="C11" sqref="C11"/>
    </sheetView>
  </sheetViews>
  <sheetFormatPr baseColWidth="10" defaultRowHeight="13" x14ac:dyDescent="0.15"/>
  <cols>
    <col min="1" max="1" width="11.5" customWidth="1"/>
    <col min="2" max="2" width="15.5" customWidth="1"/>
    <col min="3" max="3" width="7.5" customWidth="1"/>
    <col min="4" max="4" width="1.6640625" customWidth="1"/>
    <col min="5" max="15" width="10" customWidth="1"/>
  </cols>
  <sheetData>
    <row r="1" spans="1:15" x14ac:dyDescent="0.15">
      <c r="A1" s="1" t="s">
        <v>489</v>
      </c>
    </row>
    <row r="2" spans="1:15" x14ac:dyDescent="0.1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x14ac:dyDescent="0.15">
      <c r="A3" s="2" t="s">
        <v>598</v>
      </c>
      <c r="B3" s="3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x14ac:dyDescent="0.15">
      <c r="A4" s="1"/>
      <c r="B4" s="1"/>
      <c r="C4" s="1"/>
      <c r="D4" s="13"/>
      <c r="E4" s="5" t="s">
        <v>306</v>
      </c>
      <c r="F4" s="1"/>
      <c r="G4" s="1"/>
      <c r="H4" s="1"/>
      <c r="I4" s="1" t="s">
        <v>502</v>
      </c>
      <c r="J4" s="1"/>
      <c r="K4" s="1"/>
      <c r="L4" s="1"/>
      <c r="M4" s="1"/>
    </row>
    <row r="5" spans="1:15" x14ac:dyDescent="0.15">
      <c r="A5" s="1"/>
      <c r="B5" s="1"/>
      <c r="C5" s="1"/>
      <c r="D5" s="13"/>
      <c r="E5" s="1"/>
      <c r="F5" s="1"/>
      <c r="G5" s="1"/>
      <c r="H5" s="1"/>
      <c r="I5" s="1"/>
      <c r="J5" s="1"/>
      <c r="K5" s="1"/>
      <c r="L5" s="1"/>
      <c r="M5" s="1"/>
    </row>
    <row r="6" spans="1:15" x14ac:dyDescent="0.15">
      <c r="A6" s="6" t="s">
        <v>418</v>
      </c>
      <c r="B6" s="1"/>
      <c r="C6" s="1" t="s">
        <v>314</v>
      </c>
      <c r="D6" s="13"/>
      <c r="E6" s="7" t="s">
        <v>492</v>
      </c>
      <c r="F6" s="9" t="s">
        <v>491</v>
      </c>
      <c r="G6" s="9" t="s">
        <v>385</v>
      </c>
      <c r="H6" s="9" t="s">
        <v>494</v>
      </c>
      <c r="I6" s="7" t="s">
        <v>470</v>
      </c>
      <c r="J6" s="7" t="s">
        <v>467</v>
      </c>
      <c r="K6" s="7" t="s">
        <v>263</v>
      </c>
      <c r="L6" s="7" t="s">
        <v>540</v>
      </c>
      <c r="M6" s="7" t="s">
        <v>312</v>
      </c>
    </row>
    <row r="7" spans="1:15" x14ac:dyDescent="0.15">
      <c r="A7" s="1" t="s">
        <v>315</v>
      </c>
      <c r="B7" s="1"/>
      <c r="C7" s="1"/>
      <c r="D7" s="13"/>
      <c r="E7" s="8">
        <v>0.25</v>
      </c>
      <c r="F7" s="8">
        <v>0.25</v>
      </c>
      <c r="G7" s="8">
        <v>0.25</v>
      </c>
      <c r="H7" s="8">
        <v>0.25</v>
      </c>
      <c r="I7" s="8">
        <v>0.25</v>
      </c>
      <c r="J7" s="8">
        <v>0.25</v>
      </c>
      <c r="K7" s="8">
        <v>0.25</v>
      </c>
      <c r="L7" s="8">
        <v>0.25</v>
      </c>
      <c r="M7" s="8">
        <v>0.25</v>
      </c>
    </row>
    <row r="8" spans="1:15" x14ac:dyDescent="0.15">
      <c r="A8" s="1" t="s">
        <v>468</v>
      </c>
      <c r="B8" s="1"/>
      <c r="C8" s="1"/>
      <c r="D8" s="13"/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</row>
    <row r="9" spans="1:15" x14ac:dyDescent="0.15">
      <c r="A9" s="1" t="s">
        <v>469</v>
      </c>
      <c r="B9" s="1"/>
      <c r="C9" s="1"/>
      <c r="D9" s="13"/>
      <c r="E9" s="8">
        <v>0.75</v>
      </c>
      <c r="F9" s="8">
        <v>0.75</v>
      </c>
      <c r="G9" s="8">
        <v>0.75</v>
      </c>
      <c r="H9" s="8">
        <v>0.75</v>
      </c>
      <c r="I9" s="8">
        <v>0.75</v>
      </c>
      <c r="J9" s="8">
        <v>0.75</v>
      </c>
      <c r="K9" s="8">
        <v>0.75</v>
      </c>
      <c r="L9" s="8">
        <v>0.75</v>
      </c>
      <c r="M9" s="8">
        <v>0.75</v>
      </c>
    </row>
    <row r="10" spans="1:15" x14ac:dyDescent="0.15">
      <c r="A10" s="1" t="s">
        <v>510</v>
      </c>
      <c r="B10" s="1"/>
      <c r="C10" s="1"/>
      <c r="D10" s="13"/>
      <c r="E10" s="1">
        <v>3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</row>
    <row r="11" spans="1:15" x14ac:dyDescent="0.15">
      <c r="A11" s="1" t="s">
        <v>264</v>
      </c>
      <c r="B11" s="1"/>
      <c r="C11" s="1"/>
      <c r="D11" s="13"/>
      <c r="E11" s="1">
        <v>300</v>
      </c>
      <c r="F11" s="1">
        <v>300</v>
      </c>
      <c r="G11" s="1">
        <v>300</v>
      </c>
      <c r="H11" s="1">
        <v>300</v>
      </c>
      <c r="I11" s="1">
        <v>300</v>
      </c>
      <c r="J11" s="1">
        <v>300</v>
      </c>
      <c r="K11" s="1">
        <v>300</v>
      </c>
      <c r="L11" s="1">
        <v>300</v>
      </c>
      <c r="M11" s="1">
        <v>1000</v>
      </c>
    </row>
    <row r="12" spans="1:15" x14ac:dyDescent="0.15">
      <c r="A12" s="1" t="s">
        <v>434</v>
      </c>
      <c r="B12" s="1"/>
      <c r="C12" s="1"/>
      <c r="D12" s="13"/>
      <c r="E12" s="1">
        <v>1000</v>
      </c>
      <c r="F12" s="1">
        <v>1000</v>
      </c>
      <c r="G12" s="1">
        <v>1000</v>
      </c>
      <c r="H12" s="1">
        <v>1000</v>
      </c>
      <c r="I12" s="1">
        <v>1000</v>
      </c>
      <c r="J12" s="1">
        <v>1000</v>
      </c>
      <c r="K12" s="14">
        <v>300</v>
      </c>
      <c r="L12" s="1">
        <v>1000</v>
      </c>
      <c r="M12" s="1">
        <v>1000</v>
      </c>
    </row>
    <row r="13" spans="1:15" x14ac:dyDescent="0.15">
      <c r="A13" s="1" t="s">
        <v>307</v>
      </c>
      <c r="B13" s="1"/>
      <c r="C13" s="1"/>
      <c r="D13" s="13"/>
      <c r="E13" s="1">
        <v>2500</v>
      </c>
      <c r="F13" s="1">
        <v>2500</v>
      </c>
      <c r="G13" s="1">
        <v>1000</v>
      </c>
      <c r="H13" s="1">
        <v>2500</v>
      </c>
      <c r="I13" s="1">
        <v>2500</v>
      </c>
      <c r="J13" s="1">
        <v>2500</v>
      </c>
      <c r="K13" s="14">
        <v>300</v>
      </c>
      <c r="L13" s="1">
        <v>1000</v>
      </c>
      <c r="M13" s="1">
        <v>1000</v>
      </c>
    </row>
    <row r="14" spans="1:15" x14ac:dyDescent="0.15">
      <c r="A14" s="15" t="s">
        <v>221</v>
      </c>
      <c r="B14" s="15"/>
      <c r="C14" s="15"/>
      <c r="D14" s="13"/>
      <c r="E14" s="15">
        <v>5000</v>
      </c>
      <c r="F14" s="15">
        <v>5000</v>
      </c>
      <c r="G14" s="15">
        <v>1000</v>
      </c>
      <c r="H14" s="1">
        <v>5000</v>
      </c>
      <c r="I14" s="15">
        <v>5000</v>
      </c>
      <c r="J14" s="15">
        <v>2500</v>
      </c>
      <c r="K14" s="16">
        <v>300</v>
      </c>
      <c r="L14" s="15">
        <v>1000</v>
      </c>
      <c r="M14" s="15">
        <v>1000</v>
      </c>
    </row>
    <row r="15" spans="1:15" x14ac:dyDescent="0.15">
      <c r="A15" s="1" t="s">
        <v>519</v>
      </c>
      <c r="B15" s="1"/>
      <c r="C15" s="1"/>
      <c r="D15" s="13"/>
      <c r="E15" s="26">
        <v>32.241</v>
      </c>
      <c r="F15" s="1">
        <v>35.177999999999997</v>
      </c>
      <c r="G15" s="1">
        <v>31.68</v>
      </c>
      <c r="H15" s="27">
        <v>32.593000000000004</v>
      </c>
      <c r="I15" s="1">
        <v>33.770000000000003</v>
      </c>
      <c r="J15" s="1">
        <v>32.042999999999999</v>
      </c>
      <c r="K15" s="1">
        <v>33.296999999999997</v>
      </c>
      <c r="L15" s="1">
        <v>34.65</v>
      </c>
      <c r="M15" s="1">
        <v>28.501000000000001</v>
      </c>
    </row>
    <row r="16" spans="1:15" x14ac:dyDescent="0.15">
      <c r="A16" s="1" t="s">
        <v>192</v>
      </c>
      <c r="B16" s="1"/>
      <c r="C16" s="1"/>
      <c r="D16" s="13"/>
      <c r="E16" s="26">
        <v>35.145000000000003</v>
      </c>
      <c r="F16" s="1">
        <v>38.335000000000001</v>
      </c>
      <c r="G16" s="1">
        <v>35.200000000000003</v>
      </c>
      <c r="H16" s="26">
        <v>33.176000000000002</v>
      </c>
      <c r="I16" s="1">
        <v>36.805999999999997</v>
      </c>
      <c r="J16" s="1">
        <v>32.648000000000003</v>
      </c>
      <c r="K16" s="1">
        <v>0</v>
      </c>
      <c r="L16" s="1">
        <v>36.299999999999997</v>
      </c>
      <c r="M16" s="1">
        <v>0</v>
      </c>
    </row>
    <row r="17" spans="1:13" x14ac:dyDescent="0.15">
      <c r="A17" s="1" t="s">
        <v>533</v>
      </c>
      <c r="B17" s="1"/>
      <c r="C17" s="1"/>
      <c r="D17" s="13"/>
      <c r="E17" s="26">
        <v>39.677</v>
      </c>
      <c r="F17" s="1">
        <v>43.252000000000002</v>
      </c>
      <c r="G17" s="1">
        <v>0</v>
      </c>
      <c r="H17" s="26">
        <v>38.466999999999999</v>
      </c>
      <c r="I17" s="1">
        <v>41.546999999999997</v>
      </c>
      <c r="J17" s="1">
        <v>37.366999999999997</v>
      </c>
      <c r="K17" s="1">
        <v>0</v>
      </c>
      <c r="L17" s="1">
        <v>0</v>
      </c>
      <c r="M17" s="1">
        <v>0</v>
      </c>
    </row>
    <row r="18" spans="1:13" x14ac:dyDescent="0.15">
      <c r="A18" s="1" t="s">
        <v>368</v>
      </c>
      <c r="B18" s="1"/>
      <c r="C18" s="1"/>
      <c r="D18" s="13"/>
      <c r="E18" s="26">
        <v>42.701999999999998</v>
      </c>
      <c r="F18" s="1">
        <v>46.563000000000002</v>
      </c>
      <c r="G18" s="1">
        <v>0</v>
      </c>
      <c r="H18" s="26">
        <v>42.030999999999999</v>
      </c>
      <c r="I18" s="1">
        <v>44.715000000000003</v>
      </c>
      <c r="J18" s="1">
        <v>0</v>
      </c>
      <c r="K18" s="1">
        <v>0</v>
      </c>
      <c r="L18" s="1">
        <v>0</v>
      </c>
      <c r="M18" s="1">
        <v>0</v>
      </c>
    </row>
    <row r="19" spans="1:13" x14ac:dyDescent="0.15">
      <c r="A19" s="1" t="s">
        <v>369</v>
      </c>
      <c r="B19" s="1"/>
      <c r="C19" s="1"/>
      <c r="D19" s="13"/>
      <c r="E19" s="26">
        <v>42.701999999999998</v>
      </c>
      <c r="F19" s="1">
        <v>46.563000000000002</v>
      </c>
      <c r="G19" s="1">
        <v>40.81</v>
      </c>
      <c r="H19" s="26">
        <v>42.030999999999999</v>
      </c>
      <c r="I19" s="1">
        <v>44.715000000000003</v>
      </c>
      <c r="J19" s="1">
        <v>40.534999999999997</v>
      </c>
      <c r="K19" s="1">
        <v>33.186999999999998</v>
      </c>
      <c r="L19" s="1">
        <v>39.6</v>
      </c>
      <c r="M19" s="1">
        <v>32.680999999999997</v>
      </c>
    </row>
    <row r="20" spans="1:13" x14ac:dyDescent="0.15">
      <c r="A20" s="1" t="s">
        <v>509</v>
      </c>
      <c r="B20" s="1"/>
      <c r="C20" s="1"/>
      <c r="D20" s="13"/>
      <c r="E20" s="26">
        <v>30.591000000000001</v>
      </c>
      <c r="F20" s="1">
        <v>33.363</v>
      </c>
      <c r="G20" s="1">
        <v>30.8</v>
      </c>
      <c r="H20" s="26">
        <v>32.593000000000004</v>
      </c>
      <c r="I20" s="1">
        <v>32.042999999999999</v>
      </c>
      <c r="J20" s="1">
        <v>32.042999999999999</v>
      </c>
      <c r="K20" s="1">
        <v>33.296999999999997</v>
      </c>
      <c r="L20" s="1">
        <v>30.8</v>
      </c>
      <c r="M20" s="1">
        <v>28.501000000000001</v>
      </c>
    </row>
    <row r="21" spans="1:13" x14ac:dyDescent="0.15">
      <c r="A21" s="1" t="s">
        <v>343</v>
      </c>
      <c r="B21" s="1"/>
      <c r="C21" s="1"/>
      <c r="D21" s="13"/>
      <c r="E21" s="26">
        <v>31.173999999999999</v>
      </c>
      <c r="F21" s="1">
        <v>34.000999999999998</v>
      </c>
      <c r="G21" s="1">
        <v>32.67</v>
      </c>
      <c r="H21" s="26">
        <v>33.176000000000002</v>
      </c>
      <c r="I21" s="1">
        <v>32.648000000000003</v>
      </c>
      <c r="J21" s="1">
        <v>32.648000000000003</v>
      </c>
      <c r="K21" s="1">
        <v>0</v>
      </c>
      <c r="L21" s="1">
        <v>31.9</v>
      </c>
      <c r="M21" s="1">
        <v>0</v>
      </c>
    </row>
    <row r="22" spans="1:13" x14ac:dyDescent="0.15">
      <c r="A22" s="1" t="s">
        <v>370</v>
      </c>
      <c r="B22" s="1"/>
      <c r="C22" s="1"/>
      <c r="D22" s="13"/>
      <c r="E22" s="26">
        <v>35.683999999999997</v>
      </c>
      <c r="F22" s="1">
        <v>38.896000000000001</v>
      </c>
      <c r="G22" s="1">
        <v>0</v>
      </c>
      <c r="H22" s="26">
        <v>38.466999999999999</v>
      </c>
      <c r="I22" s="1">
        <v>37.366999999999997</v>
      </c>
      <c r="J22" s="1">
        <v>37.366999999999997</v>
      </c>
      <c r="K22" s="1">
        <v>0</v>
      </c>
      <c r="L22" s="1">
        <v>0</v>
      </c>
      <c r="M22" s="1">
        <v>0</v>
      </c>
    </row>
    <row r="23" spans="1:13" x14ac:dyDescent="0.15">
      <c r="A23" s="1" t="s">
        <v>178</v>
      </c>
      <c r="B23" s="1"/>
      <c r="C23" s="1"/>
      <c r="D23" s="13"/>
      <c r="E23" s="26">
        <v>38.709000000000003</v>
      </c>
      <c r="F23" s="1">
        <v>42.218000000000004</v>
      </c>
      <c r="G23" s="1">
        <v>0</v>
      </c>
      <c r="H23" s="26">
        <v>42.030999999999999</v>
      </c>
      <c r="I23" s="1">
        <v>40.534999999999997</v>
      </c>
      <c r="J23" s="1">
        <v>0</v>
      </c>
      <c r="K23" s="1">
        <v>0</v>
      </c>
      <c r="L23" s="1">
        <v>0</v>
      </c>
      <c r="M23" s="1">
        <v>0</v>
      </c>
    </row>
    <row r="24" spans="1:13" x14ac:dyDescent="0.15">
      <c r="A24" s="1" t="s">
        <v>293</v>
      </c>
      <c r="B24" s="1"/>
      <c r="C24" s="1"/>
      <c r="D24" s="13"/>
      <c r="E24" s="26">
        <v>38.709000000000003</v>
      </c>
      <c r="F24" s="1">
        <v>42.218000000000004</v>
      </c>
      <c r="G24" s="1">
        <v>35.97</v>
      </c>
      <c r="H24" s="26">
        <v>42.030999999999999</v>
      </c>
      <c r="I24" s="1">
        <v>40.534999999999997</v>
      </c>
      <c r="J24" s="1">
        <v>40.534999999999997</v>
      </c>
      <c r="K24" s="1">
        <v>33.186999999999998</v>
      </c>
      <c r="L24" s="1">
        <v>33</v>
      </c>
      <c r="M24" s="1">
        <v>32.680999999999997</v>
      </c>
    </row>
    <row r="25" spans="1:13" x14ac:dyDescent="0.15">
      <c r="A25" s="1" t="s">
        <v>294</v>
      </c>
      <c r="B25" s="1"/>
      <c r="C25" s="1"/>
      <c r="D25" s="13"/>
      <c r="E25" s="26">
        <v>68.947999999999993</v>
      </c>
      <c r="F25" s="1">
        <v>75.152000000000001</v>
      </c>
      <c r="G25" s="1">
        <v>67.319999999999993</v>
      </c>
      <c r="H25" s="26">
        <v>77.153999999999996</v>
      </c>
      <c r="I25" s="1">
        <v>72.203999999999994</v>
      </c>
      <c r="J25" s="1">
        <v>72.203999999999994</v>
      </c>
      <c r="K25" s="1">
        <v>74.040999999999997</v>
      </c>
      <c r="L25" s="1">
        <v>71.5</v>
      </c>
      <c r="M25" s="1">
        <v>60.268999999999998</v>
      </c>
    </row>
    <row r="26" spans="1:13" x14ac:dyDescent="0.15">
      <c r="A26" s="1"/>
      <c r="B26" s="1"/>
      <c r="C26" s="1"/>
      <c r="D26" s="13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15">
      <c r="A27" s="1"/>
      <c r="B27" s="1"/>
      <c r="C27" s="1"/>
      <c r="D27" s="13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15">
      <c r="A28" s="6" t="s">
        <v>179</v>
      </c>
      <c r="B28" s="1"/>
      <c r="C28" s="1" t="s">
        <v>314</v>
      </c>
      <c r="D28" s="13"/>
      <c r="E28" s="7" t="s">
        <v>180</v>
      </c>
      <c r="F28" s="7" t="s">
        <v>181</v>
      </c>
      <c r="G28" s="7" t="s">
        <v>386</v>
      </c>
      <c r="H28" s="7" t="s">
        <v>511</v>
      </c>
      <c r="I28" s="7" t="s">
        <v>399</v>
      </c>
      <c r="J28" s="7" t="s">
        <v>432</v>
      </c>
      <c r="K28" s="7" t="s">
        <v>263</v>
      </c>
      <c r="L28" s="7" t="s">
        <v>540</v>
      </c>
      <c r="M28" s="7" t="s">
        <v>312</v>
      </c>
    </row>
    <row r="29" spans="1:13" x14ac:dyDescent="0.15">
      <c r="A29" s="1" t="s">
        <v>315</v>
      </c>
      <c r="B29" s="1"/>
      <c r="C29" s="1"/>
      <c r="D29" s="13"/>
      <c r="E29" s="8">
        <v>0.25</v>
      </c>
      <c r="F29" s="8">
        <v>0.25</v>
      </c>
      <c r="G29" s="8">
        <v>0.25</v>
      </c>
      <c r="H29" s="8">
        <v>0.25</v>
      </c>
      <c r="I29" s="8">
        <v>0.25</v>
      </c>
      <c r="J29" s="8">
        <v>0.25</v>
      </c>
      <c r="K29" s="8">
        <v>0.25</v>
      </c>
      <c r="L29" s="8">
        <v>0.25</v>
      </c>
      <c r="M29" s="8">
        <v>0.25</v>
      </c>
    </row>
    <row r="30" spans="1:13" x14ac:dyDescent="0.15">
      <c r="A30" s="1" t="s">
        <v>468</v>
      </c>
      <c r="B30" s="1"/>
      <c r="C30" s="1"/>
      <c r="D30" s="13"/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</row>
    <row r="31" spans="1:13" x14ac:dyDescent="0.15">
      <c r="A31" s="1" t="s">
        <v>469</v>
      </c>
      <c r="B31" s="1"/>
      <c r="C31" s="1"/>
      <c r="D31" s="13"/>
      <c r="E31" s="8">
        <v>0.75</v>
      </c>
      <c r="F31" s="8">
        <v>0.75</v>
      </c>
      <c r="G31" s="8">
        <v>0.75</v>
      </c>
      <c r="H31" s="8">
        <v>0.75</v>
      </c>
      <c r="I31" s="8">
        <v>0.75</v>
      </c>
      <c r="J31" s="8">
        <v>0.75</v>
      </c>
      <c r="K31" s="8">
        <v>0.75</v>
      </c>
      <c r="L31" s="8">
        <v>0.75</v>
      </c>
      <c r="M31" s="8">
        <v>0.75</v>
      </c>
    </row>
    <row r="32" spans="1:13" x14ac:dyDescent="0.15">
      <c r="A32" s="1" t="s">
        <v>510</v>
      </c>
      <c r="B32" s="1"/>
      <c r="C32" s="1"/>
      <c r="D32" s="13"/>
      <c r="E32" s="1">
        <v>3</v>
      </c>
      <c r="F32" s="1">
        <v>3</v>
      </c>
      <c r="G32" s="1">
        <v>3</v>
      </c>
      <c r="H32" s="1">
        <v>3</v>
      </c>
      <c r="I32" s="1">
        <v>3</v>
      </c>
      <c r="J32" s="1">
        <v>3</v>
      </c>
      <c r="K32" s="1">
        <v>3</v>
      </c>
      <c r="L32" s="1">
        <v>3</v>
      </c>
      <c r="M32" s="1">
        <v>3</v>
      </c>
    </row>
    <row r="33" spans="1:13" x14ac:dyDescent="0.15">
      <c r="A33" s="1" t="s">
        <v>264</v>
      </c>
      <c r="B33" s="1"/>
      <c r="C33" s="1"/>
      <c r="D33" s="13"/>
      <c r="E33" s="1">
        <v>300</v>
      </c>
      <c r="F33" s="1">
        <v>300</v>
      </c>
      <c r="G33" s="1">
        <v>300</v>
      </c>
      <c r="H33" s="1">
        <v>300</v>
      </c>
      <c r="I33" s="1">
        <v>300</v>
      </c>
      <c r="J33" s="1">
        <v>300</v>
      </c>
      <c r="K33" s="1">
        <v>300</v>
      </c>
      <c r="L33" s="1">
        <v>300</v>
      </c>
      <c r="M33" s="1">
        <v>1000</v>
      </c>
    </row>
    <row r="34" spans="1:13" x14ac:dyDescent="0.15">
      <c r="A34" s="1" t="s">
        <v>434</v>
      </c>
      <c r="B34" s="1"/>
      <c r="C34" s="1"/>
      <c r="D34" s="13"/>
      <c r="E34" s="1">
        <v>1000</v>
      </c>
      <c r="F34" s="1">
        <v>1000</v>
      </c>
      <c r="G34" s="1">
        <v>1000</v>
      </c>
      <c r="H34" s="1">
        <v>1000</v>
      </c>
      <c r="I34" s="1">
        <v>1000</v>
      </c>
      <c r="J34" s="1">
        <v>1000</v>
      </c>
      <c r="K34" s="14">
        <v>300</v>
      </c>
      <c r="L34" s="1">
        <v>1000</v>
      </c>
      <c r="M34" s="1">
        <v>1000</v>
      </c>
    </row>
    <row r="35" spans="1:13" x14ac:dyDescent="0.15">
      <c r="A35" s="1" t="s">
        <v>307</v>
      </c>
      <c r="B35" s="1"/>
      <c r="C35" s="1"/>
      <c r="D35" s="13"/>
      <c r="E35" s="1">
        <v>2500</v>
      </c>
      <c r="F35" s="1">
        <v>2500</v>
      </c>
      <c r="G35" s="1">
        <v>1000</v>
      </c>
      <c r="H35" s="1">
        <v>2500</v>
      </c>
      <c r="I35" s="1">
        <v>2500</v>
      </c>
      <c r="J35" s="1">
        <v>2500</v>
      </c>
      <c r="K35" s="14">
        <v>300</v>
      </c>
      <c r="L35" s="1">
        <v>1000</v>
      </c>
      <c r="M35" s="1">
        <v>1000</v>
      </c>
    </row>
    <row r="36" spans="1:13" x14ac:dyDescent="0.15">
      <c r="A36" s="1" t="s">
        <v>221</v>
      </c>
      <c r="B36" s="1"/>
      <c r="C36" s="1"/>
      <c r="D36" s="13"/>
      <c r="E36" s="1">
        <v>5000</v>
      </c>
      <c r="F36" s="1">
        <v>5000</v>
      </c>
      <c r="G36" s="1">
        <v>1000</v>
      </c>
      <c r="H36" s="1">
        <v>5000</v>
      </c>
      <c r="I36" s="1">
        <v>5000</v>
      </c>
      <c r="J36" s="15">
        <v>2500</v>
      </c>
      <c r="K36" s="14">
        <v>300</v>
      </c>
      <c r="L36" s="1">
        <v>1000</v>
      </c>
      <c r="M36" s="15">
        <v>1000</v>
      </c>
    </row>
    <row r="37" spans="1:13" x14ac:dyDescent="0.15">
      <c r="A37" s="18" t="s">
        <v>396</v>
      </c>
      <c r="B37" s="18"/>
      <c r="C37" s="18"/>
      <c r="D37" s="13"/>
      <c r="E37" s="18">
        <v>2000</v>
      </c>
      <c r="F37" s="18">
        <v>2000</v>
      </c>
      <c r="G37" s="18">
        <v>2000</v>
      </c>
      <c r="H37" s="18">
        <v>2000</v>
      </c>
      <c r="I37" s="18">
        <v>2000</v>
      </c>
      <c r="J37" s="18">
        <v>2000</v>
      </c>
      <c r="K37" s="19">
        <v>2000</v>
      </c>
      <c r="L37" s="18">
        <v>2000</v>
      </c>
      <c r="M37" s="19">
        <v>2000</v>
      </c>
    </row>
    <row r="38" spans="1:13" x14ac:dyDescent="0.15">
      <c r="A38" s="1" t="s">
        <v>519</v>
      </c>
      <c r="B38" s="1"/>
      <c r="C38" s="1"/>
      <c r="D38" s="13"/>
      <c r="E38" s="26">
        <v>32.241</v>
      </c>
      <c r="F38" s="1">
        <v>35.177999999999997</v>
      </c>
      <c r="G38" s="1">
        <v>31.68</v>
      </c>
      <c r="H38" s="27">
        <v>32.593000000000004</v>
      </c>
      <c r="I38" s="1">
        <v>33.770000000000003</v>
      </c>
      <c r="J38" s="1">
        <v>32.042999999999999</v>
      </c>
      <c r="K38" s="1">
        <v>33.296999999999997</v>
      </c>
      <c r="L38" s="1">
        <v>34.65</v>
      </c>
      <c r="M38" s="1">
        <v>28.501000000000001</v>
      </c>
    </row>
    <row r="39" spans="1:13" x14ac:dyDescent="0.15">
      <c r="A39" s="1" t="s">
        <v>192</v>
      </c>
      <c r="B39" s="1"/>
      <c r="C39" s="1"/>
      <c r="D39" s="13"/>
      <c r="E39" s="26">
        <v>35.145000000000003</v>
      </c>
      <c r="F39" s="1">
        <v>38.335000000000001</v>
      </c>
      <c r="G39" s="1">
        <v>35.200000000000003</v>
      </c>
      <c r="H39" s="26">
        <v>33.176000000000002</v>
      </c>
      <c r="I39" s="1">
        <v>36.805999999999997</v>
      </c>
      <c r="J39" s="1">
        <v>32.648000000000003</v>
      </c>
      <c r="K39" s="1">
        <v>0</v>
      </c>
      <c r="L39" s="1">
        <v>36.299999999999997</v>
      </c>
      <c r="M39" s="1">
        <v>0</v>
      </c>
    </row>
    <row r="40" spans="1:13" x14ac:dyDescent="0.15">
      <c r="A40" s="1" t="s">
        <v>513</v>
      </c>
      <c r="B40" s="1"/>
      <c r="C40" s="1"/>
      <c r="D40" s="13"/>
      <c r="E40" s="26">
        <v>39.677</v>
      </c>
      <c r="F40" s="1">
        <v>43.252000000000002</v>
      </c>
      <c r="G40" s="1">
        <v>0</v>
      </c>
      <c r="H40" s="26">
        <v>38.466999999999999</v>
      </c>
      <c r="I40" s="1">
        <v>41.546999999999997</v>
      </c>
      <c r="J40" s="1">
        <v>37.366999999999997</v>
      </c>
      <c r="K40" s="1">
        <v>0</v>
      </c>
      <c r="L40" s="1">
        <v>0</v>
      </c>
      <c r="M40" s="1">
        <v>0</v>
      </c>
    </row>
    <row r="41" spans="1:13" x14ac:dyDescent="0.15">
      <c r="A41" s="1" t="s">
        <v>596</v>
      </c>
      <c r="B41" s="1"/>
      <c r="C41" s="1"/>
      <c r="D41" s="13"/>
      <c r="E41" s="26">
        <v>42.701999999999998</v>
      </c>
      <c r="F41" s="1">
        <v>46.563000000000002</v>
      </c>
      <c r="G41" s="1">
        <v>0</v>
      </c>
      <c r="H41" s="26">
        <v>42.030999999999999</v>
      </c>
      <c r="I41" s="1">
        <v>44.715000000000003</v>
      </c>
      <c r="J41" s="1">
        <v>0</v>
      </c>
      <c r="K41" s="1">
        <v>0</v>
      </c>
      <c r="L41" s="1">
        <v>0</v>
      </c>
      <c r="M41" s="1">
        <v>0</v>
      </c>
    </row>
    <row r="42" spans="1:13" x14ac:dyDescent="0.15">
      <c r="A42" s="1" t="s">
        <v>597</v>
      </c>
      <c r="B42" s="1"/>
      <c r="C42" s="1"/>
      <c r="D42" s="13"/>
      <c r="E42" s="26">
        <v>42.701999999999998</v>
      </c>
      <c r="F42" s="1">
        <v>46.563000000000002</v>
      </c>
      <c r="G42" s="1">
        <v>40.81</v>
      </c>
      <c r="H42" s="26">
        <v>42.030999999999999</v>
      </c>
      <c r="I42" s="1">
        <v>44.715000000000003</v>
      </c>
      <c r="J42" s="1">
        <v>40.534999999999997</v>
      </c>
      <c r="K42" s="1">
        <v>33.186999999999998</v>
      </c>
      <c r="L42" s="1">
        <v>39.6</v>
      </c>
      <c r="M42" s="1">
        <v>32.680999999999997</v>
      </c>
    </row>
    <row r="43" spans="1:13" x14ac:dyDescent="0.15">
      <c r="A43" s="1" t="s">
        <v>509</v>
      </c>
      <c r="B43" s="1"/>
      <c r="C43" s="1"/>
      <c r="D43" s="13"/>
      <c r="E43" s="26">
        <v>30.591000000000001</v>
      </c>
      <c r="F43" s="1">
        <v>33.363</v>
      </c>
      <c r="G43" s="1">
        <v>30.8</v>
      </c>
      <c r="H43" s="26">
        <v>32.593000000000004</v>
      </c>
      <c r="I43" s="1">
        <v>32.042999999999999</v>
      </c>
      <c r="J43" s="1">
        <v>32.042999999999999</v>
      </c>
      <c r="K43" s="1">
        <v>33.296999999999997</v>
      </c>
      <c r="L43" s="1">
        <v>30.8</v>
      </c>
      <c r="M43" s="1">
        <v>28.501000000000001</v>
      </c>
    </row>
    <row r="44" spans="1:13" x14ac:dyDescent="0.15">
      <c r="A44" s="1" t="s">
        <v>343</v>
      </c>
      <c r="B44" s="1"/>
      <c r="C44" s="1"/>
      <c r="D44" s="13"/>
      <c r="E44" s="26">
        <v>31.173999999999999</v>
      </c>
      <c r="F44" s="1">
        <v>34.000999999999998</v>
      </c>
      <c r="G44" s="1">
        <v>32.67</v>
      </c>
      <c r="H44" s="26">
        <v>33.176000000000002</v>
      </c>
      <c r="I44" s="1">
        <v>32.648000000000003</v>
      </c>
      <c r="J44" s="1">
        <v>32.648000000000003</v>
      </c>
      <c r="K44" s="1">
        <v>0</v>
      </c>
      <c r="L44" s="1">
        <v>31.9</v>
      </c>
      <c r="M44" s="1">
        <v>0</v>
      </c>
    </row>
    <row r="45" spans="1:13" x14ac:dyDescent="0.15">
      <c r="A45" s="1" t="s">
        <v>370</v>
      </c>
      <c r="B45" s="1"/>
      <c r="C45" s="1"/>
      <c r="D45" s="13"/>
      <c r="E45" s="26">
        <v>35.683999999999997</v>
      </c>
      <c r="F45" s="1">
        <v>38.896000000000001</v>
      </c>
      <c r="G45" s="1">
        <v>0</v>
      </c>
      <c r="H45" s="26">
        <v>38.466999999999999</v>
      </c>
      <c r="I45" s="1">
        <v>37.366999999999997</v>
      </c>
      <c r="J45" s="1">
        <v>37.366999999999997</v>
      </c>
      <c r="K45" s="1">
        <v>0</v>
      </c>
      <c r="L45" s="1">
        <v>0</v>
      </c>
      <c r="M45" s="1">
        <v>0</v>
      </c>
    </row>
    <row r="46" spans="1:13" x14ac:dyDescent="0.15">
      <c r="A46" s="1" t="s">
        <v>178</v>
      </c>
      <c r="B46" s="1"/>
      <c r="C46" s="1"/>
      <c r="D46" s="13"/>
      <c r="E46" s="26">
        <v>38.709000000000003</v>
      </c>
      <c r="F46" s="1">
        <v>42.218000000000004</v>
      </c>
      <c r="G46" s="1">
        <v>0</v>
      </c>
      <c r="H46" s="26">
        <v>42.030999999999999</v>
      </c>
      <c r="I46" s="1">
        <v>40.534999999999997</v>
      </c>
      <c r="J46" s="1">
        <v>0</v>
      </c>
      <c r="K46" s="1">
        <v>0</v>
      </c>
      <c r="L46" s="1">
        <v>0</v>
      </c>
      <c r="M46" s="1">
        <v>0</v>
      </c>
    </row>
    <row r="47" spans="1:13" x14ac:dyDescent="0.15">
      <c r="A47" s="1" t="s">
        <v>293</v>
      </c>
      <c r="B47" s="1"/>
      <c r="C47" s="1"/>
      <c r="D47" s="13"/>
      <c r="E47" s="26">
        <v>38.709000000000003</v>
      </c>
      <c r="F47" s="1">
        <v>42.218000000000004</v>
      </c>
      <c r="G47" s="1">
        <v>35.97</v>
      </c>
      <c r="H47" s="26">
        <v>42.030999999999999</v>
      </c>
      <c r="I47" s="1">
        <v>40.534999999999997</v>
      </c>
      <c r="J47" s="1">
        <v>40.534999999999997</v>
      </c>
      <c r="K47" s="1">
        <v>33.186999999999998</v>
      </c>
      <c r="L47" s="1">
        <v>33</v>
      </c>
      <c r="M47" s="1">
        <v>32.680999999999997</v>
      </c>
    </row>
    <row r="48" spans="1:13" x14ac:dyDescent="0.15">
      <c r="A48" s="1" t="s">
        <v>551</v>
      </c>
      <c r="B48" s="1"/>
      <c r="C48" s="1"/>
      <c r="D48" s="13"/>
      <c r="E48" s="26">
        <v>14.795</v>
      </c>
      <c r="F48" s="1">
        <v>16.148</v>
      </c>
      <c r="G48" s="1">
        <v>16.28</v>
      </c>
      <c r="H48" s="26">
        <v>15.718999999999999</v>
      </c>
      <c r="I48" s="1">
        <v>15.499000000000001</v>
      </c>
      <c r="J48" s="1">
        <v>15.499000000000001</v>
      </c>
      <c r="K48" s="26">
        <v>14.795</v>
      </c>
      <c r="L48" s="1">
        <v>18.149999999999999</v>
      </c>
      <c r="M48" s="26">
        <v>15.169</v>
      </c>
    </row>
    <row r="49" spans="1:13" x14ac:dyDescent="0.15">
      <c r="A49" s="1" t="s">
        <v>457</v>
      </c>
      <c r="B49" s="1"/>
      <c r="C49" s="1"/>
      <c r="D49" s="13"/>
      <c r="E49" s="26">
        <v>15.972</v>
      </c>
      <c r="F49" s="1">
        <v>17.434999999999999</v>
      </c>
      <c r="G49" s="1">
        <v>17.05</v>
      </c>
      <c r="H49" s="26">
        <v>15.718999999999999</v>
      </c>
      <c r="I49" s="1">
        <v>16.731000000000002</v>
      </c>
      <c r="J49" s="1">
        <v>16.731000000000002</v>
      </c>
      <c r="K49" s="26">
        <v>15.972</v>
      </c>
      <c r="L49" s="1">
        <v>19.25</v>
      </c>
      <c r="M49" s="26">
        <v>15.169</v>
      </c>
    </row>
    <row r="50" spans="1:13" x14ac:dyDescent="0.15">
      <c r="A50" s="1" t="s">
        <v>294</v>
      </c>
      <c r="B50" s="1"/>
      <c r="C50" s="1"/>
      <c r="D50" s="13"/>
      <c r="E50" s="26">
        <v>68.947999999999993</v>
      </c>
      <c r="F50" s="1">
        <v>75.152000000000001</v>
      </c>
      <c r="G50" s="1">
        <v>67.319999999999993</v>
      </c>
      <c r="H50" s="26">
        <v>77.153999999999996</v>
      </c>
      <c r="I50" s="1">
        <v>72.203999999999994</v>
      </c>
      <c r="J50" s="1">
        <v>72.203999999999994</v>
      </c>
      <c r="K50" s="1">
        <v>74.040999999999997</v>
      </c>
      <c r="L50" s="1">
        <v>71.5</v>
      </c>
      <c r="M50" s="1">
        <v>60.268999999999998</v>
      </c>
    </row>
    <row r="51" spans="1:13" x14ac:dyDescent="0.15">
      <c r="A51" s="1"/>
      <c r="B51" s="1"/>
      <c r="C51" s="1"/>
      <c r="D51" s="13"/>
      <c r="E51" s="1"/>
      <c r="F51" s="1"/>
      <c r="G51" s="1"/>
      <c r="H51" s="1"/>
      <c r="I51" s="1"/>
      <c r="J51" s="1"/>
      <c r="K51" s="1"/>
      <c r="L51" s="1"/>
      <c r="M51" s="1"/>
    </row>
    <row r="52" spans="1:13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x14ac:dyDescent="0.15">
      <c r="A53" s="6" t="s">
        <v>490</v>
      </c>
      <c r="B53" s="1"/>
      <c r="C53" s="1"/>
      <c r="D53" s="13"/>
      <c r="E53" s="7" t="s">
        <v>492</v>
      </c>
      <c r="F53" s="9" t="s">
        <v>491</v>
      </c>
      <c r="G53" s="9" t="s">
        <v>385</v>
      </c>
      <c r="H53" s="9" t="s">
        <v>494</v>
      </c>
      <c r="I53" s="7" t="s">
        <v>470</v>
      </c>
      <c r="J53" s="7" t="s">
        <v>467</v>
      </c>
      <c r="K53" s="7" t="s">
        <v>263</v>
      </c>
      <c r="L53" s="7" t="s">
        <v>540</v>
      </c>
      <c r="M53" s="7" t="s">
        <v>312</v>
      </c>
    </row>
    <row r="54" spans="1:13" x14ac:dyDescent="0.15">
      <c r="A54" s="1" t="s">
        <v>101</v>
      </c>
      <c r="B54" s="1"/>
      <c r="C54" s="1"/>
      <c r="D54" s="13"/>
      <c r="E54" s="20" t="s">
        <v>501</v>
      </c>
      <c r="F54" s="21" t="s">
        <v>261</v>
      </c>
      <c r="G54" s="21" t="s">
        <v>375</v>
      </c>
      <c r="H54" s="21" t="s">
        <v>497</v>
      </c>
      <c r="I54" s="21" t="s">
        <v>292</v>
      </c>
      <c r="J54" s="21" t="s">
        <v>497</v>
      </c>
      <c r="K54" s="21" t="s">
        <v>223</v>
      </c>
      <c r="L54" s="1" t="s">
        <v>387</v>
      </c>
      <c r="M54" s="1" t="s">
        <v>601</v>
      </c>
    </row>
    <row r="55" spans="1:13" x14ac:dyDescent="0.15">
      <c r="A55" s="1" t="s">
        <v>522</v>
      </c>
      <c r="B55" s="1"/>
      <c r="C55" s="1"/>
      <c r="D55" s="13"/>
      <c r="E55" s="21" t="s">
        <v>400</v>
      </c>
      <c r="F55" s="21" t="s">
        <v>224</v>
      </c>
      <c r="G55" s="21" t="s">
        <v>401</v>
      </c>
      <c r="H55" s="21" t="s">
        <v>400</v>
      </c>
      <c r="I55" s="21" t="s">
        <v>225</v>
      </c>
      <c r="J55" s="21" t="s">
        <v>400</v>
      </c>
      <c r="K55" s="21" t="s">
        <v>226</v>
      </c>
      <c r="L55" s="1" t="s">
        <v>331</v>
      </c>
      <c r="M55" s="21" t="s">
        <v>224</v>
      </c>
    </row>
    <row r="56" spans="1:13" x14ac:dyDescent="0.15">
      <c r="A56" s="1" t="s">
        <v>512</v>
      </c>
      <c r="B56" s="1"/>
      <c r="C56" s="1"/>
      <c r="D56" s="13"/>
      <c r="E56" s="21" t="s">
        <v>227</v>
      </c>
      <c r="F56" s="22">
        <v>70</v>
      </c>
      <c r="G56" s="22" t="s">
        <v>390</v>
      </c>
      <c r="H56" s="22" t="s">
        <v>289</v>
      </c>
      <c r="I56" s="22" t="s">
        <v>225</v>
      </c>
      <c r="J56" s="22">
        <v>80</v>
      </c>
      <c r="K56" s="23">
        <v>48</v>
      </c>
      <c r="L56" s="1" t="s">
        <v>220</v>
      </c>
      <c r="M56" s="1" t="s">
        <v>601</v>
      </c>
    </row>
    <row r="57" spans="1:13" x14ac:dyDescent="0.15">
      <c r="A57" s="1" t="s">
        <v>532</v>
      </c>
      <c r="B57" s="1"/>
      <c r="C57" s="1"/>
      <c r="D57" s="13"/>
      <c r="E57" s="21" t="s">
        <v>497</v>
      </c>
      <c r="F57" s="20">
        <v>0.02</v>
      </c>
      <c r="G57" s="20" t="s">
        <v>374</v>
      </c>
      <c r="H57" s="20" t="s">
        <v>102</v>
      </c>
      <c r="I57" s="20" t="s">
        <v>288</v>
      </c>
      <c r="J57" s="20" t="s">
        <v>154</v>
      </c>
      <c r="K57" s="21" t="s">
        <v>497</v>
      </c>
      <c r="L57" s="1" t="s">
        <v>444</v>
      </c>
      <c r="M57" s="1" t="s">
        <v>601</v>
      </c>
    </row>
    <row r="58" spans="1:13" x14ac:dyDescent="0.15">
      <c r="A58" s="1" t="s">
        <v>156</v>
      </c>
      <c r="B58" s="1"/>
      <c r="C58" s="1"/>
      <c r="D58" s="13"/>
      <c r="E58" s="22">
        <v>14</v>
      </c>
      <c r="F58" s="22">
        <v>12</v>
      </c>
      <c r="G58" s="20" t="s">
        <v>292</v>
      </c>
      <c r="H58" s="20" t="s">
        <v>292</v>
      </c>
      <c r="I58" s="1" t="s">
        <v>292</v>
      </c>
      <c r="J58" s="22" t="s">
        <v>290</v>
      </c>
      <c r="K58" s="22">
        <v>14</v>
      </c>
      <c r="L58" s="1" t="s">
        <v>535</v>
      </c>
      <c r="M58" s="1" t="s">
        <v>197</v>
      </c>
    </row>
    <row r="59" spans="1:13" x14ac:dyDescent="0.15">
      <c r="A59" s="1" t="s">
        <v>553</v>
      </c>
      <c r="B59" s="1"/>
      <c r="C59" s="1"/>
      <c r="D59" s="13"/>
      <c r="E59" s="21" t="s">
        <v>554</v>
      </c>
      <c r="F59" s="21" t="s">
        <v>262</v>
      </c>
      <c r="G59" s="21" t="s">
        <v>497</v>
      </c>
      <c r="H59" s="21" t="s">
        <v>497</v>
      </c>
      <c r="I59" s="21" t="s">
        <v>387</v>
      </c>
      <c r="J59" s="21" t="s">
        <v>497</v>
      </c>
      <c r="K59" s="21" t="s">
        <v>387</v>
      </c>
      <c r="L59" s="1" t="s">
        <v>387</v>
      </c>
      <c r="M59" s="1" t="s">
        <v>198</v>
      </c>
    </row>
    <row r="60" spans="1:13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</sheetData>
  <sheetProtection algorithmName="SHA-512" hashValue="CVbQoJGp/cEbZDLqWvZ8mxW1SXnoTZFeJVt2bG/+V5e0IgJRpfj3kCjLURYNAt97K/Tbj4gns3+XlkCf47GaEw==" saltValue="uy8cKQEwtDiw0rYK0+7HVQ==" spinCount="100000" sheet="1" objects="1" scenarios="1"/>
  <phoneticPr fontId="6" type="noConversion"/>
  <pageMargins left="0.75" right="0.75" top="1" bottom="1" header="0.5" footer="0.5"/>
  <colBreaks count="1" manualBreakCount="1">
    <brk id="12" max="1048575" man="1"/>
  </colBreaks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O60"/>
  <sheetViews>
    <sheetView workbookViewId="0">
      <selection activeCell="L32" sqref="L32"/>
    </sheetView>
  </sheetViews>
  <sheetFormatPr baseColWidth="10" defaultRowHeight="13" x14ac:dyDescent="0.15"/>
  <cols>
    <col min="1" max="1" width="11.5" customWidth="1"/>
    <col min="2" max="2" width="15.5" customWidth="1"/>
    <col min="3" max="3" width="7.5" customWidth="1"/>
    <col min="4" max="4" width="1.6640625" customWidth="1"/>
    <col min="5" max="15" width="10" customWidth="1"/>
  </cols>
  <sheetData>
    <row r="1" spans="1:15" x14ac:dyDescent="0.15">
      <c r="A1" s="1" t="s">
        <v>489</v>
      </c>
    </row>
    <row r="2" spans="1:15" x14ac:dyDescent="0.1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x14ac:dyDescent="0.15">
      <c r="A3" s="2" t="s">
        <v>244</v>
      </c>
      <c r="B3" s="3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x14ac:dyDescent="0.15">
      <c r="A4" s="1"/>
      <c r="B4" s="1"/>
      <c r="C4" s="1"/>
      <c r="D4" s="13"/>
      <c r="E4" s="5" t="s">
        <v>193</v>
      </c>
      <c r="F4" s="1"/>
      <c r="G4" s="1"/>
      <c r="H4" s="1"/>
      <c r="I4" s="1"/>
      <c r="J4" s="1"/>
      <c r="K4" s="1"/>
      <c r="L4" s="1"/>
      <c r="M4" s="1"/>
    </row>
    <row r="5" spans="1:15" x14ac:dyDescent="0.15">
      <c r="A5" s="1"/>
      <c r="B5" s="1"/>
      <c r="C5" s="1"/>
      <c r="D5" s="13"/>
      <c r="E5" s="1"/>
      <c r="F5" s="1"/>
      <c r="G5" s="1"/>
      <c r="H5" s="1"/>
      <c r="I5" s="1"/>
      <c r="J5" s="1"/>
      <c r="K5" s="1"/>
      <c r="L5" s="1"/>
      <c r="M5" s="1"/>
    </row>
    <row r="6" spans="1:15" x14ac:dyDescent="0.15">
      <c r="A6" s="6" t="s">
        <v>418</v>
      </c>
      <c r="B6" s="1"/>
      <c r="C6" s="1" t="s">
        <v>314</v>
      </c>
      <c r="D6" s="13"/>
      <c r="E6" s="7" t="s">
        <v>492</v>
      </c>
      <c r="F6" s="9" t="s">
        <v>491</v>
      </c>
      <c r="G6" s="9" t="s">
        <v>493</v>
      </c>
      <c r="H6" s="9" t="s">
        <v>494</v>
      </c>
      <c r="I6" s="7" t="s">
        <v>470</v>
      </c>
      <c r="J6" s="7" t="s">
        <v>467</v>
      </c>
      <c r="K6" s="7" t="s">
        <v>263</v>
      </c>
      <c r="L6" s="1"/>
      <c r="M6" s="1"/>
    </row>
    <row r="7" spans="1:15" x14ac:dyDescent="0.15">
      <c r="A7" s="1" t="s">
        <v>315</v>
      </c>
      <c r="B7" s="1"/>
      <c r="C7" s="1"/>
      <c r="D7" s="13"/>
      <c r="E7" s="8">
        <v>0.25</v>
      </c>
      <c r="F7" s="8">
        <v>0.25</v>
      </c>
      <c r="G7" s="8">
        <v>0.25</v>
      </c>
      <c r="H7" s="8">
        <v>0.25</v>
      </c>
      <c r="I7" s="8">
        <v>0.25</v>
      </c>
      <c r="J7" s="8">
        <v>0.25</v>
      </c>
      <c r="K7" s="8">
        <v>0.25</v>
      </c>
      <c r="L7" s="1"/>
      <c r="M7" s="1"/>
    </row>
    <row r="8" spans="1:15" x14ac:dyDescent="0.15">
      <c r="A8" s="1" t="s">
        <v>468</v>
      </c>
      <c r="B8" s="1"/>
      <c r="C8" s="1"/>
      <c r="D8" s="13"/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/>
      <c r="M8" s="1"/>
    </row>
    <row r="9" spans="1:15" x14ac:dyDescent="0.15">
      <c r="A9" s="1" t="s">
        <v>469</v>
      </c>
      <c r="B9" s="1"/>
      <c r="C9" s="1"/>
      <c r="D9" s="13"/>
      <c r="E9" s="8">
        <v>0.75</v>
      </c>
      <c r="F9" s="8">
        <v>0.75</v>
      </c>
      <c r="G9" s="8">
        <v>0.75</v>
      </c>
      <c r="H9" s="8">
        <v>0.75</v>
      </c>
      <c r="I9" s="8">
        <v>0.75</v>
      </c>
      <c r="J9" s="8">
        <v>0.75</v>
      </c>
      <c r="K9" s="8">
        <v>0.75</v>
      </c>
      <c r="L9" s="1"/>
      <c r="M9" s="1"/>
    </row>
    <row r="10" spans="1:15" x14ac:dyDescent="0.15">
      <c r="A10" s="1" t="s">
        <v>510</v>
      </c>
      <c r="B10" s="1"/>
      <c r="C10" s="1"/>
      <c r="D10" s="13"/>
      <c r="E10" s="1">
        <v>3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/>
      <c r="M10" s="1"/>
    </row>
    <row r="11" spans="1:15" x14ac:dyDescent="0.15">
      <c r="A11" s="1" t="s">
        <v>264</v>
      </c>
      <c r="B11" s="1"/>
      <c r="C11" s="1"/>
      <c r="D11" s="13"/>
      <c r="E11" s="1">
        <v>300</v>
      </c>
      <c r="F11" s="1">
        <v>300</v>
      </c>
      <c r="G11" s="1">
        <v>300</v>
      </c>
      <c r="H11" s="1">
        <v>300</v>
      </c>
      <c r="I11" s="1">
        <v>300</v>
      </c>
      <c r="J11" s="1">
        <v>300</v>
      </c>
      <c r="K11" s="1">
        <v>300</v>
      </c>
      <c r="L11" s="1"/>
      <c r="M11" s="1"/>
    </row>
    <row r="12" spans="1:15" x14ac:dyDescent="0.15">
      <c r="A12" s="1" t="s">
        <v>434</v>
      </c>
      <c r="B12" s="1"/>
      <c r="C12" s="1"/>
      <c r="D12" s="13"/>
      <c r="E12" s="1">
        <v>1000</v>
      </c>
      <c r="F12" s="1">
        <v>1000</v>
      </c>
      <c r="G12" s="1">
        <v>1000</v>
      </c>
      <c r="H12" s="1">
        <v>1000</v>
      </c>
      <c r="I12" s="1">
        <v>1000</v>
      </c>
      <c r="J12" s="1">
        <v>1000</v>
      </c>
      <c r="K12" s="14">
        <v>300</v>
      </c>
      <c r="L12" s="1"/>
      <c r="M12" s="1"/>
    </row>
    <row r="13" spans="1:15" x14ac:dyDescent="0.15">
      <c r="A13" s="1" t="s">
        <v>307</v>
      </c>
      <c r="B13" s="1"/>
      <c r="C13" s="1"/>
      <c r="D13" s="13"/>
      <c r="E13" s="1">
        <v>2500</v>
      </c>
      <c r="F13" s="1">
        <v>2500</v>
      </c>
      <c r="G13" s="1">
        <v>1000</v>
      </c>
      <c r="H13" s="1">
        <v>2500</v>
      </c>
      <c r="I13" s="1">
        <v>2500</v>
      </c>
      <c r="J13" s="1">
        <v>2500</v>
      </c>
      <c r="K13" s="14">
        <v>300</v>
      </c>
      <c r="L13" s="1"/>
      <c r="M13" s="1"/>
    </row>
    <row r="14" spans="1:15" x14ac:dyDescent="0.15">
      <c r="A14" s="15" t="s">
        <v>221</v>
      </c>
      <c r="B14" s="15"/>
      <c r="C14" s="15"/>
      <c r="D14" s="13"/>
      <c r="E14" s="15">
        <v>5000</v>
      </c>
      <c r="F14" s="15">
        <v>5000</v>
      </c>
      <c r="G14" s="15">
        <v>1000</v>
      </c>
      <c r="H14" s="15">
        <v>5000</v>
      </c>
      <c r="I14" s="15">
        <v>5000</v>
      </c>
      <c r="J14" s="15">
        <v>2500</v>
      </c>
      <c r="K14" s="16">
        <v>300</v>
      </c>
      <c r="L14" s="1"/>
      <c r="M14" s="1"/>
    </row>
    <row r="15" spans="1:15" x14ac:dyDescent="0.15">
      <c r="A15" s="1" t="s">
        <v>520</v>
      </c>
      <c r="B15" s="1"/>
      <c r="C15" s="1"/>
      <c r="D15" s="13"/>
      <c r="E15" s="1">
        <v>33.770000000000003</v>
      </c>
      <c r="F15" s="1">
        <v>35.177999999999997</v>
      </c>
      <c r="G15" s="1">
        <v>31.68</v>
      </c>
      <c r="H15" s="1">
        <v>32.439</v>
      </c>
      <c r="I15" s="1">
        <v>33.770000000000003</v>
      </c>
      <c r="J15" s="1">
        <v>32.042999999999999</v>
      </c>
      <c r="K15" s="17">
        <v>32.820480000000003</v>
      </c>
      <c r="L15" s="1"/>
      <c r="M15" s="1"/>
    </row>
    <row r="16" spans="1:15" x14ac:dyDescent="0.15">
      <c r="A16" s="1" t="s">
        <v>500</v>
      </c>
      <c r="B16" s="1"/>
      <c r="C16" s="1"/>
      <c r="D16" s="13"/>
      <c r="E16" s="1">
        <v>36.805999999999997</v>
      </c>
      <c r="F16" s="1">
        <v>38.335000000000001</v>
      </c>
      <c r="G16" s="1">
        <v>35.200000000000003</v>
      </c>
      <c r="H16" s="1">
        <v>33.021999999999998</v>
      </c>
      <c r="I16" s="1">
        <v>36.805999999999997</v>
      </c>
      <c r="J16" s="1">
        <v>32.648000000000003</v>
      </c>
      <c r="K16" s="1">
        <v>0</v>
      </c>
      <c r="L16" s="1"/>
      <c r="M16" s="1"/>
    </row>
    <row r="17" spans="1:13" x14ac:dyDescent="0.15">
      <c r="A17" s="1" t="s">
        <v>533</v>
      </c>
      <c r="B17" s="1"/>
      <c r="C17" s="1"/>
      <c r="D17" s="13"/>
      <c r="E17" s="1">
        <v>41.546999999999997</v>
      </c>
      <c r="F17" s="1">
        <v>43.252000000000002</v>
      </c>
      <c r="G17" s="1">
        <v>0</v>
      </c>
      <c r="H17" s="1">
        <v>38.28</v>
      </c>
      <c r="I17" s="1">
        <v>41.546999999999997</v>
      </c>
      <c r="J17" s="1">
        <v>37.366999999999997</v>
      </c>
      <c r="K17" s="1">
        <v>0</v>
      </c>
      <c r="L17" s="1"/>
      <c r="M17" s="1"/>
    </row>
    <row r="18" spans="1:13" x14ac:dyDescent="0.15">
      <c r="A18" s="1" t="s">
        <v>368</v>
      </c>
      <c r="B18" s="1"/>
      <c r="C18" s="1"/>
      <c r="D18" s="13"/>
      <c r="E18" s="1">
        <v>44.715000000000003</v>
      </c>
      <c r="F18" s="1">
        <v>46.563000000000002</v>
      </c>
      <c r="G18" s="1">
        <v>0</v>
      </c>
      <c r="H18" s="1">
        <v>41.832999999999998</v>
      </c>
      <c r="I18" s="1">
        <v>44.715000000000003</v>
      </c>
      <c r="J18" s="1">
        <v>0</v>
      </c>
      <c r="K18" s="1">
        <v>0</v>
      </c>
      <c r="L18" s="1"/>
      <c r="M18" s="1"/>
    </row>
    <row r="19" spans="1:13" x14ac:dyDescent="0.15">
      <c r="A19" s="1" t="s">
        <v>369</v>
      </c>
      <c r="B19" s="1"/>
      <c r="C19" s="1"/>
      <c r="D19" s="13"/>
      <c r="E19" s="1">
        <v>44.715000000000003</v>
      </c>
      <c r="F19" s="1">
        <v>46.563000000000002</v>
      </c>
      <c r="G19" s="1">
        <v>40.81</v>
      </c>
      <c r="H19" s="1">
        <v>41.832999999999998</v>
      </c>
      <c r="I19" s="1">
        <v>44.715000000000003</v>
      </c>
      <c r="J19" s="1">
        <v>40.534999999999997</v>
      </c>
      <c r="K19" s="17">
        <v>32.709600000000002</v>
      </c>
      <c r="L19" s="1"/>
      <c r="M19" s="1"/>
    </row>
    <row r="20" spans="1:13" x14ac:dyDescent="0.15">
      <c r="A20" s="1" t="s">
        <v>509</v>
      </c>
      <c r="B20" s="1"/>
      <c r="C20" s="1"/>
      <c r="D20" s="13"/>
      <c r="E20" s="1">
        <v>32.042999999999999</v>
      </c>
      <c r="F20" s="1">
        <v>33.363</v>
      </c>
      <c r="G20" s="1">
        <v>30.8</v>
      </c>
      <c r="H20" s="1">
        <v>32.439</v>
      </c>
      <c r="I20" s="1">
        <v>32.042999999999999</v>
      </c>
      <c r="J20" s="1">
        <v>32.042999999999999</v>
      </c>
      <c r="K20" s="17">
        <v>32.820480000000003</v>
      </c>
      <c r="L20" s="1"/>
      <c r="M20" s="1"/>
    </row>
    <row r="21" spans="1:13" x14ac:dyDescent="0.15">
      <c r="A21" s="1" t="s">
        <v>343</v>
      </c>
      <c r="B21" s="1"/>
      <c r="C21" s="1"/>
      <c r="D21" s="13"/>
      <c r="E21" s="1">
        <v>32.648000000000003</v>
      </c>
      <c r="F21" s="1">
        <v>34.000999999999998</v>
      </c>
      <c r="G21" s="1">
        <v>32.67</v>
      </c>
      <c r="H21" s="1">
        <v>33.021999999999998</v>
      </c>
      <c r="I21" s="1">
        <v>32.648000000000003</v>
      </c>
      <c r="J21" s="1">
        <v>32.648000000000003</v>
      </c>
      <c r="K21" s="1">
        <v>0</v>
      </c>
      <c r="L21" s="1"/>
      <c r="M21" s="1"/>
    </row>
    <row r="22" spans="1:13" x14ac:dyDescent="0.15">
      <c r="A22" s="1" t="s">
        <v>370</v>
      </c>
      <c r="B22" s="1"/>
      <c r="C22" s="1"/>
      <c r="D22" s="13"/>
      <c r="E22" s="1">
        <v>37.363999999999997</v>
      </c>
      <c r="F22" s="1">
        <v>38.896000000000001</v>
      </c>
      <c r="G22" s="1">
        <v>0</v>
      </c>
      <c r="H22" s="1">
        <v>38.28</v>
      </c>
      <c r="I22" s="1">
        <v>37.366999999999997</v>
      </c>
      <c r="J22" s="1">
        <v>37.366999999999997</v>
      </c>
      <c r="K22" s="1">
        <v>0</v>
      </c>
      <c r="L22" s="1"/>
      <c r="M22" s="1"/>
    </row>
    <row r="23" spans="1:13" x14ac:dyDescent="0.15">
      <c r="A23" s="1" t="s">
        <v>178</v>
      </c>
      <c r="B23" s="1"/>
      <c r="C23" s="1"/>
      <c r="D23" s="13"/>
      <c r="E23" s="1">
        <v>40.534999999999997</v>
      </c>
      <c r="F23" s="1">
        <v>42.218000000000004</v>
      </c>
      <c r="G23" s="1">
        <v>0</v>
      </c>
      <c r="H23" s="1">
        <v>41.832999999999998</v>
      </c>
      <c r="I23" s="1">
        <v>40.534999999999997</v>
      </c>
      <c r="J23" s="1">
        <v>0</v>
      </c>
      <c r="K23" s="1">
        <v>0</v>
      </c>
      <c r="L23" s="1"/>
      <c r="M23" s="1"/>
    </row>
    <row r="24" spans="1:13" x14ac:dyDescent="0.15">
      <c r="A24" s="1" t="s">
        <v>293</v>
      </c>
      <c r="B24" s="1"/>
      <c r="C24" s="1"/>
      <c r="D24" s="13"/>
      <c r="E24" s="1">
        <v>40.534999999999997</v>
      </c>
      <c r="F24" s="1">
        <v>42.218000000000004</v>
      </c>
      <c r="G24" s="1">
        <v>35.97</v>
      </c>
      <c r="H24" s="1">
        <v>41.832999999999998</v>
      </c>
      <c r="I24" s="1">
        <v>40.534999999999997</v>
      </c>
      <c r="J24" s="1">
        <v>40.534999999999997</v>
      </c>
      <c r="K24" s="17">
        <v>32.709600000000002</v>
      </c>
      <c r="L24" s="1"/>
      <c r="M24" s="1"/>
    </row>
    <row r="25" spans="1:13" x14ac:dyDescent="0.15">
      <c r="A25" s="1" t="s">
        <v>294</v>
      </c>
      <c r="B25" s="1"/>
      <c r="C25" s="1"/>
      <c r="D25" s="13"/>
      <c r="E25" s="1">
        <v>72.203999999999994</v>
      </c>
      <c r="F25" s="1">
        <v>75.152000000000001</v>
      </c>
      <c r="G25" s="1">
        <v>67.319999999999993</v>
      </c>
      <c r="H25" s="1">
        <v>75.873000000000005</v>
      </c>
      <c r="I25" s="1">
        <v>72.203999999999994</v>
      </c>
      <c r="J25" s="1">
        <v>72.203999999999994</v>
      </c>
      <c r="K25" s="1">
        <v>74.040999999999997</v>
      </c>
      <c r="L25" s="1"/>
      <c r="M25" s="1"/>
    </row>
    <row r="26" spans="1:13" x14ac:dyDescent="0.15">
      <c r="A26" s="1"/>
      <c r="B26" s="1"/>
      <c r="C26" s="1"/>
      <c r="D26" s="13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15">
      <c r="A27" s="1"/>
      <c r="B27" s="1"/>
      <c r="C27" s="1"/>
      <c r="D27" s="13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15">
      <c r="A28" s="6" t="s">
        <v>179</v>
      </c>
      <c r="B28" s="1"/>
      <c r="C28" s="1" t="s">
        <v>314</v>
      </c>
      <c r="D28" s="13"/>
      <c r="E28" s="7" t="s">
        <v>180</v>
      </c>
      <c r="F28" s="7" t="s">
        <v>181</v>
      </c>
      <c r="G28" s="7" t="s">
        <v>245</v>
      </c>
      <c r="H28" s="7" t="s">
        <v>511</v>
      </c>
      <c r="I28" s="7" t="s">
        <v>399</v>
      </c>
      <c r="J28" s="7" t="s">
        <v>432</v>
      </c>
      <c r="K28" s="7" t="s">
        <v>433</v>
      </c>
      <c r="L28" s="1"/>
      <c r="M28" s="1"/>
    </row>
    <row r="29" spans="1:13" x14ac:dyDescent="0.15">
      <c r="A29" s="1" t="s">
        <v>315</v>
      </c>
      <c r="B29" s="1"/>
      <c r="C29" s="1"/>
      <c r="D29" s="13"/>
      <c r="E29" s="8">
        <v>0.25</v>
      </c>
      <c r="F29" s="8">
        <v>0.25</v>
      </c>
      <c r="G29" s="8">
        <v>0.25</v>
      </c>
      <c r="H29" s="8">
        <v>0.25</v>
      </c>
      <c r="I29" s="8">
        <v>0.25</v>
      </c>
      <c r="J29" s="8">
        <v>0.25</v>
      </c>
      <c r="K29" s="8">
        <v>0.25</v>
      </c>
      <c r="L29" s="1"/>
      <c r="M29" s="1"/>
    </row>
    <row r="30" spans="1:13" x14ac:dyDescent="0.15">
      <c r="A30" s="1" t="s">
        <v>468</v>
      </c>
      <c r="B30" s="1"/>
      <c r="C30" s="1"/>
      <c r="D30" s="13"/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/>
      <c r="M30" s="1"/>
    </row>
    <row r="31" spans="1:13" x14ac:dyDescent="0.15">
      <c r="A31" s="1" t="s">
        <v>469</v>
      </c>
      <c r="B31" s="1"/>
      <c r="C31" s="1"/>
      <c r="D31" s="13"/>
      <c r="E31" s="8">
        <v>0.75</v>
      </c>
      <c r="F31" s="8">
        <v>0.75</v>
      </c>
      <c r="G31" s="8">
        <v>0.75</v>
      </c>
      <c r="H31" s="8">
        <v>0.75</v>
      </c>
      <c r="I31" s="8">
        <v>0.75</v>
      </c>
      <c r="J31" s="8">
        <v>0.75</v>
      </c>
      <c r="K31" s="8">
        <v>0.75</v>
      </c>
      <c r="L31" s="1"/>
      <c r="M31" s="1"/>
    </row>
    <row r="32" spans="1:13" x14ac:dyDescent="0.15">
      <c r="A32" s="1" t="s">
        <v>510</v>
      </c>
      <c r="B32" s="1"/>
      <c r="C32" s="1"/>
      <c r="D32" s="13"/>
      <c r="E32" s="1">
        <v>3</v>
      </c>
      <c r="F32" s="1">
        <v>3</v>
      </c>
      <c r="G32" s="1">
        <v>3</v>
      </c>
      <c r="H32" s="1">
        <v>3</v>
      </c>
      <c r="I32" s="1">
        <v>3</v>
      </c>
      <c r="J32" s="1">
        <v>3</v>
      </c>
      <c r="K32" s="1">
        <v>3</v>
      </c>
      <c r="L32" s="1"/>
      <c r="M32" s="1"/>
    </row>
    <row r="33" spans="1:13" x14ac:dyDescent="0.15">
      <c r="A33" s="1" t="s">
        <v>264</v>
      </c>
      <c r="B33" s="1"/>
      <c r="C33" s="1"/>
      <c r="D33" s="13"/>
      <c r="E33" s="1">
        <v>300</v>
      </c>
      <c r="F33" s="1">
        <v>300</v>
      </c>
      <c r="G33" s="1">
        <v>300</v>
      </c>
      <c r="H33" s="1">
        <v>300</v>
      </c>
      <c r="I33" s="1">
        <v>300</v>
      </c>
      <c r="J33" s="1">
        <v>300</v>
      </c>
      <c r="K33" s="1">
        <v>300</v>
      </c>
      <c r="L33" s="1"/>
      <c r="M33" s="1"/>
    </row>
    <row r="34" spans="1:13" x14ac:dyDescent="0.15">
      <c r="A34" s="1" t="s">
        <v>434</v>
      </c>
      <c r="B34" s="1"/>
      <c r="C34" s="1"/>
      <c r="D34" s="13"/>
      <c r="E34" s="1">
        <v>1000</v>
      </c>
      <c r="F34" s="1">
        <v>1000</v>
      </c>
      <c r="G34" s="1">
        <v>1000</v>
      </c>
      <c r="H34" s="1">
        <v>1000</v>
      </c>
      <c r="I34" s="1">
        <v>1000</v>
      </c>
      <c r="J34" s="1">
        <v>1000</v>
      </c>
      <c r="K34" s="14">
        <v>300</v>
      </c>
      <c r="L34" s="1"/>
      <c r="M34" s="1"/>
    </row>
    <row r="35" spans="1:13" x14ac:dyDescent="0.15">
      <c r="A35" s="1" t="s">
        <v>307</v>
      </c>
      <c r="B35" s="1"/>
      <c r="C35" s="1"/>
      <c r="D35" s="13"/>
      <c r="E35" s="1">
        <v>2500</v>
      </c>
      <c r="F35" s="1">
        <v>2500</v>
      </c>
      <c r="G35" s="1">
        <v>1000</v>
      </c>
      <c r="H35" s="1">
        <v>2500</v>
      </c>
      <c r="I35" s="1">
        <v>2500</v>
      </c>
      <c r="J35" s="1">
        <v>2500</v>
      </c>
      <c r="K35" s="14">
        <v>300</v>
      </c>
      <c r="L35" s="1"/>
      <c r="M35" s="1"/>
    </row>
    <row r="36" spans="1:13" x14ac:dyDescent="0.15">
      <c r="A36" s="1" t="s">
        <v>221</v>
      </c>
      <c r="B36" s="1"/>
      <c r="C36" s="1"/>
      <c r="D36" s="13"/>
      <c r="E36" s="1">
        <v>5000</v>
      </c>
      <c r="F36" s="1">
        <v>5000</v>
      </c>
      <c r="G36" s="1">
        <v>1000</v>
      </c>
      <c r="H36" s="1">
        <v>5000</v>
      </c>
      <c r="I36" s="1">
        <v>5000</v>
      </c>
      <c r="J36" s="15">
        <v>2500</v>
      </c>
      <c r="K36" s="14">
        <v>300</v>
      </c>
      <c r="L36" s="1"/>
      <c r="M36" s="1"/>
    </row>
    <row r="37" spans="1:13" x14ac:dyDescent="0.15">
      <c r="A37" s="18" t="s">
        <v>396</v>
      </c>
      <c r="B37" s="18"/>
      <c r="C37" s="18"/>
      <c r="D37" s="13"/>
      <c r="E37" s="18">
        <v>2000</v>
      </c>
      <c r="F37" s="18">
        <v>2000</v>
      </c>
      <c r="G37" s="18">
        <v>2000</v>
      </c>
      <c r="H37" s="18">
        <v>2000</v>
      </c>
      <c r="I37" s="18">
        <v>2000</v>
      </c>
      <c r="J37" s="18">
        <v>2000</v>
      </c>
      <c r="K37" s="19" t="s">
        <v>539</v>
      </c>
      <c r="L37" s="1"/>
      <c r="M37" s="1"/>
    </row>
    <row r="38" spans="1:13" x14ac:dyDescent="0.15">
      <c r="A38" s="1" t="s">
        <v>519</v>
      </c>
      <c r="B38" s="1"/>
      <c r="C38" s="1"/>
      <c r="D38" s="13"/>
      <c r="E38" s="1">
        <v>33.770000000000003</v>
      </c>
      <c r="F38" s="1">
        <v>35.177999999999997</v>
      </c>
      <c r="G38" s="1">
        <v>31.68</v>
      </c>
      <c r="H38" s="1">
        <v>32.439</v>
      </c>
      <c r="I38" s="1">
        <v>33.770000000000003</v>
      </c>
      <c r="J38" s="1">
        <v>32.042999999999999</v>
      </c>
      <c r="K38" s="17">
        <v>32.820480000000003</v>
      </c>
      <c r="L38" s="1"/>
      <c r="M38" s="1"/>
    </row>
    <row r="39" spans="1:13" x14ac:dyDescent="0.15">
      <c r="A39" s="1" t="s">
        <v>192</v>
      </c>
      <c r="B39" s="1"/>
      <c r="C39" s="1"/>
      <c r="D39" s="13"/>
      <c r="E39" s="1">
        <v>36.805999999999997</v>
      </c>
      <c r="F39" s="1">
        <v>38.335000000000001</v>
      </c>
      <c r="G39" s="1">
        <v>35.200000000000003</v>
      </c>
      <c r="H39" s="1">
        <v>33.021999999999998</v>
      </c>
      <c r="I39" s="1">
        <v>36.805999999999997</v>
      </c>
      <c r="J39" s="1">
        <v>32.648000000000003</v>
      </c>
      <c r="K39" s="1">
        <v>0</v>
      </c>
      <c r="L39" s="1"/>
      <c r="M39" s="1"/>
    </row>
    <row r="40" spans="1:13" x14ac:dyDescent="0.15">
      <c r="A40" s="1" t="s">
        <v>513</v>
      </c>
      <c r="B40" s="1"/>
      <c r="C40" s="1"/>
      <c r="D40" s="13"/>
      <c r="E40" s="1">
        <v>41.546999999999997</v>
      </c>
      <c r="F40" s="1">
        <v>43.252000000000002</v>
      </c>
      <c r="G40" s="1">
        <v>0</v>
      </c>
      <c r="H40" s="1">
        <v>38.28</v>
      </c>
      <c r="I40" s="1">
        <v>41.546999999999997</v>
      </c>
      <c r="J40" s="1">
        <v>37.366999999999997</v>
      </c>
      <c r="K40" s="1">
        <v>0</v>
      </c>
      <c r="L40" s="1"/>
      <c r="M40" s="1"/>
    </row>
    <row r="41" spans="1:13" x14ac:dyDescent="0.15">
      <c r="A41" s="1" t="s">
        <v>596</v>
      </c>
      <c r="B41" s="1"/>
      <c r="C41" s="1"/>
      <c r="D41" s="13"/>
      <c r="E41" s="1">
        <v>44.715000000000003</v>
      </c>
      <c r="F41" s="1">
        <v>46.563000000000002</v>
      </c>
      <c r="G41" s="1">
        <v>0</v>
      </c>
      <c r="H41" s="1">
        <v>41.832999999999998</v>
      </c>
      <c r="I41" s="1">
        <v>44.715000000000003</v>
      </c>
      <c r="J41" s="1">
        <v>0</v>
      </c>
      <c r="K41" s="1">
        <v>0</v>
      </c>
      <c r="L41" s="1"/>
      <c r="M41" s="1"/>
    </row>
    <row r="42" spans="1:13" x14ac:dyDescent="0.15">
      <c r="A42" s="1" t="s">
        <v>597</v>
      </c>
      <c r="B42" s="1"/>
      <c r="C42" s="1"/>
      <c r="D42" s="13"/>
      <c r="E42" s="1">
        <v>44.715000000000003</v>
      </c>
      <c r="F42" s="1">
        <v>46.563000000000002</v>
      </c>
      <c r="G42" s="1">
        <v>40.81</v>
      </c>
      <c r="H42" s="1">
        <v>41.832999999999998</v>
      </c>
      <c r="I42" s="1">
        <v>44.715000000000003</v>
      </c>
      <c r="J42" s="1">
        <v>40.534999999999997</v>
      </c>
      <c r="K42" s="17">
        <v>32.709600000000002</v>
      </c>
      <c r="L42" s="1"/>
      <c r="M42" s="1"/>
    </row>
    <row r="43" spans="1:13" x14ac:dyDescent="0.15">
      <c r="A43" s="1" t="s">
        <v>509</v>
      </c>
      <c r="B43" s="1"/>
      <c r="C43" s="1"/>
      <c r="D43" s="13"/>
      <c r="E43" s="1">
        <v>32.042999999999999</v>
      </c>
      <c r="F43" s="1">
        <v>33.363</v>
      </c>
      <c r="G43" s="1">
        <v>30.8</v>
      </c>
      <c r="H43" s="1">
        <v>32.439</v>
      </c>
      <c r="I43" s="1">
        <v>32.042999999999999</v>
      </c>
      <c r="J43" s="1">
        <v>32.042999999999999</v>
      </c>
      <c r="K43" s="17">
        <v>32.820480000000003</v>
      </c>
      <c r="L43" s="1"/>
      <c r="M43" s="1"/>
    </row>
    <row r="44" spans="1:13" x14ac:dyDescent="0.15">
      <c r="A44" s="1" t="s">
        <v>343</v>
      </c>
      <c r="B44" s="1"/>
      <c r="C44" s="1"/>
      <c r="D44" s="13"/>
      <c r="E44" s="1">
        <v>32.648000000000003</v>
      </c>
      <c r="F44" s="1">
        <v>34.000999999999998</v>
      </c>
      <c r="G44" s="1">
        <v>32.67</v>
      </c>
      <c r="H44" s="1">
        <v>33.021999999999998</v>
      </c>
      <c r="I44" s="1">
        <v>32.648000000000003</v>
      </c>
      <c r="J44" s="1">
        <v>32.648000000000003</v>
      </c>
      <c r="K44" s="1">
        <v>0</v>
      </c>
      <c r="L44" s="1"/>
      <c r="M44" s="1"/>
    </row>
    <row r="45" spans="1:13" x14ac:dyDescent="0.15">
      <c r="A45" s="1" t="s">
        <v>370</v>
      </c>
      <c r="B45" s="1"/>
      <c r="C45" s="1"/>
      <c r="D45" s="13"/>
      <c r="E45" s="1">
        <v>37.363999999999997</v>
      </c>
      <c r="F45" s="1">
        <v>38.896000000000001</v>
      </c>
      <c r="G45" s="1">
        <v>0</v>
      </c>
      <c r="H45" s="1">
        <v>38.28</v>
      </c>
      <c r="I45" s="1">
        <v>37.366999999999997</v>
      </c>
      <c r="J45" s="1">
        <v>37.366999999999997</v>
      </c>
      <c r="K45" s="1">
        <v>0</v>
      </c>
      <c r="L45" s="1"/>
      <c r="M45" s="1"/>
    </row>
    <row r="46" spans="1:13" x14ac:dyDescent="0.15">
      <c r="A46" s="1" t="s">
        <v>178</v>
      </c>
      <c r="B46" s="1"/>
      <c r="C46" s="1"/>
      <c r="D46" s="13"/>
      <c r="E46" s="1">
        <v>40.534999999999997</v>
      </c>
      <c r="F46" s="1">
        <v>42.218000000000004</v>
      </c>
      <c r="G46" s="1">
        <v>0</v>
      </c>
      <c r="H46" s="1">
        <v>41.832999999999998</v>
      </c>
      <c r="I46" s="1">
        <v>40.534999999999997</v>
      </c>
      <c r="J46" s="1">
        <v>0</v>
      </c>
      <c r="K46" s="1">
        <v>0</v>
      </c>
      <c r="L46" s="1"/>
      <c r="M46" s="1"/>
    </row>
    <row r="47" spans="1:13" x14ac:dyDescent="0.15">
      <c r="A47" s="1" t="s">
        <v>293</v>
      </c>
      <c r="B47" s="1"/>
      <c r="C47" s="1"/>
      <c r="D47" s="13"/>
      <c r="E47" s="1">
        <v>40.534999999999997</v>
      </c>
      <c r="F47" s="1">
        <v>42.218000000000004</v>
      </c>
      <c r="G47" s="1">
        <v>35.97</v>
      </c>
      <c r="H47" s="1">
        <v>41.832999999999998</v>
      </c>
      <c r="I47" s="1">
        <v>40.534999999999997</v>
      </c>
      <c r="J47" s="1">
        <v>40.534999999999997</v>
      </c>
      <c r="K47" s="17">
        <v>32.709600000000002</v>
      </c>
      <c r="L47" s="1"/>
      <c r="M47" s="1"/>
    </row>
    <row r="48" spans="1:13" x14ac:dyDescent="0.15">
      <c r="A48" s="1" t="s">
        <v>551</v>
      </c>
      <c r="B48" s="1"/>
      <c r="C48" s="1"/>
      <c r="D48" s="13"/>
      <c r="E48" s="1">
        <v>15.499000000000001</v>
      </c>
      <c r="F48" s="1">
        <v>16.148</v>
      </c>
      <c r="G48" s="1">
        <v>16.28</v>
      </c>
      <c r="H48" s="1">
        <v>15.532</v>
      </c>
      <c r="I48" s="1">
        <v>15.499000000000001</v>
      </c>
      <c r="J48" s="1">
        <v>15.499000000000001</v>
      </c>
      <c r="K48" s="1">
        <v>15.895</v>
      </c>
      <c r="L48" s="1"/>
      <c r="M48" s="1"/>
    </row>
    <row r="49" spans="1:13" x14ac:dyDescent="0.15">
      <c r="A49" s="1" t="s">
        <v>457</v>
      </c>
      <c r="B49" s="1"/>
      <c r="C49" s="1"/>
      <c r="D49" s="13"/>
      <c r="E49" s="1">
        <v>16.731000000000002</v>
      </c>
      <c r="F49" s="1">
        <v>17.434999999999999</v>
      </c>
      <c r="G49" s="1">
        <v>17.05</v>
      </c>
      <c r="H49" s="1">
        <v>15.532</v>
      </c>
      <c r="I49" s="1">
        <v>16.731000000000002</v>
      </c>
      <c r="J49" s="1">
        <v>16.731000000000002</v>
      </c>
      <c r="K49" s="1">
        <v>0</v>
      </c>
      <c r="L49" s="1"/>
      <c r="M49" s="1"/>
    </row>
    <row r="50" spans="1:13" x14ac:dyDescent="0.15">
      <c r="A50" s="1" t="s">
        <v>294</v>
      </c>
      <c r="B50" s="1"/>
      <c r="C50" s="1"/>
      <c r="D50" s="13"/>
      <c r="E50" s="1">
        <v>72.203999999999994</v>
      </c>
      <c r="F50" s="1">
        <v>75.152000000000001</v>
      </c>
      <c r="G50" s="1">
        <v>67.319999999999993</v>
      </c>
      <c r="H50" s="1">
        <v>75.873000000000005</v>
      </c>
      <c r="I50" s="1">
        <v>72.203999999999994</v>
      </c>
      <c r="J50" s="1">
        <v>72.203999999999994</v>
      </c>
      <c r="K50" s="1">
        <v>74.040999999999997</v>
      </c>
      <c r="L50" s="1"/>
      <c r="M50" s="1"/>
    </row>
    <row r="51" spans="1:13" x14ac:dyDescent="0.15">
      <c r="A51" s="1"/>
      <c r="B51" s="1"/>
      <c r="C51" s="1"/>
      <c r="D51" s="13"/>
      <c r="E51" s="1"/>
      <c r="F51" s="1"/>
      <c r="G51" s="1"/>
      <c r="H51" s="1"/>
      <c r="I51" s="1"/>
      <c r="J51" s="1"/>
      <c r="K51" s="1"/>
      <c r="L51" s="1"/>
      <c r="M51" s="1"/>
    </row>
    <row r="52" spans="1:13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"/>
      <c r="M52" s="1"/>
    </row>
    <row r="53" spans="1:13" x14ac:dyDescent="0.15">
      <c r="A53" s="6" t="s">
        <v>490</v>
      </c>
      <c r="B53" s="1"/>
      <c r="C53" s="1"/>
      <c r="D53" s="13"/>
      <c r="E53" s="7" t="s">
        <v>492</v>
      </c>
      <c r="F53" s="9" t="s">
        <v>491</v>
      </c>
      <c r="G53" s="9" t="s">
        <v>493</v>
      </c>
      <c r="H53" s="9" t="s">
        <v>494</v>
      </c>
      <c r="I53" s="7" t="s">
        <v>470</v>
      </c>
      <c r="J53" s="9" t="s">
        <v>458</v>
      </c>
      <c r="K53" s="7" t="s">
        <v>263</v>
      </c>
      <c r="L53" s="1"/>
      <c r="M53" s="1"/>
    </row>
    <row r="54" spans="1:13" x14ac:dyDescent="0.15">
      <c r="A54" s="1" t="s">
        <v>496</v>
      </c>
      <c r="B54" s="1"/>
      <c r="C54" s="1"/>
      <c r="D54" s="13"/>
      <c r="E54" s="20" t="s">
        <v>503</v>
      </c>
      <c r="F54" s="21" t="s">
        <v>504</v>
      </c>
      <c r="G54" s="21" t="s">
        <v>222</v>
      </c>
      <c r="H54" s="21" t="s">
        <v>497</v>
      </c>
      <c r="I54" s="21" t="s">
        <v>292</v>
      </c>
      <c r="J54" s="21" t="s">
        <v>497</v>
      </c>
      <c r="K54" s="21" t="s">
        <v>223</v>
      </c>
      <c r="L54" s="1"/>
      <c r="M54" s="1"/>
    </row>
    <row r="55" spans="1:13" x14ac:dyDescent="0.15">
      <c r="A55" s="1" t="s">
        <v>522</v>
      </c>
      <c r="B55" s="1"/>
      <c r="C55" s="1"/>
      <c r="D55" s="13"/>
      <c r="E55" s="21" t="s">
        <v>400</v>
      </c>
      <c r="F55" s="21" t="s">
        <v>224</v>
      </c>
      <c r="G55" s="21" t="s">
        <v>401</v>
      </c>
      <c r="H55" s="21" t="s">
        <v>400</v>
      </c>
      <c r="I55" s="21" t="s">
        <v>225</v>
      </c>
      <c r="J55" s="21" t="s">
        <v>400</v>
      </c>
      <c r="K55" s="21" t="s">
        <v>226</v>
      </c>
      <c r="L55" s="1"/>
      <c r="M55" s="1"/>
    </row>
    <row r="56" spans="1:13" x14ac:dyDescent="0.15">
      <c r="A56" s="1" t="s">
        <v>512</v>
      </c>
      <c r="B56" s="1"/>
      <c r="C56" s="1"/>
      <c r="D56" s="13"/>
      <c r="E56" s="21" t="s">
        <v>227</v>
      </c>
      <c r="F56" s="22">
        <v>70</v>
      </c>
      <c r="G56" s="22" t="s">
        <v>390</v>
      </c>
      <c r="H56" s="22" t="s">
        <v>289</v>
      </c>
      <c r="I56" s="22" t="s">
        <v>225</v>
      </c>
      <c r="J56" s="22">
        <v>80</v>
      </c>
      <c r="K56" s="23">
        <v>48</v>
      </c>
      <c r="L56" s="1"/>
      <c r="M56" s="1"/>
    </row>
    <row r="57" spans="1:13" x14ac:dyDescent="0.15">
      <c r="A57" s="1" t="s">
        <v>532</v>
      </c>
      <c r="B57" s="1"/>
      <c r="C57" s="1"/>
      <c r="D57" s="13"/>
      <c r="E57" s="21" t="s">
        <v>497</v>
      </c>
      <c r="F57" s="20">
        <v>0.02</v>
      </c>
      <c r="G57" s="20" t="s">
        <v>147</v>
      </c>
      <c r="H57" s="20" t="s">
        <v>182</v>
      </c>
      <c r="I57" s="20" t="s">
        <v>155</v>
      </c>
      <c r="J57" s="20" t="s">
        <v>154</v>
      </c>
      <c r="K57" s="21" t="s">
        <v>497</v>
      </c>
      <c r="L57" s="1"/>
      <c r="M57" s="1"/>
    </row>
    <row r="58" spans="1:13" x14ac:dyDescent="0.15">
      <c r="A58" s="1" t="s">
        <v>156</v>
      </c>
      <c r="B58" s="1"/>
      <c r="C58" s="1"/>
      <c r="D58" s="13"/>
      <c r="E58" s="22">
        <v>14</v>
      </c>
      <c r="F58" s="22">
        <v>12</v>
      </c>
      <c r="G58" s="20" t="s">
        <v>292</v>
      </c>
      <c r="H58" s="20" t="s">
        <v>292</v>
      </c>
      <c r="I58" s="1" t="s">
        <v>292</v>
      </c>
      <c r="J58" s="22" t="s">
        <v>290</v>
      </c>
      <c r="K58" s="22">
        <v>14</v>
      </c>
      <c r="L58" s="1"/>
      <c r="M58" s="1"/>
    </row>
    <row r="59" spans="1:13" x14ac:dyDescent="0.15">
      <c r="A59" s="1" t="s">
        <v>553</v>
      </c>
      <c r="B59" s="1"/>
      <c r="C59" s="1"/>
      <c r="D59" s="13"/>
      <c r="E59" s="21" t="s">
        <v>554</v>
      </c>
      <c r="F59" s="21" t="s">
        <v>497</v>
      </c>
      <c r="G59" s="21" t="s">
        <v>497</v>
      </c>
      <c r="H59" s="21" t="s">
        <v>497</v>
      </c>
      <c r="I59" s="21" t="s">
        <v>291</v>
      </c>
      <c r="J59" s="21" t="s">
        <v>497</v>
      </c>
      <c r="K59" s="21" t="s">
        <v>291</v>
      </c>
      <c r="L59" s="1"/>
      <c r="M59" s="1"/>
    </row>
    <row r="60" spans="1:13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"/>
      <c r="M60" s="1"/>
    </row>
  </sheetData>
  <sheetProtection algorithmName="SHA-512" hashValue="JAjxPJOhzJQN+iVT7KaTK7HTVV9RI354jpRFqRtYtIpo6yv4AfTUMe3u7hBcqmocLBDpnsitMaTkwvVBleJICg==" saltValue="DD9MgXLWnGBsiCeFCAHYrg==" spinCount="100000" sheet="1" objects="1" scenarios="1"/>
  <phoneticPr fontId="6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1950B-62BC-7F47-BC19-A3DA556A8D19}">
  <sheetPr codeName="Sheet25"/>
  <dimension ref="A1:TJ10170"/>
  <sheetViews>
    <sheetView zoomScale="150" zoomScaleNormal="15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Q1" sqref="Q1:T1048576"/>
    </sheetView>
  </sheetViews>
  <sheetFormatPr baseColWidth="10" defaultRowHeight="14" x14ac:dyDescent="0.15"/>
  <cols>
    <col min="1" max="1" width="20.33203125" style="219" customWidth="1"/>
    <col min="2" max="2" width="21.6640625" style="219" bestFit="1" customWidth="1"/>
    <col min="3" max="9" width="11.83203125" style="219" customWidth="1"/>
    <col min="10" max="11" width="11.83203125" style="219" hidden="1" customWidth="1"/>
    <col min="12" max="16" width="11.83203125" style="219" customWidth="1"/>
    <col min="17" max="20" width="11.83203125" style="219" hidden="1" customWidth="1"/>
    <col min="21" max="24" width="11.83203125" style="219" customWidth="1"/>
    <col min="25" max="25" width="12.1640625" customWidth="1"/>
    <col min="531" max="16384" width="10.83203125" style="219"/>
  </cols>
  <sheetData>
    <row r="1" spans="1:42" customFormat="1" ht="13" x14ac:dyDescent="0.15">
      <c r="A1" s="293" t="s">
        <v>848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</row>
    <row r="2" spans="1:42" customFormat="1" ht="13" x14ac:dyDescent="0.15">
      <c r="A2" s="293" t="s">
        <v>849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</row>
    <row r="3" spans="1:42" customFormat="1" thickBot="1" x14ac:dyDescent="0.2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</row>
    <row r="4" spans="1:42" x14ac:dyDescent="0.15">
      <c r="A4" s="116" t="s">
        <v>850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8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</row>
    <row r="5" spans="1:42" x14ac:dyDescent="0.15">
      <c r="A5" s="119" t="s">
        <v>851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20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</row>
    <row r="6" spans="1:42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20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</row>
    <row r="7" spans="1:42" ht="75" x14ac:dyDescent="0.15">
      <c r="A7" s="239" t="s">
        <v>278</v>
      </c>
      <c r="B7" s="240" t="s">
        <v>73</v>
      </c>
      <c r="C7" s="248" t="s">
        <v>74</v>
      </c>
      <c r="D7" s="248" t="s">
        <v>852</v>
      </c>
      <c r="E7" s="248" t="s">
        <v>853</v>
      </c>
      <c r="F7" s="248" t="s">
        <v>854</v>
      </c>
      <c r="G7" s="248" t="s">
        <v>855</v>
      </c>
      <c r="H7" s="248" t="s">
        <v>856</v>
      </c>
      <c r="I7" s="248" t="s">
        <v>958</v>
      </c>
      <c r="J7" s="249" t="s">
        <v>857</v>
      </c>
      <c r="K7" s="249" t="s">
        <v>172</v>
      </c>
      <c r="L7" s="242" t="s">
        <v>858</v>
      </c>
      <c r="M7" s="243" t="s">
        <v>174</v>
      </c>
      <c r="N7" s="243" t="s">
        <v>175</v>
      </c>
      <c r="O7" s="243" t="s">
        <v>76</v>
      </c>
      <c r="P7" s="243" t="s">
        <v>77</v>
      </c>
      <c r="Q7" s="251" t="s">
        <v>859</v>
      </c>
      <c r="R7" s="251" t="s">
        <v>860</v>
      </c>
      <c r="S7" s="250" t="s">
        <v>861</v>
      </c>
      <c r="T7" s="250" t="s">
        <v>862</v>
      </c>
      <c r="U7" s="244" t="s">
        <v>863</v>
      </c>
      <c r="V7" s="244" t="s">
        <v>864</v>
      </c>
      <c r="W7" s="243" t="s">
        <v>359</v>
      </c>
      <c r="X7" s="247" t="s">
        <v>360</v>
      </c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</row>
    <row r="8" spans="1:42" x14ac:dyDescent="0.15">
      <c r="A8" s="199" t="str">
        <f>'Tariff Jul 2022'!K2</f>
        <v>AGL</v>
      </c>
      <c r="B8" s="200" t="str">
        <f>'Tariff Jul 2022'!L2</f>
        <v>Value Saver</v>
      </c>
      <c r="C8" s="201">
        <f>IF('Tariff Jul 2022'!BP2=0,91*'Tariff Jul 2022'!M2/100,(91*'Tariff Jul 2022'!M2/100)+'Tariff Jul 2022'!BP2/4)</f>
        <v>80.551545454545447</v>
      </c>
      <c r="D8" s="201">
        <f>IF('Tariff Jul 2022'!O2="",$C$5*'Tariff Jul 2022'!N2/100,IF($C$5&gt;='Tariff Jul 2022'!P2,('Tariff Jul 2022'!P2*'Tariff Jul 2022'!N2/100),($C$5*'Tariff Jul 2022'!N2/100)))</f>
        <v>468.27272727272725</v>
      </c>
      <c r="E8" s="201">
        <f>IF(AND('Tariff Jul 2022'!P2&gt;0,'Tariff Jul 2022'!R2&gt;0),IF($C$5&lt;'Tariff Jul 2022'!P2,0,IF($C$5&lt;=('Tariff Jul 2022'!R2+'Tariff Jul 2022'!P2),(($C$5-'Tariff Jul 2022'!P2)*'Tariff Jul 2022'!Q2/100),(('Tariff Jul 2022'!R2)*'Tariff Jul 2022'!Q2/100))),0)</f>
        <v>0</v>
      </c>
      <c r="F8" s="202">
        <f>IF(AND('Tariff Jul 2022'!Q2&gt;0,'Tariff Jul 2022'!S2&gt;0),IF($C$5&lt;('Tariff Jul 2022'!R2+'Tariff Jul 2022'!P2),0,IF($C$5&lt;=('Tariff Jul 2022'!T2+'Tariff Jul 2022'!R2+'Tariff Jul 2022'!P2),(($C$5-('Tariff Jul 2022'!R2+'Tariff Jul 2022'!P2))*'Tariff Jul 2022'!S2/100),('Tariff Jul 2022'!T2*'Tariff Jul 2022'!S2/100))),0)</f>
        <v>0</v>
      </c>
      <c r="G8" s="201">
        <v>0</v>
      </c>
      <c r="H8" s="201">
        <f>IF(AND('Tariff Jul 2022'!R2&gt;0,'Tariff Jul 2022'!T2&gt;0),IF(($C$5&lt;'Tariff Jul 2022'!T2),(0),($C$5-'Tariff Jul 2022'!T2)*'Tariff Jul 2022'!U2/100),IF(AND('Tariff Jul 2022'!R2&gt;0,'Tariff Jul 2022'!T2=""),IF(($C$5&lt;'Tariff Jul 2022'!R2+'Tariff Jul 2022'!P2),(0),(($C$5-('Tariff Jul 2022'!R2+'Tariff Jul 2022'!P2))*'Tariff Jul 2022'!S2/100)),IF(AND('Tariff Jul 2022'!P2&gt;0,'Tariff Jul 2022'!R2=""&gt;0),IF(($C$5&lt;'Tariff Jul 2022'!P2),(0),($C$5-'Tariff Jul 2022'!P2)*'Tariff Jul 2022'!Q2/100),0)))</f>
        <v>0</v>
      </c>
      <c r="I8" s="201">
        <f t="shared" ref="I8:I22" si="0">SUM(C8:H8)</f>
        <v>548.82427272727273</v>
      </c>
      <c r="J8" s="252">
        <f t="shared" ref="J8:J22" si="1">(I8-C8)*4</f>
        <v>1873.090909090909</v>
      </c>
      <c r="K8" s="203">
        <f>I8*4</f>
        <v>2195.2970909090909</v>
      </c>
      <c r="L8" s="203">
        <f>K8*1.1</f>
        <v>2414.8268000000003</v>
      </c>
      <c r="M8" s="200">
        <f>'Tariff Jul 2022'!AZ2</f>
        <v>0</v>
      </c>
      <c r="N8" s="200">
        <f>'Tariff Jul 2022'!BA2</f>
        <v>0</v>
      </c>
      <c r="O8" s="200">
        <f>'Tariff Jul 2022'!BB2</f>
        <v>0</v>
      </c>
      <c r="P8" s="200">
        <f>'Tariff Jul 2022'!BC2</f>
        <v>0</v>
      </c>
      <c r="Q8" s="204" t="str">
        <f>IF(SUM(M8:P8)=0,"No discount",IF(M8&gt;0,"Guaranteed off bill",IF(N8&gt;0,"Guaranteed off usage",IF(O8&gt;0,"Pay-on-time off bill","Pay-on-time off usage"))))</f>
        <v>No discount</v>
      </c>
      <c r="R8" s="205" t="str">
        <f t="shared" ref="R8:R22" si="2">IF(OR(A8="Origin Energy",A8="Red Energy",A8="Powershop"),"Inclusive","Exclusive")</f>
        <v>Exclusive</v>
      </c>
      <c r="S8" s="254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2195.2970909090909</v>
      </c>
      <c r="T8" s="25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2195.2970909090909</v>
      </c>
      <c r="U8" s="259">
        <f>S8*1.1</f>
        <v>2414.8268000000003</v>
      </c>
      <c r="V8" s="259">
        <f>T8*1.1</f>
        <v>2414.8268000000003</v>
      </c>
      <c r="W8" s="206">
        <f>'Tariff Jul 2022'!BL2</f>
        <v>0</v>
      </c>
      <c r="X8" s="207" t="str">
        <f>'Tariff Jul 2022'!BM2</f>
        <v>n</v>
      </c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</row>
    <row r="9" spans="1:42" x14ac:dyDescent="0.15">
      <c r="A9" s="199" t="str">
        <f>'Tariff Jul 2022'!K3</f>
        <v>Alinta Energy</v>
      </c>
      <c r="B9" s="200" t="str">
        <f>'Tariff Jul 2022'!L3</f>
        <v>Home Deal</v>
      </c>
      <c r="C9" s="201">
        <f>IF('Tariff Jul 2022'!BP3=0,91*'Tariff Jul 2022'!M3/100,(91*'Tariff Jul 2022'!M3/100)+'Tariff Jul 2022'!BP3/4)</f>
        <v>82.528727272727266</v>
      </c>
      <c r="D9" s="201">
        <f>IF('Tariff Jul 2022'!O3="",$C$5*'Tariff Jul 2022'!N3/100,IF($C$5&gt;='Tariff Jul 2022'!P3,('Tariff Jul 2022'!P3*'Tariff Jul 2022'!N3/100),($C$5*'Tariff Jul 2022'!N3/100)))</f>
        <v>490.09090909090895</v>
      </c>
      <c r="E9" s="201">
        <f>IF(AND('Tariff Jul 2022'!P3&gt;0,'Tariff Jul 2022'!R3&gt;0),IF($C$5&lt;'Tariff Jul 2022'!P3,0,IF($C$5&lt;=('Tariff Jul 2022'!R3+'Tariff Jul 2022'!P3),(($C$5-'Tariff Jul 2022'!P3)*'Tariff Jul 2022'!Q3/100),(('Tariff Jul 2022'!R3)*'Tariff Jul 2022'!Q3/100))),0)</f>
        <v>0</v>
      </c>
      <c r="F9" s="202">
        <f>IF(AND('Tariff Jul 2022'!Q3&gt;0,'Tariff Jul 2022'!S3&gt;0),IF($C$5&lt;('Tariff Jul 2022'!R3+'Tariff Jul 2022'!P3),0,IF($C$5&lt;=('Tariff Jul 2022'!T3+'Tariff Jul 2022'!R3+'Tariff Jul 2022'!P3),(($C$5-('Tariff Jul 2022'!R3+'Tariff Jul 2022'!P3))*'Tariff Jul 2022'!S3/100),('Tariff Jul 2022'!T3*'Tariff Jul 2022'!S3/100))),0)</f>
        <v>0</v>
      </c>
      <c r="G9" s="201">
        <v>0</v>
      </c>
      <c r="H9" s="201">
        <f>IF(AND('Tariff Jul 2022'!R3&gt;0,'Tariff Jul 2022'!T3&gt;0),IF(($C$5&lt;'Tariff Jul 2022'!T3),(0),($C$5-'Tariff Jul 2022'!T3)*'Tariff Jul 2022'!U3/100),IF(AND('Tariff Jul 2022'!R3&gt;0,'Tariff Jul 2022'!T3=""),IF(($C$5&lt;'Tariff Jul 2022'!R3+'Tariff Jul 2022'!P3),(0),(($C$5-('Tariff Jul 2022'!R3+'Tariff Jul 2022'!P3))*'Tariff Jul 2022'!S3/100)),IF(AND('Tariff Jul 2022'!P3&gt;0,'Tariff Jul 2022'!R3=""&gt;0),IF(($C$5&lt;'Tariff Jul 2022'!P3),(0),($C$5-'Tariff Jul 2022'!P3)*'Tariff Jul 2022'!Q3/100),0)))</f>
        <v>0</v>
      </c>
      <c r="I9" s="201">
        <f t="shared" si="0"/>
        <v>572.61963636363623</v>
      </c>
      <c r="J9" s="252">
        <f t="shared" si="1"/>
        <v>1960.3636363636358</v>
      </c>
      <c r="K9" s="203">
        <f t="shared" ref="K9:K22" si="3">I9*4</f>
        <v>2290.4785454545449</v>
      </c>
      <c r="L9" s="203">
        <f t="shared" ref="L9:L22" si="4">K9*1.1</f>
        <v>2519.5263999999997</v>
      </c>
      <c r="M9" s="200">
        <f>'Tariff Jul 2022'!AZ3</f>
        <v>0</v>
      </c>
      <c r="N9" s="200">
        <f>'Tariff Jul 2022'!BA3</f>
        <v>0</v>
      </c>
      <c r="O9" s="200">
        <f>'Tariff Jul 2022'!BB3</f>
        <v>0</v>
      </c>
      <c r="P9" s="200">
        <f>'Tariff Jul 2022'!BC3</f>
        <v>0</v>
      </c>
      <c r="Q9" s="204" t="str">
        <f t="shared" ref="Q9:Q22" si="5">IF(SUM(M9:P9)=0,"No discount",IF(M9&gt;0,"Guaranteed off bill",IF(N9&gt;0,"Guaranteed off usage",IF(O9&gt;0,"Pay-on-time off bill","Pay-on-time off usage"))))</f>
        <v>No discount</v>
      </c>
      <c r="R9" s="205" t="str">
        <f t="shared" si="2"/>
        <v>Exclusive</v>
      </c>
      <c r="S9" s="254">
        <f t="shared" ref="S9:S22" si="6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2290.4785454545449</v>
      </c>
      <c r="T9" s="252">
        <f t="shared" ref="T9:T22" si="7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2290.4785454545449</v>
      </c>
      <c r="U9" s="260">
        <f t="shared" ref="U9:V22" si="8">S9*1.1</f>
        <v>2519.5263999999997</v>
      </c>
      <c r="V9" s="260">
        <f t="shared" si="8"/>
        <v>2519.5263999999997</v>
      </c>
      <c r="W9" s="206">
        <f>'Tariff Jul 2022'!BL3</f>
        <v>0</v>
      </c>
      <c r="X9" s="207" t="str">
        <f>'Tariff Jul 2022'!BM3</f>
        <v>n</v>
      </c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</row>
    <row r="10" spans="1:42" x14ac:dyDescent="0.15">
      <c r="A10" s="199" t="str">
        <f>'Tariff Jul 2022'!K4</f>
        <v>Diamond Energy</v>
      </c>
      <c r="B10" s="200" t="str">
        <f>'Tariff Jul 2022'!L4</f>
        <v>Renewable Saver</v>
      </c>
      <c r="C10" s="201">
        <f>IF('Tariff Jul 2022'!BP4=0,91*'Tariff Jul 2022'!M4/100,(91*'Tariff Jul 2022'!M4/100)+'Tariff Jul 2022'!BP4/4)</f>
        <v>72.8</v>
      </c>
      <c r="D10" s="201">
        <f>IF('Tariff Jul 2022'!O4="",$C$5*'Tariff Jul 2022'!N4/100,IF($C$5&gt;='Tariff Jul 2022'!P4,('Tariff Jul 2022'!P4*'Tariff Jul 2022'!N4/100),($C$5*'Tariff Jul 2022'!N4/100)))</f>
        <v>98.999999999999986</v>
      </c>
      <c r="E10" s="201">
        <f>IF(AND('Tariff Jul 2022'!P4&gt;0,'Tariff Jul 2022'!R4&gt;0),IF($C$5&lt;'Tariff Jul 2022'!P4,0,IF($C$5&lt;=('Tariff Jul 2022'!R4+'Tariff Jul 2022'!P4),(($C$5-'Tariff Jul 2022'!P4)*'Tariff Jul 2022'!Q4/100),(('Tariff Jul 2022'!R4)*'Tariff Jul 2022'!Q4/100))),0)</f>
        <v>246.08181818181819</v>
      </c>
      <c r="F10" s="202">
        <f>IF(AND('Tariff Jul 2022'!Q4&gt;0,'Tariff Jul 2022'!S4&gt;0),IF($C$5&lt;('Tariff Jul 2022'!R4+'Tariff Jul 2022'!P4),0,IF($C$5&lt;=('Tariff Jul 2022'!T4+'Tariff Jul 2022'!R4+'Tariff Jul 2022'!P4),(($C$5-('Tariff Jul 2022'!R4+'Tariff Jul 2022'!P4))*'Tariff Jul 2022'!S4/100),('Tariff Jul 2022'!T4*'Tariff Jul 2022'!S4/100))),0)</f>
        <v>200</v>
      </c>
      <c r="G10" s="201">
        <v>0</v>
      </c>
      <c r="H10" s="201">
        <f>IF(AND('Tariff Jul 2022'!R4&gt;0,'Tariff Jul 2022'!T4&gt;0),IF(($C$5&lt;'Tariff Jul 2022'!T4),(0),($C$5-'Tariff Jul 2022'!T4)*'Tariff Jul 2022'!U4/100),IF(AND('Tariff Jul 2022'!R4&gt;0,'Tariff Jul 2022'!T4=""),IF(($C$5&lt;'Tariff Jul 2022'!R4+'Tariff Jul 2022'!P4),(0),(($C$5-('Tariff Jul 2022'!R4+'Tariff Jul 2022'!P4))*'Tariff Jul 2022'!S4/100)),IF(AND('Tariff Jul 2022'!P4&gt;0,'Tariff Jul 2022'!R4=""&gt;0),IF(($C$5&lt;'Tariff Jul 2022'!P4),(0),($C$5-'Tariff Jul 2022'!P4)*'Tariff Jul 2022'!Q4/100),0)))</f>
        <v>0</v>
      </c>
      <c r="I10" s="201">
        <f t="shared" si="0"/>
        <v>617.88181818181818</v>
      </c>
      <c r="J10" s="252">
        <f t="shared" si="1"/>
        <v>2180.3272727272729</v>
      </c>
      <c r="K10" s="203">
        <f t="shared" si="3"/>
        <v>2471.5272727272727</v>
      </c>
      <c r="L10" s="203">
        <f t="shared" si="4"/>
        <v>2718.6800000000003</v>
      </c>
      <c r="M10" s="200">
        <f>'Tariff Jul 2022'!AZ4</f>
        <v>0</v>
      </c>
      <c r="N10" s="200">
        <f>'Tariff Jul 2022'!BA4</f>
        <v>0</v>
      </c>
      <c r="O10" s="200">
        <f>'Tariff Jul 2022'!BB4</f>
        <v>2</v>
      </c>
      <c r="P10" s="200">
        <f>'Tariff Jul 2022'!BC4</f>
        <v>0</v>
      </c>
      <c r="Q10" s="204" t="str">
        <f t="shared" si="5"/>
        <v>Pay-on-time off bill</v>
      </c>
      <c r="R10" s="205" t="str">
        <f t="shared" si="2"/>
        <v>Exclusive</v>
      </c>
      <c r="S10" s="254">
        <f t="shared" si="6"/>
        <v>2471.5272727272727</v>
      </c>
      <c r="T10" s="252">
        <f t="shared" si="7"/>
        <v>2422.0967272727271</v>
      </c>
      <c r="U10" s="260">
        <f t="shared" si="8"/>
        <v>2718.6800000000003</v>
      </c>
      <c r="V10" s="260">
        <f t="shared" si="8"/>
        <v>2664.3063999999999</v>
      </c>
      <c r="W10" s="206">
        <f>'Tariff Jul 2022'!BL4</f>
        <v>0</v>
      </c>
      <c r="X10" s="207" t="str">
        <f>'Tariff Jul 2022'!BM4</f>
        <v>n</v>
      </c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</row>
    <row r="11" spans="1:42" x14ac:dyDescent="0.15">
      <c r="A11" s="199" t="str">
        <f>'Tariff Jul 2022'!K5</f>
        <v>EnergyAustralia</v>
      </c>
      <c r="B11" s="200" t="str">
        <f>'Tariff Jul 2022'!L5</f>
        <v>Flexi Plan</v>
      </c>
      <c r="C11" s="201">
        <f>IF('Tariff Jul 2022'!BP5=0,91*'Tariff Jul 2022'!M5/100,(91*'Tariff Jul 2022'!M5/100)+'Tariff Jul 2022'!BP5/4)</f>
        <v>76.894999999999996</v>
      </c>
      <c r="D11" s="201">
        <f>IF('Tariff Jul 2022'!O5="",$C$5*'Tariff Jul 2022'!N5/100,IF($C$5&gt;='Tariff Jul 2022'!P5,('Tariff Jul 2022'!P5*'Tariff Jul 2022'!N5/100),($C$5*'Tariff Jul 2022'!N5/100)))</f>
        <v>511.63636363636368</v>
      </c>
      <c r="E11" s="201">
        <f>IF(AND('Tariff Jul 2022'!P5&gt;0,'Tariff Jul 2022'!R5&gt;0),IF($C$5&lt;'Tariff Jul 2022'!P5,0,IF($C$5&lt;=('Tariff Jul 2022'!R5+'Tariff Jul 2022'!P5),(($C$5-'Tariff Jul 2022'!P5)*'Tariff Jul 2022'!Q5/100),(('Tariff Jul 2022'!R5)*'Tariff Jul 2022'!Q5/100))),0)</f>
        <v>0</v>
      </c>
      <c r="F11" s="202">
        <f>IF(AND('Tariff Jul 2022'!Q5&gt;0,'Tariff Jul 2022'!S5&gt;0),IF($C$5&lt;('Tariff Jul 2022'!R5+'Tariff Jul 2022'!P5),0,IF($C$5&lt;=('Tariff Jul 2022'!T5+'Tariff Jul 2022'!R5+'Tariff Jul 2022'!P5),(($C$5-('Tariff Jul 2022'!R5+'Tariff Jul 2022'!P5))*'Tariff Jul 2022'!S5/100),('Tariff Jul 2022'!T5*'Tariff Jul 2022'!S5/100))),0)</f>
        <v>0</v>
      </c>
      <c r="G11" s="201">
        <v>0</v>
      </c>
      <c r="H11" s="201">
        <f>IF(AND('Tariff Jul 2022'!R5&gt;0,'Tariff Jul 2022'!T5&gt;0),IF(($C$5&lt;'Tariff Jul 2022'!T5),(0),($C$5-'Tariff Jul 2022'!T5)*'Tariff Jul 2022'!U5/100),IF(AND('Tariff Jul 2022'!R5&gt;0,'Tariff Jul 2022'!T5=""),IF(($C$5&lt;'Tariff Jul 2022'!R5+'Tariff Jul 2022'!P5),(0),(($C$5-('Tariff Jul 2022'!R5+'Tariff Jul 2022'!P5))*'Tariff Jul 2022'!S5/100)),IF(AND('Tariff Jul 2022'!P5&gt;0,'Tariff Jul 2022'!R5=""&gt;0),IF(($C$5&lt;'Tariff Jul 2022'!P5),(0),($C$5-'Tariff Jul 2022'!P5)*'Tariff Jul 2022'!Q5/100),0)))</f>
        <v>0</v>
      </c>
      <c r="I11" s="201">
        <f t="shared" si="0"/>
        <v>588.53136363636372</v>
      </c>
      <c r="J11" s="252">
        <f t="shared" si="1"/>
        <v>2046.545454545455</v>
      </c>
      <c r="K11" s="203">
        <f t="shared" si="3"/>
        <v>2354.1254545454549</v>
      </c>
      <c r="L11" s="203">
        <f t="shared" si="4"/>
        <v>2589.5380000000005</v>
      </c>
      <c r="M11" s="200">
        <f>'Tariff Jul 2022'!AZ5</f>
        <v>0</v>
      </c>
      <c r="N11" s="200">
        <f>'Tariff Jul 2022'!BA5</f>
        <v>0</v>
      </c>
      <c r="O11" s="200">
        <f>'Tariff Jul 2022'!BB5</f>
        <v>0</v>
      </c>
      <c r="P11" s="200">
        <f>'Tariff Jul 2022'!BC5</f>
        <v>0</v>
      </c>
      <c r="Q11" s="204" t="str">
        <f t="shared" si="5"/>
        <v>No discount</v>
      </c>
      <c r="R11" s="205" t="str">
        <f t="shared" si="2"/>
        <v>Exclusive</v>
      </c>
      <c r="S11" s="254">
        <f t="shared" si="6"/>
        <v>2354.1254545454549</v>
      </c>
      <c r="T11" s="252">
        <f t="shared" si="7"/>
        <v>2354.1254545454549</v>
      </c>
      <c r="U11" s="260">
        <f t="shared" si="8"/>
        <v>2589.5380000000005</v>
      </c>
      <c r="V11" s="260">
        <f t="shared" si="8"/>
        <v>2589.5380000000005</v>
      </c>
      <c r="W11" s="206">
        <f>'Tariff Jul 2022'!BL5</f>
        <v>0</v>
      </c>
      <c r="X11" s="207" t="str">
        <f>'Tariff Jul 2022'!BM5</f>
        <v>n</v>
      </c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</row>
    <row r="12" spans="1:42" x14ac:dyDescent="0.15">
      <c r="A12" s="199" t="str">
        <f>'Tariff Jul 2022'!K6</f>
        <v>Lumo Energy</v>
      </c>
      <c r="B12" s="200" t="str">
        <f>'Tariff Jul 2022'!L6</f>
        <v>Plus</v>
      </c>
      <c r="C12" s="201">
        <f>IF('Tariff Jul 2022'!BP6=0,91*'Tariff Jul 2022'!M6/100,(91*'Tariff Jul 2022'!M6/100)+'Tariff Jul 2022'!BP6/4)</f>
        <v>76.580636363636344</v>
      </c>
      <c r="D12" s="201">
        <f>IF('Tariff Jul 2022'!O6="",$C$5*'Tariff Jul 2022'!N6/100,IF($C$5&gt;='Tariff Jul 2022'!P6,('Tariff Jul 2022'!P6*'Tariff Jul 2022'!N6/100),($C$5*'Tariff Jul 2022'!N6/100)))</f>
        <v>494.72727272727263</v>
      </c>
      <c r="E12" s="201">
        <f>IF(AND('Tariff Jul 2022'!P6&gt;0,'Tariff Jul 2022'!R6&gt;0),IF($C$5&lt;'Tariff Jul 2022'!P6,0,IF($C$5&lt;=('Tariff Jul 2022'!R6+'Tariff Jul 2022'!P6),(($C$5-'Tariff Jul 2022'!P6)*'Tariff Jul 2022'!Q6/100),(('Tariff Jul 2022'!R6)*'Tariff Jul 2022'!Q6/100))),0)</f>
        <v>0</v>
      </c>
      <c r="F12" s="202">
        <f>IF(AND('Tariff Jul 2022'!Q6&gt;0,'Tariff Jul 2022'!S6&gt;0),IF($C$5&lt;('Tariff Jul 2022'!R6+'Tariff Jul 2022'!P6),0,IF($C$5&lt;=('Tariff Jul 2022'!T6+'Tariff Jul 2022'!R6+'Tariff Jul 2022'!P6),(($C$5-('Tariff Jul 2022'!R6+'Tariff Jul 2022'!P6))*'Tariff Jul 2022'!S6/100),('Tariff Jul 2022'!T6*'Tariff Jul 2022'!S6/100))),0)</f>
        <v>0</v>
      </c>
      <c r="G12" s="201">
        <v>0</v>
      </c>
      <c r="H12" s="201">
        <f>IF(AND('Tariff Jul 2022'!R6&gt;0,'Tariff Jul 2022'!T6&gt;0),IF(($C$5&lt;'Tariff Jul 2022'!T6),(0),($C$5-'Tariff Jul 2022'!T6)*'Tariff Jul 2022'!U6/100),IF(AND('Tariff Jul 2022'!R6&gt;0,'Tariff Jul 2022'!T6=""),IF(($C$5&lt;'Tariff Jul 2022'!R6+'Tariff Jul 2022'!P6),(0),(($C$5-('Tariff Jul 2022'!R6+'Tariff Jul 2022'!P6))*'Tariff Jul 2022'!S6/100)),IF(AND('Tariff Jul 2022'!P6&gt;0,'Tariff Jul 2022'!R6=""&gt;0),IF(($C$5&lt;'Tariff Jul 2022'!P6),(0),($C$5-'Tariff Jul 2022'!P6)*'Tariff Jul 2022'!Q6/100),0)))</f>
        <v>0</v>
      </c>
      <c r="I12" s="201">
        <f t="shared" si="0"/>
        <v>571.30790909090899</v>
      </c>
      <c r="J12" s="252">
        <f t="shared" si="1"/>
        <v>1978.9090909090905</v>
      </c>
      <c r="K12" s="203">
        <f t="shared" si="3"/>
        <v>2285.231636363636</v>
      </c>
      <c r="L12" s="203">
        <f t="shared" si="4"/>
        <v>2513.7547999999997</v>
      </c>
      <c r="M12" s="200">
        <f>'Tariff Jul 2022'!AZ6</f>
        <v>0</v>
      </c>
      <c r="N12" s="200">
        <f>'Tariff Jul 2022'!BA6</f>
        <v>0</v>
      </c>
      <c r="O12" s="200">
        <f>'Tariff Jul 2022'!BB6</f>
        <v>0</v>
      </c>
      <c r="P12" s="200">
        <f>'Tariff Jul 2022'!BC6</f>
        <v>0</v>
      </c>
      <c r="Q12" s="204" t="str">
        <f t="shared" si="5"/>
        <v>No discount</v>
      </c>
      <c r="R12" s="205" t="str">
        <f t="shared" si="2"/>
        <v>Exclusive</v>
      </c>
      <c r="S12" s="254">
        <f t="shared" si="6"/>
        <v>2285.231636363636</v>
      </c>
      <c r="T12" s="252">
        <f t="shared" si="7"/>
        <v>2285.231636363636</v>
      </c>
      <c r="U12" s="260">
        <f t="shared" si="8"/>
        <v>2513.7547999999997</v>
      </c>
      <c r="V12" s="260">
        <f t="shared" si="8"/>
        <v>2513.7547999999997</v>
      </c>
      <c r="W12" s="206">
        <f>'Tariff Jul 2022'!BL6</f>
        <v>0</v>
      </c>
      <c r="X12" s="207" t="str">
        <f>'Tariff Jul 2022'!BM6</f>
        <v>n</v>
      </c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</row>
    <row r="13" spans="1:42" x14ac:dyDescent="0.15">
      <c r="A13" s="199" t="str">
        <f>'Tariff Jul 2022'!K7</f>
        <v>Origin Energy</v>
      </c>
      <c r="B13" s="200" t="str">
        <f>'Tariff Jul 2022'!L7</f>
        <v>Go Variable</v>
      </c>
      <c r="C13" s="201">
        <f>IF('Tariff Jul 2022'!BP7=0,91*'Tariff Jul 2022'!M7/100,(91*'Tariff Jul 2022'!M7/100)+'Tariff Jul 2022'!BP7/4)</f>
        <v>73.49490909090909</v>
      </c>
      <c r="D13" s="201">
        <f>IF('Tariff Jul 2022'!O7="",$C$5*'Tariff Jul 2022'!N7/100,IF($C$5&gt;='Tariff Jul 2022'!P7,('Tariff Jul 2022'!P7*'Tariff Jul 2022'!N7/100),($C$5*'Tariff Jul 2022'!N7/100)))</f>
        <v>310.90909090909088</v>
      </c>
      <c r="E13" s="201">
        <f>IF(AND('Tariff Jul 2022'!P7&gt;0,'Tariff Jul 2022'!R7&gt;0),IF($C$5&lt;'Tariff Jul 2022'!P7,0,IF($C$5&lt;=('Tariff Jul 2022'!R7+'Tariff Jul 2022'!P7),(($C$5-'Tariff Jul 2022'!P7)*'Tariff Jul 2022'!Q7/100),(('Tariff Jul 2022'!R7)*'Tariff Jul 2022'!Q7/100))),0)</f>
        <v>0</v>
      </c>
      <c r="F13" s="202">
        <f>IF(AND('Tariff Jul 2022'!Q7&gt;0,'Tariff Jul 2022'!S7&gt;0),IF($C$5&lt;('Tariff Jul 2022'!R7+'Tariff Jul 2022'!P7),0,IF($C$5&lt;=('Tariff Jul 2022'!T7+'Tariff Jul 2022'!R7+'Tariff Jul 2022'!P7),(($C$5-('Tariff Jul 2022'!R7+'Tariff Jul 2022'!P7))*'Tariff Jul 2022'!S7/100),('Tariff Jul 2022'!T7*'Tariff Jul 2022'!S7/100))),0)</f>
        <v>0</v>
      </c>
      <c r="G13" s="201">
        <v>0</v>
      </c>
      <c r="H13" s="201">
        <f>IF(AND('Tariff Jul 2022'!R7&gt;0,'Tariff Jul 2022'!T7&gt;0),IF(($C$5&lt;'Tariff Jul 2022'!T7),(0),($C$5-'Tariff Jul 2022'!T7)*'Tariff Jul 2022'!U7/100),IF(AND('Tariff Jul 2022'!R7&gt;0,'Tariff Jul 2022'!T7=""),IF(($C$5&lt;'Tariff Jul 2022'!R7+'Tariff Jul 2022'!P7),(0),(($C$5-('Tariff Jul 2022'!R7+'Tariff Jul 2022'!P7))*'Tariff Jul 2022'!S7/100)),IF(AND('Tariff Jul 2022'!P7&gt;0,'Tariff Jul 2022'!R7=""&gt;0),IF(($C$5&lt;'Tariff Jul 2022'!P7),(0),($C$5-'Tariff Jul 2022'!P7)*'Tariff Jul 2022'!Q7/100),0)))</f>
        <v>168.04545454545453</v>
      </c>
      <c r="I13" s="201">
        <f t="shared" si="0"/>
        <v>552.4494545454545</v>
      </c>
      <c r="J13" s="252">
        <f t="shared" si="1"/>
        <v>1915.8181818181815</v>
      </c>
      <c r="K13" s="203">
        <f t="shared" si="3"/>
        <v>2209.797818181818</v>
      </c>
      <c r="L13" s="203">
        <f t="shared" si="4"/>
        <v>2430.7775999999999</v>
      </c>
      <c r="M13" s="200">
        <f>'Tariff Jul 2022'!AZ7</f>
        <v>0</v>
      </c>
      <c r="N13" s="200">
        <f>'Tariff Jul 2022'!BA7</f>
        <v>0</v>
      </c>
      <c r="O13" s="200">
        <f>'Tariff Jul 2022'!BB7</f>
        <v>0</v>
      </c>
      <c r="P13" s="200">
        <f>'Tariff Jul 2022'!BC7</f>
        <v>0</v>
      </c>
      <c r="Q13" s="204" t="str">
        <f t="shared" si="5"/>
        <v>No discount</v>
      </c>
      <c r="R13" s="205" t="str">
        <f t="shared" si="2"/>
        <v>Inclusive</v>
      </c>
      <c r="S13" s="254">
        <f t="shared" si="6"/>
        <v>2209.797818181818</v>
      </c>
      <c r="T13" s="252">
        <f t="shared" si="7"/>
        <v>2209.797818181818</v>
      </c>
      <c r="U13" s="260">
        <f t="shared" si="8"/>
        <v>2430.7775999999999</v>
      </c>
      <c r="V13" s="260">
        <f t="shared" si="8"/>
        <v>2430.7775999999999</v>
      </c>
      <c r="W13" s="206">
        <f>'Tariff Jul 2022'!BL7</f>
        <v>0</v>
      </c>
      <c r="X13" s="207" t="str">
        <f>'Tariff Jul 2022'!BM7</f>
        <v>n</v>
      </c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</row>
    <row r="14" spans="1:42" x14ac:dyDescent="0.15">
      <c r="A14" s="199" t="str">
        <f>'Tariff Jul 2022'!K8</f>
        <v>Red Energy</v>
      </c>
      <c r="B14" s="200" t="str">
        <f>'Tariff Jul 2022'!L8</f>
        <v>Living Energy Saver</v>
      </c>
      <c r="C14" s="201">
        <f>IF('Tariff Jul 2022'!BP8=0,91*'Tariff Jul 2022'!M8/100,(91*'Tariff Jul 2022'!M8/100)+'Tariff Jul 2022'!BP8/4)</f>
        <v>74.62</v>
      </c>
      <c r="D14" s="201">
        <f>IF('Tariff Jul 2022'!O8="",$C$5*'Tariff Jul 2022'!N8/100,IF($C$5&gt;='Tariff Jul 2022'!P8,('Tariff Jul 2022'!P8*'Tariff Jul 2022'!N8/100),($C$5*'Tariff Jul 2022'!N8/100)))</f>
        <v>466.5</v>
      </c>
      <c r="E14" s="201">
        <f>IF(AND('Tariff Jul 2022'!P8&gt;0,'Tariff Jul 2022'!R8&gt;0),IF($C$5&lt;'Tariff Jul 2022'!P8,0,IF($C$5&lt;=('Tariff Jul 2022'!R8+'Tariff Jul 2022'!P8),(($C$5-'Tariff Jul 2022'!P8)*'Tariff Jul 2022'!Q8/100),(('Tariff Jul 2022'!R8)*'Tariff Jul 2022'!Q8/100))),0)</f>
        <v>0</v>
      </c>
      <c r="F14" s="202">
        <f>IF(AND('Tariff Jul 2022'!Q8&gt;0,'Tariff Jul 2022'!S8&gt;0),IF($C$5&lt;('Tariff Jul 2022'!R8+'Tariff Jul 2022'!P8),0,IF($C$5&lt;=('Tariff Jul 2022'!T8+'Tariff Jul 2022'!R8+'Tariff Jul 2022'!P8),(($C$5-('Tariff Jul 2022'!R8+'Tariff Jul 2022'!P8))*'Tariff Jul 2022'!S8/100),('Tariff Jul 2022'!T8*'Tariff Jul 2022'!S8/100))),0)</f>
        <v>0</v>
      </c>
      <c r="G14" s="201">
        <v>0</v>
      </c>
      <c r="H14" s="201">
        <f>IF(AND('Tariff Jul 2022'!R8&gt;0,'Tariff Jul 2022'!T8&gt;0),IF(($C$5&lt;'Tariff Jul 2022'!T8),(0),($C$5-'Tariff Jul 2022'!T8)*'Tariff Jul 2022'!U8/100),IF(AND('Tariff Jul 2022'!R8&gt;0,'Tariff Jul 2022'!T8=""),IF(($C$5&lt;'Tariff Jul 2022'!R8+'Tariff Jul 2022'!P8),(0),(($C$5-('Tariff Jul 2022'!R8+'Tariff Jul 2022'!P8))*'Tariff Jul 2022'!S8/100)),IF(AND('Tariff Jul 2022'!P8&gt;0,'Tariff Jul 2022'!R8=""&gt;0),IF(($C$5&lt;'Tariff Jul 2022'!P8),(0),($C$5-'Tariff Jul 2022'!P8)*'Tariff Jul 2022'!Q8/100),0)))</f>
        <v>0</v>
      </c>
      <c r="I14" s="201">
        <f t="shared" si="0"/>
        <v>541.12</v>
      </c>
      <c r="J14" s="252">
        <f t="shared" si="1"/>
        <v>1866</v>
      </c>
      <c r="K14" s="203">
        <f t="shared" si="3"/>
        <v>2164.48</v>
      </c>
      <c r="L14" s="203">
        <f t="shared" si="4"/>
        <v>2380.9280000000003</v>
      </c>
      <c r="M14" s="200">
        <f>'Tariff Jul 2022'!AZ8</f>
        <v>0</v>
      </c>
      <c r="N14" s="200">
        <f>'Tariff Jul 2022'!BA8</f>
        <v>0</v>
      </c>
      <c r="O14" s="200">
        <f>'Tariff Jul 2022'!BB8</f>
        <v>0</v>
      </c>
      <c r="P14" s="200">
        <f>'Tariff Jul 2022'!BC8</f>
        <v>0</v>
      </c>
      <c r="Q14" s="204" t="str">
        <f t="shared" si="5"/>
        <v>No discount</v>
      </c>
      <c r="R14" s="205" t="str">
        <f t="shared" si="2"/>
        <v>Inclusive</v>
      </c>
      <c r="S14" s="254">
        <f t="shared" si="6"/>
        <v>2164.48</v>
      </c>
      <c r="T14" s="252">
        <f t="shared" si="7"/>
        <v>2164.48</v>
      </c>
      <c r="U14" s="260">
        <f t="shared" si="8"/>
        <v>2380.9280000000003</v>
      </c>
      <c r="V14" s="260">
        <f t="shared" si="8"/>
        <v>2380.9280000000003</v>
      </c>
      <c r="W14" s="206">
        <f>'Tariff Jul 2022'!BL8</f>
        <v>0</v>
      </c>
      <c r="X14" s="207" t="str">
        <f>'Tariff Jul 2022'!BM8</f>
        <v>n</v>
      </c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</row>
    <row r="15" spans="1:42" x14ac:dyDescent="0.15">
      <c r="A15" s="199" t="str">
        <f>'Tariff Jul 2022'!K9</f>
        <v>Energy Locals</v>
      </c>
      <c r="B15" s="200" t="str">
        <f>'Tariff Jul 2022'!L9</f>
        <v>Online Member</v>
      </c>
      <c r="C15" s="201">
        <f>IF('Tariff Jul 2022'!BP9=0,91*'Tariff Jul 2022'!M9/100,(91*'Tariff Jul 2022'!M9/100)+'Tariff Jul 2022'!BP9/4)</f>
        <v>101.85727272727271</v>
      </c>
      <c r="D15" s="201">
        <f>IF('Tariff Jul 2022'!O9="",$C$5*'Tariff Jul 2022'!N9/100,IF($C$5&gt;='Tariff Jul 2022'!P9,('Tariff Jul 2022'!P9*'Tariff Jul 2022'!N9/100),($C$5*'Tariff Jul 2022'!N9/100)))</f>
        <v>434.99999999999994</v>
      </c>
      <c r="E15" s="201">
        <f>IF(AND('Tariff Jul 2022'!P9&gt;0,'Tariff Jul 2022'!R9&gt;0),IF($C$5&lt;'Tariff Jul 2022'!P9,0,IF($C$5&lt;=('Tariff Jul 2022'!R9+'Tariff Jul 2022'!P9),(($C$5-'Tariff Jul 2022'!P9)*'Tariff Jul 2022'!Q9/100),(('Tariff Jul 2022'!R9)*'Tariff Jul 2022'!Q9/100))),0)</f>
        <v>0</v>
      </c>
      <c r="F15" s="202">
        <f>IF(AND('Tariff Jul 2022'!Q9&gt;0,'Tariff Jul 2022'!S9&gt;0),IF($C$5&lt;('Tariff Jul 2022'!R9+'Tariff Jul 2022'!P9),0,IF($C$5&lt;=('Tariff Jul 2022'!T9+'Tariff Jul 2022'!R9+'Tariff Jul 2022'!P9),(($C$5-('Tariff Jul 2022'!R9+'Tariff Jul 2022'!P9))*'Tariff Jul 2022'!S9/100),('Tariff Jul 2022'!T9*'Tariff Jul 2022'!S9/100))),0)</f>
        <v>0</v>
      </c>
      <c r="G15" s="201">
        <v>0</v>
      </c>
      <c r="H15" s="201">
        <f>IF(AND('Tariff Jul 2022'!R9&gt;0,'Tariff Jul 2022'!T9&gt;0),IF(($C$5&lt;'Tariff Jul 2022'!T9),(0),($C$5-'Tariff Jul 2022'!T9)*'Tariff Jul 2022'!U9/100),IF(AND('Tariff Jul 2022'!R9&gt;0,'Tariff Jul 2022'!T9=""),IF(($C$5&lt;'Tariff Jul 2022'!R9+'Tariff Jul 2022'!P9),(0),(($C$5-('Tariff Jul 2022'!R9+'Tariff Jul 2022'!P9))*'Tariff Jul 2022'!S9/100)),IF(AND('Tariff Jul 2022'!P9&gt;0,'Tariff Jul 2022'!R9=""&gt;0),IF(($C$5&lt;'Tariff Jul 2022'!P9),(0),($C$5-'Tariff Jul 2022'!P9)*'Tariff Jul 2022'!Q9/100),0)))</f>
        <v>0</v>
      </c>
      <c r="I15" s="201">
        <f t="shared" si="0"/>
        <v>536.85727272727263</v>
      </c>
      <c r="J15" s="252">
        <f t="shared" si="1"/>
        <v>1739.9999999999995</v>
      </c>
      <c r="K15" s="203">
        <f t="shared" si="3"/>
        <v>2147.4290909090905</v>
      </c>
      <c r="L15" s="203">
        <f t="shared" si="4"/>
        <v>2362.1719999999996</v>
      </c>
      <c r="M15" s="200">
        <f>'Tariff Jul 2022'!AZ9</f>
        <v>0</v>
      </c>
      <c r="N15" s="200">
        <f>'Tariff Jul 2022'!BA9</f>
        <v>0</v>
      </c>
      <c r="O15" s="200">
        <f>'Tariff Jul 2022'!BB9</f>
        <v>0</v>
      </c>
      <c r="P15" s="200">
        <f>'Tariff Jul 2022'!BC9</f>
        <v>0</v>
      </c>
      <c r="Q15" s="204" t="str">
        <f t="shared" si="5"/>
        <v>No discount</v>
      </c>
      <c r="R15" s="205" t="str">
        <f t="shared" si="2"/>
        <v>Exclusive</v>
      </c>
      <c r="S15" s="254">
        <f t="shared" si="6"/>
        <v>2147.4290909090905</v>
      </c>
      <c r="T15" s="252">
        <f t="shared" si="7"/>
        <v>2147.4290909090905</v>
      </c>
      <c r="U15" s="260">
        <f t="shared" si="8"/>
        <v>2362.1719999999996</v>
      </c>
      <c r="V15" s="260">
        <f t="shared" si="8"/>
        <v>2362.1719999999996</v>
      </c>
      <c r="W15" s="206">
        <f>'Tariff Jul 2022'!BL9</f>
        <v>0</v>
      </c>
      <c r="X15" s="207" t="str">
        <f>'Tariff Jul 2022'!BM9</f>
        <v>n</v>
      </c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</row>
    <row r="16" spans="1:42" x14ac:dyDescent="0.15">
      <c r="A16" s="199" t="str">
        <f>'Tariff Jul 2022'!K10</f>
        <v>Simply Energy</v>
      </c>
      <c r="B16" s="200" t="str">
        <f>'Tariff Jul 2022'!L10</f>
        <v>RAA</v>
      </c>
      <c r="C16" s="201">
        <f>IF('Tariff Jul 2022'!BP10=0,91*'Tariff Jul 2022'!M10/100,(91*'Tariff Jul 2022'!M10/100)+'Tariff Jul 2022'!BP10/4)</f>
        <v>90.826272727272737</v>
      </c>
      <c r="D16" s="201">
        <f>IF('Tariff Jul 2022'!O10="",$C$5*'Tariff Jul 2022'!N10/100,IF($C$5&gt;='Tariff Jul 2022'!P10,('Tariff Jul 2022'!P10*'Tariff Jul 2022'!N10/100),($C$5*'Tariff Jul 2022'!N10/100)))</f>
        <v>327.09090909090907</v>
      </c>
      <c r="E16" s="201">
        <f>IF(AND('Tariff Jul 2022'!P10&gt;0,'Tariff Jul 2022'!R10&gt;0),IF($C$5&lt;'Tariff Jul 2022'!P10,0,IF($C$5&lt;=('Tariff Jul 2022'!R10+'Tariff Jul 2022'!P10),(($C$5-'Tariff Jul 2022'!P10)*'Tariff Jul 2022'!Q10/100),(('Tariff Jul 2022'!R10)*'Tariff Jul 2022'!Q10/100))),0)</f>
        <v>0</v>
      </c>
      <c r="F16" s="202">
        <f>IF(AND('Tariff Jul 2022'!Q10&gt;0,'Tariff Jul 2022'!S10&gt;0),IF($C$5&lt;('Tariff Jul 2022'!R10+'Tariff Jul 2022'!P10),0,IF($C$5&lt;=('Tariff Jul 2022'!T10+'Tariff Jul 2022'!R10+'Tariff Jul 2022'!P10),(($C$5-('Tariff Jul 2022'!R10+'Tariff Jul 2022'!P10))*'Tariff Jul 2022'!S10/100),('Tariff Jul 2022'!T10*'Tariff Jul 2022'!S10/100))),0)</f>
        <v>0</v>
      </c>
      <c r="G16" s="201">
        <v>0</v>
      </c>
      <c r="H16" s="201">
        <f>IF(AND('Tariff Jul 2022'!R10&gt;0,'Tariff Jul 2022'!T10&gt;0),IF(($C$5&lt;'Tariff Jul 2022'!T10),(0),($C$5-'Tariff Jul 2022'!T10)*'Tariff Jul 2022'!U10/100),IF(AND('Tariff Jul 2022'!R10&gt;0,'Tariff Jul 2022'!T10=""),IF(($C$5&lt;'Tariff Jul 2022'!R10+'Tariff Jul 2022'!P10),(0),(($C$5-('Tariff Jul 2022'!R10+'Tariff Jul 2022'!P10))*'Tariff Jul 2022'!S10/100)),IF(AND('Tariff Jul 2022'!P10&gt;0,'Tariff Jul 2022'!R10=""&gt;0),IF(($C$5&lt;'Tariff Jul 2022'!P10),(0),($C$5-'Tariff Jul 2022'!P10)*'Tariff Jul 2022'!Q10/100),0)))</f>
        <v>171.04545454545456</v>
      </c>
      <c r="I16" s="201">
        <f t="shared" si="0"/>
        <v>588.96263636363642</v>
      </c>
      <c r="J16" s="252">
        <f t="shared" si="1"/>
        <v>1992.5454545454547</v>
      </c>
      <c r="K16" s="203">
        <f t="shared" si="3"/>
        <v>2355.8505454545457</v>
      </c>
      <c r="L16" s="203">
        <f t="shared" si="4"/>
        <v>2591.4356000000002</v>
      </c>
      <c r="M16" s="200">
        <f>'Tariff Jul 2022'!AZ10</f>
        <v>1</v>
      </c>
      <c r="N16" s="200">
        <f>'Tariff Jul 2022'!BA10</f>
        <v>0</v>
      </c>
      <c r="O16" s="200">
        <f>'Tariff Jul 2022'!BB10</f>
        <v>0</v>
      </c>
      <c r="P16" s="200">
        <f>'Tariff Jul 2022'!BC10</f>
        <v>0</v>
      </c>
      <c r="Q16" s="204" t="str">
        <f t="shared" si="5"/>
        <v>Guaranteed off bill</v>
      </c>
      <c r="R16" s="205" t="str">
        <f t="shared" si="2"/>
        <v>Exclusive</v>
      </c>
      <c r="S16" s="254">
        <f t="shared" si="6"/>
        <v>2332.2920400000003</v>
      </c>
      <c r="T16" s="252">
        <f t="shared" si="7"/>
        <v>2332.2920400000003</v>
      </c>
      <c r="U16" s="260">
        <f t="shared" si="8"/>
        <v>2565.5212440000005</v>
      </c>
      <c r="V16" s="260">
        <f t="shared" si="8"/>
        <v>2565.5212440000005</v>
      </c>
      <c r="W16" s="206">
        <f>'Tariff Jul 2022'!BL10</f>
        <v>0</v>
      </c>
      <c r="X16" s="207" t="str">
        <f>'Tariff Jul 2022'!BM10</f>
        <v>n</v>
      </c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</row>
    <row r="17" spans="1:42" x14ac:dyDescent="0.15">
      <c r="A17" s="199" t="str">
        <f>'Tariff Jul 2022'!K11</f>
        <v>Powershop</v>
      </c>
      <c r="B17" s="200" t="str">
        <f>'Tariff Jul 2022'!L11</f>
        <v>Carbon neutral</v>
      </c>
      <c r="C17" s="201">
        <f>IF('Tariff Jul 2022'!BP11=0,91*'Tariff Jul 2022'!M11/100,(91*'Tariff Jul 2022'!M11/100)+'Tariff Jul 2022'!BP11/4)</f>
        <v>105.34490909090908</v>
      </c>
      <c r="D17" s="201">
        <f>IF('Tariff Jul 2022'!O11="",$C$5*'Tariff Jul 2022'!N11/100,IF($C$5&gt;='Tariff Jul 2022'!P11,('Tariff Jul 2022'!P11*'Tariff Jul 2022'!N11/100),($C$5*'Tariff Jul 2022'!N11/100)))</f>
        <v>454.90909090909088</v>
      </c>
      <c r="E17" s="201">
        <f>IF(AND('Tariff Jul 2022'!P11&gt;0,'Tariff Jul 2022'!R11&gt;0),IF($C$5&lt;'Tariff Jul 2022'!P11,0,IF($C$5&lt;=('Tariff Jul 2022'!R11+'Tariff Jul 2022'!P11),(($C$5-'Tariff Jul 2022'!P11)*'Tariff Jul 2022'!Q11/100),(('Tariff Jul 2022'!R11)*'Tariff Jul 2022'!Q11/100))),0)</f>
        <v>0</v>
      </c>
      <c r="F17" s="202">
        <f>IF(AND('Tariff Jul 2022'!Q11&gt;0,'Tariff Jul 2022'!S11&gt;0),IF($C$5&lt;('Tariff Jul 2022'!R11+'Tariff Jul 2022'!P11),0,IF($C$5&lt;=('Tariff Jul 2022'!T11+'Tariff Jul 2022'!R11+'Tariff Jul 2022'!P11),(($C$5-('Tariff Jul 2022'!R11+'Tariff Jul 2022'!P11))*'Tariff Jul 2022'!S11/100),('Tariff Jul 2022'!T11*'Tariff Jul 2022'!S11/100))),0)</f>
        <v>0</v>
      </c>
      <c r="G17" s="201">
        <v>0</v>
      </c>
      <c r="H17" s="201">
        <f>IF(AND('Tariff Jul 2022'!R11&gt;0,'Tariff Jul 2022'!T11&gt;0),IF(($C$5&lt;'Tariff Jul 2022'!T11),(0),($C$5-'Tariff Jul 2022'!T11)*'Tariff Jul 2022'!U11/100),IF(AND('Tariff Jul 2022'!R11&gt;0,'Tariff Jul 2022'!T11=""),IF(($C$5&lt;'Tariff Jul 2022'!R11+'Tariff Jul 2022'!P11),(0),(($C$5-('Tariff Jul 2022'!R11+'Tariff Jul 2022'!P11))*'Tariff Jul 2022'!S11/100)),IF(AND('Tariff Jul 2022'!P11&gt;0,'Tariff Jul 2022'!R11=""&gt;0),IF(($C$5&lt;'Tariff Jul 2022'!P11),(0),($C$5-'Tariff Jul 2022'!P11)*'Tariff Jul 2022'!Q11/100),0)))</f>
        <v>0</v>
      </c>
      <c r="I17" s="201">
        <f t="shared" si="0"/>
        <v>560.25399999999991</v>
      </c>
      <c r="J17" s="252">
        <f t="shared" si="1"/>
        <v>1819.6363636363633</v>
      </c>
      <c r="K17" s="203">
        <f t="shared" si="3"/>
        <v>2241.0159999999996</v>
      </c>
      <c r="L17" s="203">
        <f t="shared" si="4"/>
        <v>2465.1175999999996</v>
      </c>
      <c r="M17" s="200">
        <f>'Tariff Jul 2022'!AZ11</f>
        <v>0</v>
      </c>
      <c r="N17" s="200">
        <f>'Tariff Jul 2022'!BA11</f>
        <v>0</v>
      </c>
      <c r="O17" s="200">
        <f>'Tariff Jul 2022'!BB11</f>
        <v>0</v>
      </c>
      <c r="P17" s="200">
        <f>'Tariff Jul 2022'!BC11</f>
        <v>0</v>
      </c>
      <c r="Q17" s="204" t="str">
        <f t="shared" si="5"/>
        <v>No discount</v>
      </c>
      <c r="R17" s="205" t="str">
        <f t="shared" si="2"/>
        <v>Inclusive</v>
      </c>
      <c r="S17" s="254">
        <f t="shared" si="6"/>
        <v>2241.0159999999996</v>
      </c>
      <c r="T17" s="252">
        <f t="shared" si="7"/>
        <v>2241.0159999999996</v>
      </c>
      <c r="U17" s="260">
        <f t="shared" si="8"/>
        <v>2465.1175999999996</v>
      </c>
      <c r="V17" s="260">
        <f t="shared" si="8"/>
        <v>2465.1175999999996</v>
      </c>
      <c r="W17" s="206">
        <f>'Tariff Jul 2022'!BL11</f>
        <v>0</v>
      </c>
      <c r="X17" s="207" t="str">
        <f>'Tariff Jul 2022'!BM11</f>
        <v>n</v>
      </c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</row>
    <row r="18" spans="1:42" x14ac:dyDescent="0.15">
      <c r="A18" s="199" t="str">
        <f>'Tariff Jul 2022'!K12</f>
        <v>Amber Electric</v>
      </c>
      <c r="B18" s="200" t="str">
        <f>'Tariff Jul 2022'!L12</f>
        <v>Amber Plan</v>
      </c>
      <c r="C18" s="201">
        <f>IF('Tariff Jul 2022'!BP12=0,91*'Tariff Jul 2022'!M12/100,(91*'Tariff Jul 2022'!M12/100)+'Tariff Jul 2022'!BP12/4)</f>
        <v>135.55736363636362</v>
      </c>
      <c r="D18" s="201">
        <f>IF('Tariff Jul 2022'!O12="",$C$5*'Tariff Jul 2022'!N12/100,IF($C$5&gt;='Tariff Jul 2022'!P12,('Tariff Jul 2022'!P12*'Tariff Jul 2022'!N12/100),($C$5*'Tariff Jul 2022'!N12/100)))</f>
        <v>558.5454545454545</v>
      </c>
      <c r="E18" s="201">
        <f>IF(AND('Tariff Jul 2022'!P12&gt;0,'Tariff Jul 2022'!R12&gt;0),IF($C$5&lt;'Tariff Jul 2022'!P12,0,IF($C$5&lt;=('Tariff Jul 2022'!R12+'Tariff Jul 2022'!P12),(($C$5-'Tariff Jul 2022'!P12)*'Tariff Jul 2022'!Q12/100),(('Tariff Jul 2022'!R12)*'Tariff Jul 2022'!Q12/100))),0)</f>
        <v>0</v>
      </c>
      <c r="F18" s="202">
        <f>IF(AND('Tariff Jul 2022'!Q12&gt;0,'Tariff Jul 2022'!S12&gt;0),IF($C$5&lt;('Tariff Jul 2022'!R12+'Tariff Jul 2022'!P12),0,IF($C$5&lt;=('Tariff Jul 2022'!T12+'Tariff Jul 2022'!R12+'Tariff Jul 2022'!P12),(($C$5-('Tariff Jul 2022'!R12+'Tariff Jul 2022'!P12))*'Tariff Jul 2022'!S12/100),('Tariff Jul 2022'!T12*'Tariff Jul 2022'!S12/100))),0)</f>
        <v>0</v>
      </c>
      <c r="G18" s="201">
        <v>0</v>
      </c>
      <c r="H18" s="201">
        <f>IF(AND('Tariff Jul 2022'!R12&gt;0,'Tariff Jul 2022'!T12&gt;0),IF(($C$5&lt;'Tariff Jul 2022'!T12),(0),($C$5-'Tariff Jul 2022'!T12)*'Tariff Jul 2022'!U12/100),IF(AND('Tariff Jul 2022'!R12&gt;0,'Tariff Jul 2022'!T12=""),IF(($C$5&lt;'Tariff Jul 2022'!R12+'Tariff Jul 2022'!P12),(0),(($C$5-('Tariff Jul 2022'!R12+'Tariff Jul 2022'!P12))*'Tariff Jul 2022'!S12/100)),IF(AND('Tariff Jul 2022'!P12&gt;0,'Tariff Jul 2022'!R12=""&gt;0),IF(($C$5&lt;'Tariff Jul 2022'!P12),(0),($C$5-'Tariff Jul 2022'!P12)*'Tariff Jul 2022'!Q12/100),0)))</f>
        <v>0</v>
      </c>
      <c r="I18" s="201">
        <f t="shared" si="0"/>
        <v>694.10281818181807</v>
      </c>
      <c r="J18" s="252">
        <f t="shared" si="1"/>
        <v>2234.181818181818</v>
      </c>
      <c r="K18" s="203">
        <f t="shared" si="3"/>
        <v>2776.4112727272723</v>
      </c>
      <c r="L18" s="203">
        <f t="shared" si="4"/>
        <v>3054.0523999999996</v>
      </c>
      <c r="M18" s="200">
        <f>'Tariff Jul 2022'!AZ12</f>
        <v>0</v>
      </c>
      <c r="N18" s="200">
        <f>'Tariff Jul 2022'!BA12</f>
        <v>0</v>
      </c>
      <c r="O18" s="200">
        <f>'Tariff Jul 2022'!BB12</f>
        <v>0</v>
      </c>
      <c r="P18" s="200">
        <f>'Tariff Jul 2022'!BC12</f>
        <v>0</v>
      </c>
      <c r="Q18" s="204" t="str">
        <f t="shared" si="5"/>
        <v>No discount</v>
      </c>
      <c r="R18" s="205" t="str">
        <f t="shared" si="2"/>
        <v>Exclusive</v>
      </c>
      <c r="S18" s="254">
        <f t="shared" si="6"/>
        <v>2776.4112727272723</v>
      </c>
      <c r="T18" s="252">
        <f t="shared" si="7"/>
        <v>2776.4112727272723</v>
      </c>
      <c r="U18" s="260">
        <f t="shared" si="8"/>
        <v>3054.0523999999996</v>
      </c>
      <c r="V18" s="260">
        <f t="shared" si="8"/>
        <v>3054.0523999999996</v>
      </c>
      <c r="W18" s="206">
        <f>'Tariff Jul 2022'!BL12</f>
        <v>0</v>
      </c>
      <c r="X18" s="207" t="str">
        <f>'Tariff Jul 2022'!BM12</f>
        <v>n</v>
      </c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</row>
    <row r="19" spans="1:42" x14ac:dyDescent="0.15">
      <c r="A19" s="199" t="str">
        <f>'Tariff Jul 2022'!K13</f>
        <v>GloBird Energy</v>
      </c>
      <c r="B19" s="200" t="str">
        <f>'Tariff Jul 2022'!L13</f>
        <v>GloSave</v>
      </c>
      <c r="C19" s="201">
        <f>IF('Tariff Jul 2022'!BP13=0,91*'Tariff Jul 2022'!M13/100,(91*'Tariff Jul 2022'!M13/100)+'Tariff Jul 2022'!BP13/4)</f>
        <v>81.899999999999991</v>
      </c>
      <c r="D19" s="201">
        <f>IF('Tariff Jul 2022'!O13="",$C$5*'Tariff Jul 2022'!N13/100,IF($C$5&gt;='Tariff Jul 2022'!P13,('Tariff Jul 2022'!P13*'Tariff Jul 2022'!N13/100),($C$5*'Tariff Jul 2022'!N13/100)))</f>
        <v>734.99999999999989</v>
      </c>
      <c r="E19" s="201">
        <f>IF(AND('Tariff Jul 2022'!P13&gt;0,'Tariff Jul 2022'!R13&gt;0),IF($C$5&lt;'Tariff Jul 2022'!P13,0,IF($C$5&lt;=('Tariff Jul 2022'!R13+'Tariff Jul 2022'!P13),(($C$5-'Tariff Jul 2022'!P13)*'Tariff Jul 2022'!Q13/100),(('Tariff Jul 2022'!R13)*'Tariff Jul 2022'!Q13/100))),0)</f>
        <v>0</v>
      </c>
      <c r="F19" s="202">
        <f>IF(AND('Tariff Jul 2022'!Q13&gt;0,'Tariff Jul 2022'!S13&gt;0),IF($C$5&lt;('Tariff Jul 2022'!R13+'Tariff Jul 2022'!P13),0,IF($C$5&lt;=('Tariff Jul 2022'!T13+'Tariff Jul 2022'!R13+'Tariff Jul 2022'!P13),(($C$5-('Tariff Jul 2022'!R13+'Tariff Jul 2022'!P13))*'Tariff Jul 2022'!S13/100),('Tariff Jul 2022'!T13*'Tariff Jul 2022'!S13/100))),0)</f>
        <v>0</v>
      </c>
      <c r="G19" s="201">
        <v>0</v>
      </c>
      <c r="H19" s="201">
        <f>IF(AND('Tariff Jul 2022'!R13&gt;0,'Tariff Jul 2022'!T13&gt;0),IF(($C$5&lt;'Tariff Jul 2022'!T13),(0),($C$5-'Tariff Jul 2022'!T13)*'Tariff Jul 2022'!U13/100),IF(AND('Tariff Jul 2022'!R13&gt;0,'Tariff Jul 2022'!T13=""),IF(($C$5&lt;'Tariff Jul 2022'!R13+'Tariff Jul 2022'!P13),(0),(($C$5-('Tariff Jul 2022'!R13+'Tariff Jul 2022'!P13))*'Tariff Jul 2022'!S13/100)),IF(AND('Tariff Jul 2022'!P13&gt;0,'Tariff Jul 2022'!R13=""&gt;0),IF(($C$5&lt;'Tariff Jul 2022'!P13),(0),($C$5-'Tariff Jul 2022'!P13)*'Tariff Jul 2022'!Q13/100),0)))</f>
        <v>0</v>
      </c>
      <c r="I19" s="201">
        <f t="shared" si="0"/>
        <v>816.89999999999986</v>
      </c>
      <c r="J19" s="252">
        <f t="shared" si="1"/>
        <v>2939.9999999999995</v>
      </c>
      <c r="K19" s="203">
        <f t="shared" si="3"/>
        <v>3267.5999999999995</v>
      </c>
      <c r="L19" s="203">
        <f t="shared" si="4"/>
        <v>3594.3599999999997</v>
      </c>
      <c r="M19" s="200">
        <f>'Tariff Jul 2022'!AZ13</f>
        <v>0</v>
      </c>
      <c r="N19" s="200">
        <f>'Tariff Jul 2022'!BA13</f>
        <v>0</v>
      </c>
      <c r="O19" s="200">
        <f>'Tariff Jul 2022'!BB13</f>
        <v>0</v>
      </c>
      <c r="P19" s="200">
        <f>'Tariff Jul 2022'!BC13</f>
        <v>0</v>
      </c>
      <c r="Q19" s="204" t="str">
        <f t="shared" si="5"/>
        <v>No discount</v>
      </c>
      <c r="R19" s="205" t="str">
        <f t="shared" si="2"/>
        <v>Exclusive</v>
      </c>
      <c r="S19" s="254">
        <f t="shared" si="6"/>
        <v>3267.5999999999995</v>
      </c>
      <c r="T19" s="252">
        <f t="shared" si="7"/>
        <v>3267.5999999999995</v>
      </c>
      <c r="U19" s="260">
        <f t="shared" si="8"/>
        <v>3594.3599999999997</v>
      </c>
      <c r="V19" s="260">
        <f t="shared" si="8"/>
        <v>3594.3599999999997</v>
      </c>
      <c r="W19" s="206">
        <f>'Tariff Jul 2022'!BL13</f>
        <v>0</v>
      </c>
      <c r="X19" s="207" t="str">
        <f>'Tariff Jul 2022'!BM13</f>
        <v>n</v>
      </c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</row>
    <row r="20" spans="1:42" x14ac:dyDescent="0.15">
      <c r="A20" s="199" t="str">
        <f>'Tariff Jul 2022'!K14</f>
        <v>Kogan Energy</v>
      </c>
      <c r="B20" s="200" t="str">
        <f>'Tariff Jul 2022'!L14</f>
        <v>Free Kogan First Membership</v>
      </c>
      <c r="C20" s="201">
        <f>IF('Tariff Jul 2022'!BP14=0,91*'Tariff Jul 2022'!M14/100,(91*'Tariff Jul 2022'!M14/100)+'Tariff Jul 2022'!BP14/4)</f>
        <v>100.646</v>
      </c>
      <c r="D20" s="201">
        <f>IF('Tariff Jul 2022'!O14="",$C$5*'Tariff Jul 2022'!N14/100,IF($C$5&gt;='Tariff Jul 2022'!P14,('Tariff Jul 2022'!P14*'Tariff Jul 2022'!N14/100),($C$5*'Tariff Jul 2022'!N14/100)))</f>
        <v>466.90909090909088</v>
      </c>
      <c r="E20" s="201">
        <f>IF(AND('Tariff Jul 2022'!P14&gt;0,'Tariff Jul 2022'!R14&gt;0),IF($C$5&lt;'Tariff Jul 2022'!P14,0,IF($C$5&lt;=('Tariff Jul 2022'!R14+'Tariff Jul 2022'!P14),(($C$5-'Tariff Jul 2022'!P14)*'Tariff Jul 2022'!Q14/100),(('Tariff Jul 2022'!R14)*'Tariff Jul 2022'!Q14/100))),0)</f>
        <v>0</v>
      </c>
      <c r="F20" s="202">
        <f>IF(AND('Tariff Jul 2022'!Q14&gt;0,'Tariff Jul 2022'!S14&gt;0),IF($C$5&lt;('Tariff Jul 2022'!R14+'Tariff Jul 2022'!P14),0,IF($C$5&lt;=('Tariff Jul 2022'!T14+'Tariff Jul 2022'!R14+'Tariff Jul 2022'!P14),(($C$5-('Tariff Jul 2022'!R14+'Tariff Jul 2022'!P14))*'Tariff Jul 2022'!S14/100),('Tariff Jul 2022'!T14*'Tariff Jul 2022'!S14/100))),0)</f>
        <v>0</v>
      </c>
      <c r="G20" s="201">
        <v>0</v>
      </c>
      <c r="H20" s="201">
        <f>IF(AND('Tariff Jul 2022'!R14&gt;0,'Tariff Jul 2022'!T14&gt;0),IF(($C$5&lt;'Tariff Jul 2022'!T14),(0),($C$5-'Tariff Jul 2022'!T14)*'Tariff Jul 2022'!U14/100),IF(AND('Tariff Jul 2022'!R14&gt;0,'Tariff Jul 2022'!T14=""),IF(($C$5&lt;'Tariff Jul 2022'!R14+'Tariff Jul 2022'!P14),(0),(($C$5-('Tariff Jul 2022'!R14+'Tariff Jul 2022'!P14))*'Tariff Jul 2022'!S14/100)),IF(AND('Tariff Jul 2022'!P14&gt;0,'Tariff Jul 2022'!R14=""&gt;0),IF(($C$5&lt;'Tariff Jul 2022'!P14),(0),($C$5-'Tariff Jul 2022'!P14)*'Tariff Jul 2022'!Q14/100),0)))</f>
        <v>0</v>
      </c>
      <c r="I20" s="201">
        <f t="shared" si="0"/>
        <v>567.55509090909084</v>
      </c>
      <c r="J20" s="252">
        <f t="shared" si="1"/>
        <v>1867.6363636363633</v>
      </c>
      <c r="K20" s="203">
        <f t="shared" si="3"/>
        <v>2270.2203636363633</v>
      </c>
      <c r="L20" s="203">
        <f t="shared" si="4"/>
        <v>2497.2424000000001</v>
      </c>
      <c r="M20" s="200">
        <f>'Tariff Jul 2022'!AZ14</f>
        <v>0</v>
      </c>
      <c r="N20" s="200">
        <f>'Tariff Jul 2022'!BA14</f>
        <v>0</v>
      </c>
      <c r="O20" s="200">
        <f>'Tariff Jul 2022'!BB14</f>
        <v>0</v>
      </c>
      <c r="P20" s="200">
        <f>'Tariff Jul 2022'!BC14</f>
        <v>0</v>
      </c>
      <c r="Q20" s="204" t="str">
        <f t="shared" si="5"/>
        <v>No discount</v>
      </c>
      <c r="R20" s="205" t="str">
        <f t="shared" si="2"/>
        <v>Exclusive</v>
      </c>
      <c r="S20" s="254">
        <f t="shared" si="6"/>
        <v>2270.2203636363633</v>
      </c>
      <c r="T20" s="252">
        <f t="shared" si="7"/>
        <v>2270.2203636363633</v>
      </c>
      <c r="U20" s="260">
        <f t="shared" si="8"/>
        <v>2497.2424000000001</v>
      </c>
      <c r="V20" s="260">
        <f t="shared" si="8"/>
        <v>2497.2424000000001</v>
      </c>
      <c r="W20" s="206">
        <f>'Tariff Jul 2022'!BL14</f>
        <v>0</v>
      </c>
      <c r="X20" s="207" t="str">
        <f>'Tariff Jul 2022'!BM14</f>
        <v>n</v>
      </c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</row>
    <row r="21" spans="1:42" x14ac:dyDescent="0.15">
      <c r="A21" s="199" t="str">
        <f>'Tariff Jul 2022'!K15</f>
        <v>ReAmped Energy</v>
      </c>
      <c r="B21" s="200" t="str">
        <f>'Tariff Jul 2022'!L15</f>
        <v>Advance</v>
      </c>
      <c r="C21" s="201">
        <f>IF('Tariff Jul 2022'!BP15=0,91*'Tariff Jul 2022'!M15/100,(91*'Tariff Jul 2022'!M15/100)+'Tariff Jul 2022'!BP15/4)</f>
        <v>94.085727272727269</v>
      </c>
      <c r="D21" s="201">
        <f>IF('Tariff Jul 2022'!O15="",$C$5*'Tariff Jul 2022'!N15/100,IF($C$5&gt;='Tariff Jul 2022'!P15,('Tariff Jul 2022'!P15*'Tariff Jul 2022'!N15/100),($C$5*'Tariff Jul 2022'!N15/100)))</f>
        <v>596.59090909090901</v>
      </c>
      <c r="E21" s="201">
        <f>IF(AND('Tariff Jul 2022'!P15&gt;0,'Tariff Jul 2022'!R15&gt;0),IF($C$5&lt;'Tariff Jul 2022'!P15,0,IF($C$5&lt;=('Tariff Jul 2022'!R15+'Tariff Jul 2022'!P15),(($C$5-'Tariff Jul 2022'!P15)*'Tariff Jul 2022'!Q15/100),(('Tariff Jul 2022'!R15)*'Tariff Jul 2022'!Q15/100))),0)</f>
        <v>0</v>
      </c>
      <c r="F21" s="202">
        <f>IF(AND('Tariff Jul 2022'!Q15&gt;0,'Tariff Jul 2022'!S15&gt;0),IF($C$5&lt;('Tariff Jul 2022'!R15+'Tariff Jul 2022'!P15),0,IF($C$5&lt;=('Tariff Jul 2022'!T15+'Tariff Jul 2022'!R15+'Tariff Jul 2022'!P15),(($C$5-('Tariff Jul 2022'!R15+'Tariff Jul 2022'!P15))*'Tariff Jul 2022'!S15/100),('Tariff Jul 2022'!T15*'Tariff Jul 2022'!S15/100))),0)</f>
        <v>0</v>
      </c>
      <c r="G21" s="201">
        <v>0</v>
      </c>
      <c r="H21" s="201">
        <f>IF(AND('Tariff Jul 2022'!R15&gt;0,'Tariff Jul 2022'!T15&gt;0),IF(($C$5&lt;'Tariff Jul 2022'!T15),(0),($C$5-'Tariff Jul 2022'!T15)*'Tariff Jul 2022'!U15/100),IF(AND('Tariff Jul 2022'!R15&gt;0,'Tariff Jul 2022'!T15=""),IF(($C$5&lt;'Tariff Jul 2022'!R15+'Tariff Jul 2022'!P15),(0),(($C$5-('Tariff Jul 2022'!R15+'Tariff Jul 2022'!P15))*'Tariff Jul 2022'!S15/100)),IF(AND('Tariff Jul 2022'!P15&gt;0,'Tariff Jul 2022'!R15=""&gt;0),IF(($C$5&lt;'Tariff Jul 2022'!P15),(0),($C$5-'Tariff Jul 2022'!P15)*'Tariff Jul 2022'!Q15/100),0)))</f>
        <v>0</v>
      </c>
      <c r="I21" s="201">
        <f t="shared" si="0"/>
        <v>690.67663636363625</v>
      </c>
      <c r="J21" s="252">
        <f t="shared" si="1"/>
        <v>2386.363636363636</v>
      </c>
      <c r="K21" s="203">
        <f t="shared" si="3"/>
        <v>2762.706545454545</v>
      </c>
      <c r="L21" s="203">
        <f t="shared" si="4"/>
        <v>3038.9771999999998</v>
      </c>
      <c r="M21" s="200">
        <f>'Tariff Jul 2022'!AZ15</f>
        <v>0</v>
      </c>
      <c r="N21" s="200">
        <f>'Tariff Jul 2022'!BA15</f>
        <v>0</v>
      </c>
      <c r="O21" s="200">
        <f>'Tariff Jul 2022'!BB15</f>
        <v>0</v>
      </c>
      <c r="P21" s="200">
        <f>'Tariff Jul 2022'!BC15</f>
        <v>0</v>
      </c>
      <c r="Q21" s="204" t="str">
        <f t="shared" si="5"/>
        <v>No discount</v>
      </c>
      <c r="R21" s="205" t="str">
        <f t="shared" si="2"/>
        <v>Exclusive</v>
      </c>
      <c r="S21" s="254">
        <f t="shared" si="6"/>
        <v>2762.706545454545</v>
      </c>
      <c r="T21" s="252">
        <f t="shared" si="7"/>
        <v>2762.706545454545</v>
      </c>
      <c r="U21" s="260">
        <f t="shared" si="8"/>
        <v>3038.9771999999998</v>
      </c>
      <c r="V21" s="260">
        <f t="shared" si="8"/>
        <v>3038.9771999999998</v>
      </c>
      <c r="W21" s="206">
        <f>'Tariff Jul 2022'!BL15</f>
        <v>0</v>
      </c>
      <c r="X21" s="207" t="str">
        <f>'Tariff Jul 2022'!BM15</f>
        <v>n</v>
      </c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</row>
    <row r="22" spans="1:42" x14ac:dyDescent="0.15">
      <c r="A22" s="199" t="str">
        <f>'Tariff Jul 2022'!K16</f>
        <v>Circular Energy</v>
      </c>
      <c r="B22" s="200" t="str">
        <f>'Tariff Jul 2022'!L16</f>
        <v>Community Energy</v>
      </c>
      <c r="C22" s="201">
        <f>IF('Tariff Jul 2022'!BP16=0,91*'Tariff Jul 2022'!M16/100,(91*'Tariff Jul 2022'!M16/100)+'Tariff Jul 2022'!BP16/4)</f>
        <v>102.8090909090909</v>
      </c>
      <c r="D22" s="201">
        <f>IF('Tariff Jul 2022'!O16="",$C$5*'Tariff Jul 2022'!N16/100,IF($C$5&gt;='Tariff Jul 2022'!P16,('Tariff Jul 2022'!P16*'Tariff Jul 2022'!N16/100),($C$5*'Tariff Jul 2022'!N16/100)))</f>
        <v>490.36363636363632</v>
      </c>
      <c r="E22" s="201">
        <f>IF(AND('Tariff Jul 2022'!P16&gt;0,'Tariff Jul 2022'!R16&gt;0),IF($C$5&lt;'Tariff Jul 2022'!P16,0,IF($C$5&lt;=('Tariff Jul 2022'!R16+'Tariff Jul 2022'!P16),(($C$5-'Tariff Jul 2022'!P16)*'Tariff Jul 2022'!Q16/100),(('Tariff Jul 2022'!R16)*'Tariff Jul 2022'!Q16/100))),0)</f>
        <v>0</v>
      </c>
      <c r="F22" s="202">
        <f>IF(AND('Tariff Jul 2022'!Q16&gt;0,'Tariff Jul 2022'!S16&gt;0),IF($C$5&lt;('Tariff Jul 2022'!R16+'Tariff Jul 2022'!P16),0,IF($C$5&lt;=('Tariff Jul 2022'!T16+'Tariff Jul 2022'!R16+'Tariff Jul 2022'!P16),(($C$5-('Tariff Jul 2022'!R16+'Tariff Jul 2022'!P16))*'Tariff Jul 2022'!S16/100),('Tariff Jul 2022'!T16*'Tariff Jul 2022'!S16/100))),0)</f>
        <v>0</v>
      </c>
      <c r="G22" s="201">
        <v>0</v>
      </c>
      <c r="H22" s="201">
        <f>IF(AND('Tariff Jul 2022'!R16&gt;0,'Tariff Jul 2022'!T16&gt;0),IF(($C$5&lt;'Tariff Jul 2022'!T16),(0),($C$5-'Tariff Jul 2022'!T16)*'Tariff Jul 2022'!U16/100),IF(AND('Tariff Jul 2022'!R16&gt;0,'Tariff Jul 2022'!T16=""),IF(($C$5&lt;'Tariff Jul 2022'!R16+'Tariff Jul 2022'!P16),(0),(($C$5-('Tariff Jul 2022'!R16+'Tariff Jul 2022'!P16))*'Tariff Jul 2022'!S16/100)),IF(AND('Tariff Jul 2022'!P16&gt;0,'Tariff Jul 2022'!R16=""&gt;0),IF(($C$5&lt;'Tariff Jul 2022'!P16),(0),($C$5-'Tariff Jul 2022'!P16)*'Tariff Jul 2022'!Q16/100),0)))</f>
        <v>0</v>
      </c>
      <c r="I22" s="201">
        <f t="shared" si="0"/>
        <v>593.17272727272723</v>
      </c>
      <c r="J22" s="252">
        <f t="shared" si="1"/>
        <v>1961.4545454545453</v>
      </c>
      <c r="K22" s="203">
        <f t="shared" si="3"/>
        <v>2372.6909090909089</v>
      </c>
      <c r="L22" s="203">
        <f t="shared" si="4"/>
        <v>2609.96</v>
      </c>
      <c r="M22" s="200">
        <f>'Tariff Jul 2022'!AZ16</f>
        <v>0</v>
      </c>
      <c r="N22" s="200">
        <f>'Tariff Jul 2022'!BA16</f>
        <v>0</v>
      </c>
      <c r="O22" s="200">
        <f>'Tariff Jul 2022'!BB16</f>
        <v>0</v>
      </c>
      <c r="P22" s="200">
        <f>'Tariff Jul 2022'!BC16</f>
        <v>0</v>
      </c>
      <c r="Q22" s="204" t="str">
        <f t="shared" si="5"/>
        <v>No discount</v>
      </c>
      <c r="R22" s="205" t="str">
        <f t="shared" si="2"/>
        <v>Exclusive</v>
      </c>
      <c r="S22" s="254">
        <f t="shared" si="6"/>
        <v>2372.6909090909089</v>
      </c>
      <c r="T22" s="252">
        <f t="shared" si="7"/>
        <v>2372.6909090909089</v>
      </c>
      <c r="U22" s="260">
        <f t="shared" si="8"/>
        <v>2609.96</v>
      </c>
      <c r="V22" s="260">
        <f t="shared" si="8"/>
        <v>2609.96</v>
      </c>
      <c r="W22" s="206">
        <f>'Tariff Jul 2022'!BL16</f>
        <v>0</v>
      </c>
      <c r="X22" s="207" t="str">
        <f>'Tariff Jul 2022'!BM16</f>
        <v>n</v>
      </c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</row>
    <row r="23" spans="1:42" customFormat="1" x14ac:dyDescent="0.15">
      <c r="A23" s="294"/>
      <c r="B23" s="295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</row>
    <row r="24" spans="1:42" customFormat="1" ht="15" thickBot="1" x14ac:dyDescent="0.2">
      <c r="A24" s="294"/>
      <c r="B24" s="295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</row>
    <row r="25" spans="1:42" x14ac:dyDescent="0.15">
      <c r="A25" s="116" t="s">
        <v>865</v>
      </c>
      <c r="B25" s="117"/>
      <c r="C25" s="117"/>
      <c r="D25" s="137"/>
      <c r="E25" s="137"/>
      <c r="F25" s="137"/>
      <c r="G25" s="138"/>
      <c r="H25" s="138"/>
      <c r="I25" s="117"/>
      <c r="J25" s="117"/>
      <c r="K25" s="138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8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</row>
    <row r="26" spans="1:42" x14ac:dyDescent="0.15">
      <c r="A26" s="119" t="s">
        <v>72</v>
      </c>
      <c r="B26" s="60"/>
      <c r="C26" s="143">
        <v>1875</v>
      </c>
      <c r="D26" s="139"/>
      <c r="E26" s="139"/>
      <c r="F26" s="139"/>
      <c r="G26" s="140"/>
      <c r="H26" s="140"/>
      <c r="I26" s="60"/>
      <c r="J26" s="60"/>
      <c r="K26" s="14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120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</row>
    <row r="27" spans="1:42" x14ac:dyDescent="0.15">
      <c r="A27" s="119" t="s">
        <v>241</v>
      </c>
      <c r="B27" s="60"/>
      <c r="C27" s="144">
        <v>0.8</v>
      </c>
      <c r="D27" s="139"/>
      <c r="E27" s="139"/>
      <c r="F27" s="139"/>
      <c r="G27" s="140"/>
      <c r="H27" s="140"/>
      <c r="I27" s="60"/>
      <c r="J27" s="60"/>
      <c r="K27" s="14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120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</row>
    <row r="28" spans="1:42" x14ac:dyDescent="0.15">
      <c r="A28" s="119" t="s">
        <v>143</v>
      </c>
      <c r="B28" s="60"/>
      <c r="C28" s="144">
        <v>0.2</v>
      </c>
      <c r="D28" s="139"/>
      <c r="E28" s="139"/>
      <c r="F28" s="139"/>
      <c r="G28" s="140"/>
      <c r="H28" s="140"/>
      <c r="I28" s="60"/>
      <c r="J28" s="60"/>
      <c r="K28" s="14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120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</row>
    <row r="29" spans="1:42" x14ac:dyDescent="0.15">
      <c r="A29" s="119"/>
      <c r="B29" s="60"/>
      <c r="C29" s="139"/>
      <c r="D29" s="139"/>
      <c r="E29" s="139"/>
      <c r="F29" s="139"/>
      <c r="G29" s="140"/>
      <c r="H29" s="140"/>
      <c r="I29" s="60"/>
      <c r="J29" s="60"/>
      <c r="K29" s="14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120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</row>
    <row r="30" spans="1:42" ht="75" x14ac:dyDescent="0.15">
      <c r="A30" s="239" t="s">
        <v>278</v>
      </c>
      <c r="B30" s="240" t="s">
        <v>73</v>
      </c>
      <c r="C30" s="248" t="s">
        <v>74</v>
      </c>
      <c r="D30" s="248" t="s">
        <v>852</v>
      </c>
      <c r="E30" s="248" t="s">
        <v>853</v>
      </c>
      <c r="F30" s="248" t="s">
        <v>854</v>
      </c>
      <c r="G30" s="248" t="s">
        <v>856</v>
      </c>
      <c r="H30" s="248" t="s">
        <v>866</v>
      </c>
      <c r="I30" s="248" t="s">
        <v>958</v>
      </c>
      <c r="J30" s="249" t="s">
        <v>857</v>
      </c>
      <c r="K30" s="249" t="s">
        <v>172</v>
      </c>
      <c r="L30" s="242" t="s">
        <v>858</v>
      </c>
      <c r="M30" s="243" t="s">
        <v>174</v>
      </c>
      <c r="N30" s="243" t="s">
        <v>175</v>
      </c>
      <c r="O30" s="243" t="s">
        <v>76</v>
      </c>
      <c r="P30" s="243" t="s">
        <v>77</v>
      </c>
      <c r="Q30" s="251" t="s">
        <v>859</v>
      </c>
      <c r="R30" s="251" t="s">
        <v>860</v>
      </c>
      <c r="S30" s="250" t="s">
        <v>861</v>
      </c>
      <c r="T30" s="250" t="s">
        <v>862</v>
      </c>
      <c r="U30" s="245" t="s">
        <v>353</v>
      </c>
      <c r="V30" s="244" t="s">
        <v>354</v>
      </c>
      <c r="W30" s="246" t="s">
        <v>359</v>
      </c>
      <c r="X30" s="247" t="s">
        <v>360</v>
      </c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</row>
    <row r="31" spans="1:42" x14ac:dyDescent="0.15">
      <c r="A31" s="199" t="str">
        <f>'Tariff Jul 2022'!K17</f>
        <v>AGL</v>
      </c>
      <c r="B31" s="200" t="str">
        <f>'Tariff Jul 2022'!L17</f>
        <v>Value Saver</v>
      </c>
      <c r="C31" s="217">
        <f>IF('Tariff Jul 2022'!BP17=0,91*'Tariff Jul 2022'!M17/100,(91*'Tariff Jul 2022'!M17/100)+'Tariff Jul 2022'!BP17/4)</f>
        <v>80.551545454545447</v>
      </c>
      <c r="D31" s="217">
        <f>IF('Tariff Jul 2022'!O17="",$C$26*$C$27*'Tariff Jul 2022'!N17/100,IF($C$26*$C$27&gt;='Tariff Jul 2022'!P17,('Tariff Jul 2022'!P17*'Tariff Jul 2022'!N17/100),($C$26*$C$27*'Tariff Jul 2022'!N17/100)))</f>
        <v>468.27272727272725</v>
      </c>
      <c r="E31" s="217">
        <f>IF(AND('Tariff Jul 2022'!P17&gt;0,'Tariff Jul 2022'!R17&gt;0),IF($C$26*$C$27&lt;'Tariff Jul 2022'!P17,0,IF($C$26*$C$27&lt;=('Tariff Jul 2022'!R17+'Tariff Jul 2022'!P17),(($C$26*$C$27-'Tariff Jul 2022'!P17)*'Tariff Jul 2022'!Q17/100),(('Tariff Jul 2022'!R17)*'Tariff Jul 2022'!Q17/100))),0)</f>
        <v>0</v>
      </c>
      <c r="F31" s="217">
        <f>IF(AND('Tariff Jul 2022'!Q17&gt;0,'Tariff Jul 2022'!S17&gt;0),IF($C$26*$C$27&lt;('Tariff Jul 2022'!R17+'Tariff Jul 2022'!P17),0,IF($C$26*$C$27&lt;=('Tariff Jul 2022'!T17+'Tariff Jul 2022'!R17+'Tariff Jul 2022'!P17),(($C$26*$C$27-('Tariff Jul 2022'!R17+'Tariff Jul 2022'!P17))*'Tariff Jul 2022'!S17/100),('Tariff Jul 2022'!T17*'Tariff Jul 2022'!S17/100))),0)</f>
        <v>0</v>
      </c>
      <c r="G31" s="217">
        <f>IF(AND('Tariff Jul 2022'!R17&gt;0,'Tariff Jul 2022'!T17&gt;0),IF(($C$26*$C$27&lt;'Tariff Jul 2022'!T17),(0),($C$26*$C$27-'Tariff Jul 2022'!T17)*'Tariff Jul 2022'!U17/100),IF(AND('Tariff Jul 2022'!R17&gt;0,'Tariff Jul 2022'!T17=""),IF(($C$26*$C$27&lt;'Tariff Jul 2022'!R17+'Tariff Jul 2022'!P17),(0),(($C$26*$C$27-('Tariff Jul 2022'!R17+'Tariff Jul 2022'!P17))*'Tariff Jul 2022'!S17/100)),IF(AND('Tariff Jul 2022'!P17&gt;0,'Tariff Jul 2022'!R17=""&gt;0),IF(($C$26*$C$27&lt;'Tariff Jul 2022'!P17),(0),($C$26*$C$27-'Tariff Jul 2022'!P17)*'Tariff Jul 2022'!Q17/100),0)))</f>
        <v>0</v>
      </c>
      <c r="H31" s="217">
        <f>($C$26*$C$28)*'Tariff Jul 2022'!AE17/100</f>
        <v>64.397727272727266</v>
      </c>
      <c r="I31" s="217">
        <f t="shared" ref="I31:I45" si="9">SUM(C31:H31)</f>
        <v>613.22199999999998</v>
      </c>
      <c r="J31" s="252">
        <f t="shared" ref="J31:J45" si="10">(I31-C31)*4</f>
        <v>2130.681818181818</v>
      </c>
      <c r="K31" s="203">
        <f>I31*4</f>
        <v>2452.8879999999999</v>
      </c>
      <c r="L31" s="203">
        <f>K31*1.1</f>
        <v>2698.1768000000002</v>
      </c>
      <c r="M31" s="200">
        <f>'Tariff Jul 2022'!AZ17</f>
        <v>0</v>
      </c>
      <c r="N31" s="200">
        <f>'Tariff Jul 2022'!BA17</f>
        <v>0</v>
      </c>
      <c r="O31" s="200">
        <f>'Tariff Jul 2022'!BB17</f>
        <v>0</v>
      </c>
      <c r="P31" s="200">
        <f>'Tariff Jul 2022'!BC17</f>
        <v>0</v>
      </c>
      <c r="Q31" s="204" t="str">
        <f>IF(SUM(M31:P31)=0,"No discount",IF(M31&gt;0,"Guaranteed off bill",IF(N31&gt;0,"Guaranteed off usage",IF(O31&gt;0,"Pay-on-time off bill","Pay-on-time off usage"))))</f>
        <v>No discount</v>
      </c>
      <c r="R31" s="205" t="str">
        <f>IF(OR(A31="Origin Energy",A31="Red Energy",A31="Powershop"),"Inclusive","Exclusive")</f>
        <v>Exclusive</v>
      </c>
      <c r="S31" s="254">
        <f>IF(AND(Q31="Guaranteed off bill",R31="Inclusive"),((K31*1.1)-((K31*1.1)*M31/100))/1.1,IF(AND(Q31="Guaranteed off usage",R31="Inclusive"),((K31*1.1)-((J31*1.1)*N31/100))/1.1,IF(AND(Q31="Guaranteed off bill",R31="Exclusive"),K31-(K31*M31/100),IF(AND(Q31="Guaranteed off usage",R31="Exclusive"),K31-(J31*N31/100),IF(R31="Inclusive",((K31*1.1))/1.1,K31)))))</f>
        <v>2452.8879999999999</v>
      </c>
      <c r="T31" s="252">
        <f>IF(AND(Q31="Pay-on-time off bill",R31="Inclusive"),((S31*1.1)-((S31*1.1)*O31/100))/1.1,IF(AND(Q31="Pay-on-time off usage",R31="Inclusive"),((S31*1.1)-((J31*1.1)*P31/100))/1.1,IF(AND(Q31="Pay-on-time off bill",R31="Exclusive"),S31-(S31*O31/100),IF(AND(Q31="Pay-on-time off usage",R31="Exclusive"),S31-(J31*P31/100),IF(R31="Inclusive",((S31*1.1))/1.1,S31)))))</f>
        <v>2452.8879999999999</v>
      </c>
      <c r="U31" s="259">
        <f>S31*1.1</f>
        <v>2698.1768000000002</v>
      </c>
      <c r="V31" s="259">
        <f>T31*1.1</f>
        <v>2698.1768000000002</v>
      </c>
      <c r="W31" s="206">
        <f>'Tariff Jul 2022'!BL17</f>
        <v>0</v>
      </c>
      <c r="X31" s="207" t="str">
        <f>'Tariff Jul 2022'!BM17</f>
        <v>n</v>
      </c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</row>
    <row r="32" spans="1:42" x14ac:dyDescent="0.15">
      <c r="A32" s="199" t="str">
        <f>'Tariff Jul 2022'!K18</f>
        <v>Alinta Energy</v>
      </c>
      <c r="B32" s="200" t="str">
        <f>'Tariff Jul 2022'!L18</f>
        <v>Home Deal</v>
      </c>
      <c r="C32" s="217">
        <f>IF('Tariff Jul 2022'!BP18=0,91*'Tariff Jul 2022'!M18/100,(91*'Tariff Jul 2022'!M18/100)+'Tariff Jul 2022'!BP18/4)</f>
        <v>82.528727272727266</v>
      </c>
      <c r="D32" s="217">
        <f>IF('Tariff Jul 2022'!O18="",$C$26*$C$27*'Tariff Jul 2022'!N18/100,IF($C$26*$C$27&gt;='Tariff Jul 2022'!P18,('Tariff Jul 2022'!P18*'Tariff Jul 2022'!N18/100),($C$26*$C$27*'Tariff Jul 2022'!N18/100)))</f>
        <v>490.09090909090895</v>
      </c>
      <c r="E32" s="217">
        <f>IF(AND('Tariff Jul 2022'!P18&gt;0,'Tariff Jul 2022'!R18&gt;0),IF($C$26*$C$27&lt;'Tariff Jul 2022'!P18,0,IF($C$26*$C$27&lt;=('Tariff Jul 2022'!R18+'Tariff Jul 2022'!P18),(($C$26*$C$27-'Tariff Jul 2022'!P18)*'Tariff Jul 2022'!Q18/100),(('Tariff Jul 2022'!R18)*'Tariff Jul 2022'!Q18/100))),0)</f>
        <v>0</v>
      </c>
      <c r="F32" s="217">
        <f>IF(AND('Tariff Jul 2022'!Q18&gt;0,'Tariff Jul 2022'!S18&gt;0),IF($C$26*$C$27&lt;('Tariff Jul 2022'!R18+'Tariff Jul 2022'!P18),0,IF($C$26*$C$27&lt;=('Tariff Jul 2022'!T18+'Tariff Jul 2022'!R18+'Tariff Jul 2022'!P18),(($C$26*$C$27-('Tariff Jul 2022'!R18+'Tariff Jul 2022'!P18))*'Tariff Jul 2022'!S18/100),('Tariff Jul 2022'!T18*'Tariff Jul 2022'!S18/100))),0)</f>
        <v>0</v>
      </c>
      <c r="G32" s="217">
        <f>IF(AND('Tariff Jul 2022'!R18&gt;0,'Tariff Jul 2022'!T18&gt;0),IF(($C$26*$C$27&lt;'Tariff Jul 2022'!T18),(0),($C$26*$C$27-'Tariff Jul 2022'!T18)*'Tariff Jul 2022'!U18/100),IF(AND('Tariff Jul 2022'!R18&gt;0,'Tariff Jul 2022'!T18=""),IF(($C$26*$C$27&lt;'Tariff Jul 2022'!R18+'Tariff Jul 2022'!P18),(0),(($C$26*$C$27-('Tariff Jul 2022'!R18+'Tariff Jul 2022'!P18))*'Tariff Jul 2022'!S18/100)),IF(AND('Tariff Jul 2022'!P18&gt;0,'Tariff Jul 2022'!R18=""&gt;0),IF(($C$26*$C$27&lt;'Tariff Jul 2022'!P18),(0),($C$26*$C$27-'Tariff Jul 2022'!P18)*'Tariff Jul 2022'!Q18/100),0)))</f>
        <v>0</v>
      </c>
      <c r="H32" s="217">
        <f>($C$26*$C$28)*'Tariff Jul 2022'!AE18/100</f>
        <v>67.090909090909093</v>
      </c>
      <c r="I32" s="217">
        <f t="shared" si="9"/>
        <v>639.71054545454535</v>
      </c>
      <c r="J32" s="252">
        <f t="shared" si="10"/>
        <v>2228.7272727272725</v>
      </c>
      <c r="K32" s="203">
        <f t="shared" ref="K32:K45" si="11">I32*4</f>
        <v>2558.8421818181814</v>
      </c>
      <c r="L32" s="203">
        <f t="shared" ref="L32:L45" si="12">K32*1.1</f>
        <v>2814.7263999999996</v>
      </c>
      <c r="M32" s="200">
        <f>'Tariff Jul 2022'!AZ18</f>
        <v>0</v>
      </c>
      <c r="N32" s="200">
        <f>'Tariff Jul 2022'!BA18</f>
        <v>0</v>
      </c>
      <c r="O32" s="200">
        <f>'Tariff Jul 2022'!BB18</f>
        <v>0</v>
      </c>
      <c r="P32" s="200">
        <f>'Tariff Jul 2022'!BC18</f>
        <v>0</v>
      </c>
      <c r="Q32" s="204" t="str">
        <f t="shared" ref="Q32:Q45" si="13">IF(SUM(M32:P32)=0,"No discount",IF(M32&gt;0,"Guaranteed off bill",IF(N32&gt;0,"Guaranteed off usage",IF(O32&gt;0,"Pay-on-time off bill","Pay-on-time off usage"))))</f>
        <v>No discount</v>
      </c>
      <c r="R32" s="205" t="str">
        <f>IF(OR(A32="Origin Energy",A32="Red Energy",A32="Powershop"),"Inclusive","Exclusive")</f>
        <v>Exclusive</v>
      </c>
      <c r="S32" s="254">
        <f t="shared" ref="S32:S45" si="14"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2558.8421818181814</v>
      </c>
      <c r="T32" s="252">
        <f t="shared" ref="T32:T45" si="15"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2558.8421818181814</v>
      </c>
      <c r="U32" s="260">
        <f t="shared" ref="U32:V45" si="16">S32*1.1</f>
        <v>2814.7263999999996</v>
      </c>
      <c r="V32" s="260">
        <f t="shared" si="16"/>
        <v>2814.7263999999996</v>
      </c>
      <c r="W32" s="206">
        <f>'Tariff Jul 2022'!BL18</f>
        <v>0</v>
      </c>
      <c r="X32" s="207" t="str">
        <f>'Tariff Jul 2022'!BM18</f>
        <v>n</v>
      </c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</row>
    <row r="33" spans="1:42" x14ac:dyDescent="0.15">
      <c r="A33" s="199" t="str">
        <f>'Tariff Jul 2022'!K19</f>
        <v>Diamond Energy</v>
      </c>
      <c r="B33" s="200" t="str">
        <f>'Tariff Jul 2022'!L19</f>
        <v>Renewable Saver</v>
      </c>
      <c r="C33" s="217">
        <f>IF('Tariff Jul 2022'!BP19=0,91*'Tariff Jul 2022'!M19/100,(91*'Tariff Jul 2022'!M19/100)+'Tariff Jul 2022'!BP19/4)</f>
        <v>72.8</v>
      </c>
      <c r="D33" s="217">
        <f>IF('Tariff Jul 2022'!O19="",$C$26*$C$27*'Tariff Jul 2022'!N19/100,IF($C$26*$C$27&gt;='Tariff Jul 2022'!P19,('Tariff Jul 2022'!P19*'Tariff Jul 2022'!N19/100),($C$26*$C$27*'Tariff Jul 2022'!N19/100)))</f>
        <v>98.999999999999986</v>
      </c>
      <c r="E33" s="217">
        <f>IF(AND('Tariff Jul 2022'!P19&gt;0,'Tariff Jul 2022'!R19&gt;0),IF($C$26*$C$27&lt;'Tariff Jul 2022'!P19,0,IF($C$26*$C$27&lt;=('Tariff Jul 2022'!R19+'Tariff Jul 2022'!P19),(($C$26*$C$27-'Tariff Jul 2022'!P19)*'Tariff Jul 2022'!Q19/100),(('Tariff Jul 2022'!R19)*'Tariff Jul 2022'!Q19/100))),0)</f>
        <v>246.08181818181819</v>
      </c>
      <c r="F33" s="217">
        <f>IF(AND('Tariff Jul 2022'!Q19&gt;0,'Tariff Jul 2022'!S19&gt;0),IF($C$26*$C$27&lt;('Tariff Jul 2022'!R19+'Tariff Jul 2022'!P19),0,IF($C$26*$C$27&lt;=('Tariff Jul 2022'!T19+'Tariff Jul 2022'!R19+'Tariff Jul 2022'!P19),(($C$26*$C$27-('Tariff Jul 2022'!R19+'Tariff Jul 2022'!P19))*'Tariff Jul 2022'!S19/100),('Tariff Jul 2022'!T19*'Tariff Jul 2022'!S19/100))),0)</f>
        <v>200</v>
      </c>
      <c r="G33" s="217">
        <f>IF(AND('Tariff Jul 2022'!R19&gt;0,'Tariff Jul 2022'!T19&gt;0),IF(($C$26*$C$27&lt;'Tariff Jul 2022'!T19),(0),($C$26*$C$27-'Tariff Jul 2022'!T19)*'Tariff Jul 2022'!U19/100),IF(AND('Tariff Jul 2022'!R19&gt;0,'Tariff Jul 2022'!T19=""),IF(($C$26*$C$27&lt;'Tariff Jul 2022'!R19+'Tariff Jul 2022'!P19),(0),(($C$26*$C$27-('Tariff Jul 2022'!R19+'Tariff Jul 2022'!P19))*'Tariff Jul 2022'!S19/100)),IF(AND('Tariff Jul 2022'!P19&gt;0,'Tariff Jul 2022'!R19=""&gt;0),IF(($C$26*$C$27&lt;'Tariff Jul 2022'!P19),(0),($C$26*$C$27-'Tariff Jul 2022'!P19)*'Tariff Jul 2022'!Q19/100),0)))</f>
        <v>0</v>
      </c>
      <c r="H33" s="217">
        <f>($C$26*$C$28)*'Tariff Jul 2022'!AE19/100</f>
        <v>65.761363636363626</v>
      </c>
      <c r="I33" s="217">
        <f t="shared" si="9"/>
        <v>683.6431818181818</v>
      </c>
      <c r="J33" s="252">
        <f t="shared" si="10"/>
        <v>2443.3727272727274</v>
      </c>
      <c r="K33" s="203">
        <f t="shared" si="11"/>
        <v>2734.5727272727272</v>
      </c>
      <c r="L33" s="203">
        <f t="shared" si="12"/>
        <v>3008.03</v>
      </c>
      <c r="M33" s="200">
        <f>'Tariff Jul 2022'!AZ19</f>
        <v>0</v>
      </c>
      <c r="N33" s="200">
        <f>'Tariff Jul 2022'!BA19</f>
        <v>0</v>
      </c>
      <c r="O33" s="200">
        <f>'Tariff Jul 2022'!BB19</f>
        <v>2</v>
      </c>
      <c r="P33" s="200">
        <f>'Tariff Jul 2022'!BC19</f>
        <v>0</v>
      </c>
      <c r="Q33" s="204" t="str">
        <f t="shared" si="13"/>
        <v>Pay-on-time off bill</v>
      </c>
      <c r="R33" s="205" t="str">
        <f>IF(OR(A33="Origin Energy",A33="Red Energy",A33="Powershop"),"Inclusive","Exclusive")</f>
        <v>Exclusive</v>
      </c>
      <c r="S33" s="254">
        <f t="shared" si="14"/>
        <v>2734.5727272727272</v>
      </c>
      <c r="T33" s="252">
        <f t="shared" si="15"/>
        <v>2679.8812727272725</v>
      </c>
      <c r="U33" s="260">
        <f t="shared" si="16"/>
        <v>3008.03</v>
      </c>
      <c r="V33" s="260">
        <f t="shared" si="16"/>
        <v>2947.8694</v>
      </c>
      <c r="W33" s="206">
        <f>'Tariff Jul 2022'!BL19</f>
        <v>0</v>
      </c>
      <c r="X33" s="207" t="str">
        <f>'Tariff Jul 2022'!BM19</f>
        <v>n</v>
      </c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</row>
    <row r="34" spans="1:42" x14ac:dyDescent="0.15">
      <c r="A34" s="199" t="str">
        <f>'Tariff Jul 2022'!K20</f>
        <v>EnergyAustralia</v>
      </c>
      <c r="B34" s="200" t="str">
        <f>'Tariff Jul 2022'!L20</f>
        <v>Flexi Plan</v>
      </c>
      <c r="C34" s="217">
        <f>IF('Tariff Jul 2022'!BP20=0,91*'Tariff Jul 2022'!M20/100,(91*'Tariff Jul 2022'!M20/100)+'Tariff Jul 2022'!BP20/4)</f>
        <v>76.894999999999996</v>
      </c>
      <c r="D34" s="217">
        <f>IF('Tariff Jul 2022'!O20="",$C$26*$C$27*'Tariff Jul 2022'!N20/100,IF($C$26*$C$27&gt;='Tariff Jul 2022'!P20,('Tariff Jul 2022'!P20*'Tariff Jul 2022'!N20/100),($C$26*$C$27*'Tariff Jul 2022'!N20/100)))</f>
        <v>511.63636363636368</v>
      </c>
      <c r="E34" s="217">
        <f>IF(AND('Tariff Jul 2022'!P20&gt;0,'Tariff Jul 2022'!R20&gt;0),IF($C$26*$C$27&lt;'Tariff Jul 2022'!P20,0,IF($C$26*$C$27&lt;=('Tariff Jul 2022'!R20+'Tariff Jul 2022'!P20),(($C$26*$C$27-'Tariff Jul 2022'!P20)*'Tariff Jul 2022'!Q20/100),(('Tariff Jul 2022'!R20)*'Tariff Jul 2022'!Q20/100))),0)</f>
        <v>0</v>
      </c>
      <c r="F34" s="217">
        <f>IF(AND('Tariff Jul 2022'!Q20&gt;0,'Tariff Jul 2022'!S20&gt;0),IF($C$26*$C$27&lt;('Tariff Jul 2022'!R20+'Tariff Jul 2022'!P20),0,IF($C$26*$C$27&lt;=('Tariff Jul 2022'!T20+'Tariff Jul 2022'!R20+'Tariff Jul 2022'!P20),(($C$26*$C$27-('Tariff Jul 2022'!R20+'Tariff Jul 2022'!P20))*'Tariff Jul 2022'!S20/100),('Tariff Jul 2022'!T20*'Tariff Jul 2022'!S20/100))),0)</f>
        <v>0</v>
      </c>
      <c r="G34" s="217">
        <f>IF(AND('Tariff Jul 2022'!R20&gt;0,'Tariff Jul 2022'!T20&gt;0),IF(($C$26*$C$27&lt;'Tariff Jul 2022'!T20),(0),($C$26*$C$27-'Tariff Jul 2022'!T20)*'Tariff Jul 2022'!U20/100),IF(AND('Tariff Jul 2022'!R20&gt;0,'Tariff Jul 2022'!T20=""),IF(($C$26*$C$27&lt;'Tariff Jul 2022'!R20+'Tariff Jul 2022'!P20),(0),(($C$26*$C$27-('Tariff Jul 2022'!R20+'Tariff Jul 2022'!P20))*'Tariff Jul 2022'!S20/100)),IF(AND('Tariff Jul 2022'!P20&gt;0,'Tariff Jul 2022'!R20=""&gt;0),IF(($C$26*$C$27&lt;'Tariff Jul 2022'!P20),(0),($C$26*$C$27-'Tariff Jul 2022'!P20)*'Tariff Jul 2022'!Q20/100),0)))</f>
        <v>0</v>
      </c>
      <c r="H34" s="217">
        <f>($C$26*$C$28)*'Tariff Jul 2022'!AE20/100</f>
        <v>68.181818181818173</v>
      </c>
      <c r="I34" s="217">
        <f t="shared" si="9"/>
        <v>656.71318181818185</v>
      </c>
      <c r="J34" s="252">
        <f t="shared" si="10"/>
        <v>2319.2727272727275</v>
      </c>
      <c r="K34" s="203">
        <f t="shared" si="11"/>
        <v>2626.8527272727274</v>
      </c>
      <c r="L34" s="203">
        <f t="shared" si="12"/>
        <v>2889.5380000000005</v>
      </c>
      <c r="M34" s="200">
        <f>'Tariff Jul 2022'!AZ20</f>
        <v>0</v>
      </c>
      <c r="N34" s="200">
        <f>'Tariff Jul 2022'!BA20</f>
        <v>0</v>
      </c>
      <c r="O34" s="200">
        <f>'Tariff Jul 2022'!BB20</f>
        <v>0</v>
      </c>
      <c r="P34" s="200">
        <f>'Tariff Jul 2022'!BC20</f>
        <v>0</v>
      </c>
      <c r="Q34" s="204" t="str">
        <f t="shared" si="13"/>
        <v>No discount</v>
      </c>
      <c r="R34" s="205" t="str">
        <f t="shared" ref="R34:R45" si="17">IF(OR(A34="Origin Energy",A34="Red Energy",A34="Powershop"),"Inclusive","Exclusive")</f>
        <v>Exclusive</v>
      </c>
      <c r="S34" s="254">
        <f t="shared" si="14"/>
        <v>2626.8527272727274</v>
      </c>
      <c r="T34" s="252">
        <f t="shared" si="15"/>
        <v>2626.8527272727274</v>
      </c>
      <c r="U34" s="260">
        <f t="shared" si="16"/>
        <v>2889.5380000000005</v>
      </c>
      <c r="V34" s="260">
        <f t="shared" si="16"/>
        <v>2889.5380000000005</v>
      </c>
      <c r="W34" s="206">
        <f>'Tariff Jul 2022'!BL20</f>
        <v>0</v>
      </c>
      <c r="X34" s="207" t="str">
        <f>'Tariff Jul 2022'!BM20</f>
        <v>n</v>
      </c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</row>
    <row r="35" spans="1:42" x14ac:dyDescent="0.15">
      <c r="A35" s="199" t="str">
        <f>'Tariff Jul 2022'!K21</f>
        <v>Lumo Energy</v>
      </c>
      <c r="B35" s="200" t="str">
        <f>'Tariff Jul 2022'!L21</f>
        <v>Plus</v>
      </c>
      <c r="C35" s="217">
        <f>IF('Tariff Jul 2022'!BP21=0,91*'Tariff Jul 2022'!M21/100,(91*'Tariff Jul 2022'!M21/100)+'Tariff Jul 2022'!BP21/4)</f>
        <v>76.580636363636344</v>
      </c>
      <c r="D35" s="217">
        <f>IF('Tariff Jul 2022'!O21="",$C$26*$C$27*'Tariff Jul 2022'!N21/100,IF($C$26*$C$27&gt;='Tariff Jul 2022'!P21,('Tariff Jul 2022'!P21*'Tariff Jul 2022'!N21/100),($C$26*$C$27*'Tariff Jul 2022'!N21/100)))</f>
        <v>494.72727272727263</v>
      </c>
      <c r="E35" s="217">
        <f>IF(AND('Tariff Jul 2022'!P21&gt;0,'Tariff Jul 2022'!R21&gt;0),IF($C$26*$C$27&lt;'Tariff Jul 2022'!P21,0,IF($C$26*$C$27&lt;=('Tariff Jul 2022'!R21+'Tariff Jul 2022'!P21),(($C$26*$C$27-'Tariff Jul 2022'!P21)*'Tariff Jul 2022'!Q21/100),(('Tariff Jul 2022'!R21)*'Tariff Jul 2022'!Q21/100))),0)</f>
        <v>0</v>
      </c>
      <c r="F35" s="217">
        <f>IF(AND('Tariff Jul 2022'!Q21&gt;0,'Tariff Jul 2022'!S21&gt;0),IF($C$26*$C$27&lt;('Tariff Jul 2022'!R21+'Tariff Jul 2022'!P21),0,IF($C$26*$C$27&lt;=('Tariff Jul 2022'!T21+'Tariff Jul 2022'!R21+'Tariff Jul 2022'!P21),(($C$26*$C$27-('Tariff Jul 2022'!R21+'Tariff Jul 2022'!P21))*'Tariff Jul 2022'!S21/100),('Tariff Jul 2022'!T21*'Tariff Jul 2022'!S21/100))),0)</f>
        <v>0</v>
      </c>
      <c r="G35" s="217">
        <f>IF(AND('Tariff Jul 2022'!R21&gt;0,'Tariff Jul 2022'!T21&gt;0),IF(($C$26*$C$27&lt;'Tariff Jul 2022'!T21),(0),($C$26*$C$27-'Tariff Jul 2022'!T21)*'Tariff Jul 2022'!U21/100),IF(AND('Tariff Jul 2022'!R21&gt;0,'Tariff Jul 2022'!T21=""),IF(($C$26*$C$27&lt;'Tariff Jul 2022'!R21+'Tariff Jul 2022'!P21),(0),(($C$26*$C$27-('Tariff Jul 2022'!R21+'Tariff Jul 2022'!P21))*'Tariff Jul 2022'!S21/100)),IF(AND('Tariff Jul 2022'!P21&gt;0,'Tariff Jul 2022'!R21=""&gt;0),IF(($C$26*$C$27&lt;'Tariff Jul 2022'!P21),(0),($C$26*$C$27-'Tariff Jul 2022'!P21)*'Tariff Jul 2022'!Q21/100),0)))</f>
        <v>0</v>
      </c>
      <c r="H35" s="217">
        <f>($C$26*$C$28)*'Tariff Jul 2022'!AE21/100</f>
        <v>67.5</v>
      </c>
      <c r="I35" s="217">
        <f t="shared" si="9"/>
        <v>638.80790909090899</v>
      </c>
      <c r="J35" s="252">
        <f t="shared" si="10"/>
        <v>2248.9090909090905</v>
      </c>
      <c r="K35" s="203">
        <f t="shared" si="11"/>
        <v>2555.231636363636</v>
      </c>
      <c r="L35" s="203">
        <f t="shared" si="12"/>
        <v>2810.7547999999997</v>
      </c>
      <c r="M35" s="200">
        <f>'Tariff Jul 2022'!AZ21</f>
        <v>0</v>
      </c>
      <c r="N35" s="200">
        <f>'Tariff Jul 2022'!BA21</f>
        <v>0</v>
      </c>
      <c r="O35" s="200">
        <f>'Tariff Jul 2022'!BB21</f>
        <v>0</v>
      </c>
      <c r="P35" s="200">
        <f>'Tariff Jul 2022'!BC21</f>
        <v>0</v>
      </c>
      <c r="Q35" s="204" t="str">
        <f t="shared" si="13"/>
        <v>No discount</v>
      </c>
      <c r="R35" s="205" t="str">
        <f t="shared" si="17"/>
        <v>Exclusive</v>
      </c>
      <c r="S35" s="254">
        <f t="shared" si="14"/>
        <v>2555.231636363636</v>
      </c>
      <c r="T35" s="252">
        <f t="shared" si="15"/>
        <v>2555.231636363636</v>
      </c>
      <c r="U35" s="260">
        <f t="shared" si="16"/>
        <v>2810.7547999999997</v>
      </c>
      <c r="V35" s="260">
        <f t="shared" si="16"/>
        <v>2810.7547999999997</v>
      </c>
      <c r="W35" s="206">
        <f>'Tariff Jul 2022'!BL21</f>
        <v>0</v>
      </c>
      <c r="X35" s="207" t="str">
        <f>'Tariff Jul 2022'!BM21</f>
        <v>n</v>
      </c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</row>
    <row r="36" spans="1:42" x14ac:dyDescent="0.15">
      <c r="A36" s="199" t="str">
        <f>'Tariff Jul 2022'!K22</f>
        <v>Origin Energy</v>
      </c>
      <c r="B36" s="200" t="str">
        <f>'Tariff Jul 2022'!L22</f>
        <v>Go Variable</v>
      </c>
      <c r="C36" s="217">
        <f>IF('Tariff Jul 2022'!BP22=0,91*'Tariff Jul 2022'!M22/100,(91*'Tariff Jul 2022'!M22/100)+'Tariff Jul 2022'!BP22/4)</f>
        <v>73.49490909090909</v>
      </c>
      <c r="D36" s="217">
        <f>IF('Tariff Jul 2022'!O22="",$C$26*$C$27*'Tariff Jul 2022'!N22/100,IF($C$26*$C$27&gt;='Tariff Jul 2022'!P22,('Tariff Jul 2022'!P22*'Tariff Jul 2022'!N22/100),($C$26*$C$27*'Tariff Jul 2022'!N22/100)))</f>
        <v>310.90909090909088</v>
      </c>
      <c r="E36" s="217">
        <f>IF(AND('Tariff Jul 2022'!P22&gt;0,'Tariff Jul 2022'!R22&gt;0),IF($C$26*$C$27&lt;'Tariff Jul 2022'!P22,0,IF($C$26*$C$27&lt;=('Tariff Jul 2022'!R22+'Tariff Jul 2022'!P22),(($C$26*$C$27-'Tariff Jul 2022'!P22)*'Tariff Jul 2022'!Q22/100),(('Tariff Jul 2022'!R22)*'Tariff Jul 2022'!Q22/100))),0)</f>
        <v>0</v>
      </c>
      <c r="F36" s="217">
        <f>IF(AND('Tariff Jul 2022'!Q22&gt;0,'Tariff Jul 2022'!S22&gt;0),IF($C$26*$C$27&lt;('Tariff Jul 2022'!R22+'Tariff Jul 2022'!P22),0,IF($C$26*$C$27&lt;=('Tariff Jul 2022'!T22+'Tariff Jul 2022'!R22+'Tariff Jul 2022'!P22),(($C$26*$C$27-('Tariff Jul 2022'!R22+'Tariff Jul 2022'!P22))*'Tariff Jul 2022'!S22/100),('Tariff Jul 2022'!T22*'Tariff Jul 2022'!S22/100))),0)</f>
        <v>0</v>
      </c>
      <c r="G36" s="217">
        <f>IF(AND('Tariff Jul 2022'!R22&gt;0,'Tariff Jul 2022'!T22&gt;0),IF(($C$26*$C$27&lt;'Tariff Jul 2022'!T22),(0),($C$26*$C$27-'Tariff Jul 2022'!T22)*'Tariff Jul 2022'!U22/100),IF(AND('Tariff Jul 2022'!R22&gt;0,'Tariff Jul 2022'!T22=""),IF(($C$26*$C$27&lt;'Tariff Jul 2022'!R22+'Tariff Jul 2022'!P22),(0),(($C$26*$C$27-('Tariff Jul 2022'!R22+'Tariff Jul 2022'!P22))*'Tariff Jul 2022'!S22/100)),IF(AND('Tariff Jul 2022'!P22&gt;0,'Tariff Jul 2022'!R22=""&gt;0),IF(($C$26*$C$27&lt;'Tariff Jul 2022'!P22),(0),($C$26*$C$27-'Tariff Jul 2022'!P22)*'Tariff Jul 2022'!Q22/100),0)))</f>
        <v>168.04545454545453</v>
      </c>
      <c r="H36" s="217">
        <f>($C$26*$C$28)*'Tariff Jul 2022'!AE22/100</f>
        <v>61.738636363636353</v>
      </c>
      <c r="I36" s="217">
        <f t="shared" si="9"/>
        <v>614.18809090909087</v>
      </c>
      <c r="J36" s="252">
        <f t="shared" si="10"/>
        <v>2162.772727272727</v>
      </c>
      <c r="K36" s="203">
        <f t="shared" si="11"/>
        <v>2456.7523636363635</v>
      </c>
      <c r="L36" s="203">
        <f t="shared" si="12"/>
        <v>2702.4276</v>
      </c>
      <c r="M36" s="200">
        <f>'Tariff Jul 2022'!AZ22</f>
        <v>0</v>
      </c>
      <c r="N36" s="200">
        <f>'Tariff Jul 2022'!BA22</f>
        <v>0</v>
      </c>
      <c r="O36" s="200">
        <f>'Tariff Jul 2022'!BB22</f>
        <v>0</v>
      </c>
      <c r="P36" s="200">
        <f>'Tariff Jul 2022'!BC22</f>
        <v>0</v>
      </c>
      <c r="Q36" s="204" t="str">
        <f t="shared" si="13"/>
        <v>No discount</v>
      </c>
      <c r="R36" s="205" t="str">
        <f t="shared" si="17"/>
        <v>Inclusive</v>
      </c>
      <c r="S36" s="254">
        <f t="shared" si="14"/>
        <v>2456.7523636363635</v>
      </c>
      <c r="T36" s="252">
        <f t="shared" si="15"/>
        <v>2456.7523636363635</v>
      </c>
      <c r="U36" s="260">
        <f t="shared" si="16"/>
        <v>2702.4276</v>
      </c>
      <c r="V36" s="260">
        <f t="shared" si="16"/>
        <v>2702.4276</v>
      </c>
      <c r="W36" s="206">
        <f>'Tariff Jul 2022'!BL22</f>
        <v>0</v>
      </c>
      <c r="X36" s="207" t="str">
        <f>'Tariff Jul 2022'!BM22</f>
        <v>n</v>
      </c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</row>
    <row r="37" spans="1:42" x14ac:dyDescent="0.15">
      <c r="A37" s="199" t="str">
        <f>'Tariff Jul 2022'!K23</f>
        <v>Red Energy</v>
      </c>
      <c r="B37" s="200" t="str">
        <f>'Tariff Jul 2022'!L23</f>
        <v>Living Energy Saver</v>
      </c>
      <c r="C37" s="217">
        <f>IF('Tariff Jul 2022'!BP23=0,91*'Tariff Jul 2022'!M23/100,(91*'Tariff Jul 2022'!M23/100)+'Tariff Jul 2022'!BP23/4)</f>
        <v>74.62</v>
      </c>
      <c r="D37" s="217">
        <f>IF('Tariff Jul 2022'!O23="",$C$26*$C$27*'Tariff Jul 2022'!N23/100,IF($C$26*$C$27&gt;='Tariff Jul 2022'!P23,('Tariff Jul 2022'!P23*'Tariff Jul 2022'!N23/100),($C$26*$C$27*'Tariff Jul 2022'!N23/100)))</f>
        <v>466.5</v>
      </c>
      <c r="E37" s="217">
        <f>IF(AND('Tariff Jul 2022'!P23&gt;0,'Tariff Jul 2022'!R23&gt;0),IF($C$26*$C$27&lt;'Tariff Jul 2022'!P23,0,IF($C$26*$C$27&lt;=('Tariff Jul 2022'!R23+'Tariff Jul 2022'!P23),(($C$26*$C$27-'Tariff Jul 2022'!P23)*'Tariff Jul 2022'!Q23/100),(('Tariff Jul 2022'!R23)*'Tariff Jul 2022'!Q23/100))),0)</f>
        <v>0</v>
      </c>
      <c r="F37" s="217">
        <f>IF(AND('Tariff Jul 2022'!Q23&gt;0,'Tariff Jul 2022'!S23&gt;0),IF($C$26*$C$27&lt;('Tariff Jul 2022'!R23+'Tariff Jul 2022'!P23),0,IF($C$26*$C$27&lt;=('Tariff Jul 2022'!T23+'Tariff Jul 2022'!R23+'Tariff Jul 2022'!P23),(($C$26*$C$27-('Tariff Jul 2022'!R23+'Tariff Jul 2022'!P23))*'Tariff Jul 2022'!S23/100),('Tariff Jul 2022'!T23*'Tariff Jul 2022'!S23/100))),0)</f>
        <v>0</v>
      </c>
      <c r="G37" s="217">
        <f>IF(AND('Tariff Jul 2022'!R23&gt;0,'Tariff Jul 2022'!T23&gt;0),IF(($C$26*$C$27&lt;'Tariff Jul 2022'!T23),(0),($C$26*$C$27-'Tariff Jul 2022'!T23)*'Tariff Jul 2022'!U23/100),IF(AND('Tariff Jul 2022'!R23&gt;0,'Tariff Jul 2022'!T23=""),IF(($C$26*$C$27&lt;'Tariff Jul 2022'!R23+'Tariff Jul 2022'!P23),(0),(($C$26*$C$27-('Tariff Jul 2022'!R23+'Tariff Jul 2022'!P23))*'Tariff Jul 2022'!S23/100)),IF(AND('Tariff Jul 2022'!P23&gt;0,'Tariff Jul 2022'!R23=""&gt;0),IF(($C$26*$C$27&lt;'Tariff Jul 2022'!P23),(0),($C$26*$C$27-'Tariff Jul 2022'!P23)*'Tariff Jul 2022'!Q23/100),0)))</f>
        <v>0</v>
      </c>
      <c r="H37" s="217">
        <f>($C$26*$C$28)*'Tariff Jul 2022'!AE23/100</f>
        <v>58.19318181818182</v>
      </c>
      <c r="I37" s="217">
        <f t="shared" si="9"/>
        <v>599.31318181818187</v>
      </c>
      <c r="J37" s="252">
        <f t="shared" si="10"/>
        <v>2098.7727272727275</v>
      </c>
      <c r="K37" s="203">
        <f t="shared" si="11"/>
        <v>2397.2527272727275</v>
      </c>
      <c r="L37" s="203">
        <f t="shared" si="12"/>
        <v>2636.9780000000005</v>
      </c>
      <c r="M37" s="200">
        <f>'Tariff Jul 2022'!AZ23</f>
        <v>0</v>
      </c>
      <c r="N37" s="200">
        <f>'Tariff Jul 2022'!BA23</f>
        <v>0</v>
      </c>
      <c r="O37" s="200">
        <f>'Tariff Jul 2022'!BB23</f>
        <v>0</v>
      </c>
      <c r="P37" s="200">
        <f>'Tariff Jul 2022'!BC23</f>
        <v>0</v>
      </c>
      <c r="Q37" s="204" t="str">
        <f t="shared" si="13"/>
        <v>No discount</v>
      </c>
      <c r="R37" s="205" t="str">
        <f t="shared" si="17"/>
        <v>Inclusive</v>
      </c>
      <c r="S37" s="254">
        <f t="shared" si="14"/>
        <v>2397.2527272727275</v>
      </c>
      <c r="T37" s="252">
        <f t="shared" si="15"/>
        <v>2397.2527272727275</v>
      </c>
      <c r="U37" s="260">
        <f t="shared" si="16"/>
        <v>2636.9780000000005</v>
      </c>
      <c r="V37" s="260">
        <f t="shared" si="16"/>
        <v>2636.9780000000005</v>
      </c>
      <c r="W37" s="206">
        <f>'Tariff Jul 2022'!BL23</f>
        <v>0</v>
      </c>
      <c r="X37" s="207" t="str">
        <f>'Tariff Jul 2022'!BM23</f>
        <v>n</v>
      </c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</row>
    <row r="38" spans="1:42" x14ac:dyDescent="0.15">
      <c r="A38" s="199" t="str">
        <f>'Tariff Jul 2022'!K24</f>
        <v>Energy Locals</v>
      </c>
      <c r="B38" s="200" t="str">
        <f>'Tariff Jul 2022'!L24</f>
        <v>Online Member</v>
      </c>
      <c r="C38" s="217">
        <f>IF('Tariff Jul 2022'!BP24=0,91*'Tariff Jul 2022'!M24/100,(91*'Tariff Jul 2022'!M24/100)+'Tariff Jul 2022'!BP24/4)</f>
        <v>101.85727272727271</v>
      </c>
      <c r="D38" s="217">
        <f>IF('Tariff Jul 2022'!O24="",$C$26*$C$27*'Tariff Jul 2022'!N24/100,IF($C$26*$C$27&gt;='Tariff Jul 2022'!P24,('Tariff Jul 2022'!P24*'Tariff Jul 2022'!N24/100),($C$26*$C$27*'Tariff Jul 2022'!N24/100)))</f>
        <v>434.99999999999994</v>
      </c>
      <c r="E38" s="217">
        <f>IF(AND('Tariff Jul 2022'!P24&gt;0,'Tariff Jul 2022'!R24&gt;0),IF($C$26*$C$27&lt;'Tariff Jul 2022'!P24,0,IF($C$26*$C$27&lt;=('Tariff Jul 2022'!R24+'Tariff Jul 2022'!P24),(($C$26*$C$27-'Tariff Jul 2022'!P24)*'Tariff Jul 2022'!Q24/100),(('Tariff Jul 2022'!R24)*'Tariff Jul 2022'!Q24/100))),0)</f>
        <v>0</v>
      </c>
      <c r="F38" s="217">
        <f>IF(AND('Tariff Jul 2022'!Q24&gt;0,'Tariff Jul 2022'!S24&gt;0),IF($C$26*$C$27&lt;('Tariff Jul 2022'!R24+'Tariff Jul 2022'!P24),0,IF($C$26*$C$27&lt;=('Tariff Jul 2022'!T24+'Tariff Jul 2022'!R24+'Tariff Jul 2022'!P24),(($C$26*$C$27-('Tariff Jul 2022'!R24+'Tariff Jul 2022'!P24))*'Tariff Jul 2022'!S24/100),('Tariff Jul 2022'!T24*'Tariff Jul 2022'!S24/100))),0)</f>
        <v>0</v>
      </c>
      <c r="G38" s="217">
        <f>IF(AND('Tariff Jul 2022'!R24&gt;0,'Tariff Jul 2022'!T24&gt;0),IF(($C$26*$C$27&lt;'Tariff Jul 2022'!T24),(0),($C$26*$C$27-'Tariff Jul 2022'!T24)*'Tariff Jul 2022'!U24/100),IF(AND('Tariff Jul 2022'!R24&gt;0,'Tariff Jul 2022'!T24=""),IF(($C$26*$C$27&lt;'Tariff Jul 2022'!R24+'Tariff Jul 2022'!P24),(0),(($C$26*$C$27-('Tariff Jul 2022'!R24+'Tariff Jul 2022'!P24))*'Tariff Jul 2022'!S24/100)),IF(AND('Tariff Jul 2022'!P24&gt;0,'Tariff Jul 2022'!R24=""&gt;0),IF(($C$26*$C$27&lt;'Tariff Jul 2022'!P24),(0),($C$26*$C$27-'Tariff Jul 2022'!P24)*'Tariff Jul 2022'!Q24/100),0)))</f>
        <v>0</v>
      </c>
      <c r="H38" s="217">
        <f>($C$26*$C$28)*'Tariff Jul 2022'!AE24/100</f>
        <v>80.624999999999986</v>
      </c>
      <c r="I38" s="217">
        <f t="shared" si="9"/>
        <v>617.48227272727263</v>
      </c>
      <c r="J38" s="252">
        <f t="shared" si="10"/>
        <v>2062.4999999999995</v>
      </c>
      <c r="K38" s="203">
        <f t="shared" si="11"/>
        <v>2469.9290909090905</v>
      </c>
      <c r="L38" s="203">
        <f t="shared" si="12"/>
        <v>2716.9219999999996</v>
      </c>
      <c r="M38" s="200">
        <f>'Tariff Jul 2022'!AZ24</f>
        <v>0</v>
      </c>
      <c r="N38" s="200">
        <f>'Tariff Jul 2022'!BA24</f>
        <v>0</v>
      </c>
      <c r="O38" s="200">
        <f>'Tariff Jul 2022'!BB24</f>
        <v>0</v>
      </c>
      <c r="P38" s="200">
        <f>'Tariff Jul 2022'!BC24</f>
        <v>0</v>
      </c>
      <c r="Q38" s="204" t="str">
        <f t="shared" si="13"/>
        <v>No discount</v>
      </c>
      <c r="R38" s="205" t="str">
        <f t="shared" si="17"/>
        <v>Exclusive</v>
      </c>
      <c r="S38" s="254">
        <f t="shared" si="14"/>
        <v>2469.9290909090905</v>
      </c>
      <c r="T38" s="252">
        <f t="shared" si="15"/>
        <v>2469.9290909090905</v>
      </c>
      <c r="U38" s="260">
        <f t="shared" si="16"/>
        <v>2716.9219999999996</v>
      </c>
      <c r="V38" s="260">
        <f t="shared" si="16"/>
        <v>2716.9219999999996</v>
      </c>
      <c r="W38" s="206">
        <f>'Tariff Jul 2022'!BL24</f>
        <v>0</v>
      </c>
      <c r="X38" s="207" t="str">
        <f>'Tariff Jul 2022'!BM24</f>
        <v>n</v>
      </c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</row>
    <row r="39" spans="1:42" x14ac:dyDescent="0.15">
      <c r="A39" s="199" t="str">
        <f>'Tariff Jul 2022'!K25</f>
        <v>Simply Energy</v>
      </c>
      <c r="B39" s="200" t="str">
        <f>'Tariff Jul 2022'!L25</f>
        <v>RAA</v>
      </c>
      <c r="C39" s="217">
        <f>IF('Tariff Jul 2022'!BP25=0,91*'Tariff Jul 2022'!M25/100,(91*'Tariff Jul 2022'!M25/100)+'Tariff Jul 2022'!BP25/4)</f>
        <v>90.826272727272737</v>
      </c>
      <c r="D39" s="217">
        <f>IF('Tariff Jul 2022'!O25="",$C$26*$C$27*'Tariff Jul 2022'!N25/100,IF($C$26*$C$27&gt;='Tariff Jul 2022'!P25,('Tariff Jul 2022'!P25*'Tariff Jul 2022'!N25/100),($C$26*$C$27*'Tariff Jul 2022'!N25/100)))</f>
        <v>327.09090909090907</v>
      </c>
      <c r="E39" s="217">
        <f>IF(AND('Tariff Jul 2022'!P25&gt;0,'Tariff Jul 2022'!R25&gt;0),IF($C$26*$C$27&lt;'Tariff Jul 2022'!P25,0,IF($C$26*$C$27&lt;=('Tariff Jul 2022'!R25+'Tariff Jul 2022'!P25),(($C$26*$C$27-'Tariff Jul 2022'!P25)*'Tariff Jul 2022'!Q25/100),(('Tariff Jul 2022'!R25)*'Tariff Jul 2022'!Q25/100))),0)</f>
        <v>0</v>
      </c>
      <c r="F39" s="217">
        <f>IF(AND('Tariff Jul 2022'!Q25&gt;0,'Tariff Jul 2022'!S25&gt;0),IF($C$26*$C$27&lt;('Tariff Jul 2022'!R25+'Tariff Jul 2022'!P25),0,IF($C$26*$C$27&lt;=('Tariff Jul 2022'!T25+'Tariff Jul 2022'!R25+'Tariff Jul 2022'!P25),(($C$26*$C$27-('Tariff Jul 2022'!R25+'Tariff Jul 2022'!P25))*'Tariff Jul 2022'!S25/100),('Tariff Jul 2022'!T25*'Tariff Jul 2022'!S25/100))),0)</f>
        <v>0</v>
      </c>
      <c r="G39" s="217">
        <f>IF(AND('Tariff Jul 2022'!R25&gt;0,'Tariff Jul 2022'!T25&gt;0),IF(($C$26*$C$27&lt;'Tariff Jul 2022'!T25),(0),($C$26*$C$27-'Tariff Jul 2022'!T25)*'Tariff Jul 2022'!U25/100),IF(AND('Tariff Jul 2022'!R25&gt;0,'Tariff Jul 2022'!T25=""),IF(($C$26*$C$27&lt;'Tariff Jul 2022'!R25+'Tariff Jul 2022'!P25),(0),(($C$26*$C$27-('Tariff Jul 2022'!R25+'Tariff Jul 2022'!P25))*'Tariff Jul 2022'!S25/100)),IF(AND('Tariff Jul 2022'!P25&gt;0,'Tariff Jul 2022'!R25=""&gt;0),IF(($C$26*$C$27&lt;'Tariff Jul 2022'!P25),(0),($C$26*$C$27-'Tariff Jul 2022'!P25)*'Tariff Jul 2022'!Q25/100),0)))</f>
        <v>171.04545454545456</v>
      </c>
      <c r="H39" s="217">
        <f>($C$26*$C$28)*'Tariff Jul 2022'!AE25/100</f>
        <v>68.181818181818173</v>
      </c>
      <c r="I39" s="217">
        <f t="shared" si="9"/>
        <v>657.14445454545455</v>
      </c>
      <c r="J39" s="252">
        <f t="shared" si="10"/>
        <v>2265.272727272727</v>
      </c>
      <c r="K39" s="203">
        <f t="shared" si="11"/>
        <v>2628.5778181818182</v>
      </c>
      <c r="L39" s="203">
        <f t="shared" si="12"/>
        <v>2891.4356000000002</v>
      </c>
      <c r="M39" s="200">
        <f>'Tariff Jul 2022'!AZ25</f>
        <v>1</v>
      </c>
      <c r="N39" s="200">
        <f>'Tariff Jul 2022'!BA25</f>
        <v>0</v>
      </c>
      <c r="O39" s="200">
        <f>'Tariff Jul 2022'!BB25</f>
        <v>0</v>
      </c>
      <c r="P39" s="200">
        <f>'Tariff Jul 2022'!BC25</f>
        <v>0</v>
      </c>
      <c r="Q39" s="204" t="str">
        <f t="shared" si="13"/>
        <v>Guaranteed off bill</v>
      </c>
      <c r="R39" s="205" t="str">
        <f t="shared" si="17"/>
        <v>Exclusive</v>
      </c>
      <c r="S39" s="254">
        <f t="shared" si="14"/>
        <v>2602.2920399999998</v>
      </c>
      <c r="T39" s="252">
        <f t="shared" si="15"/>
        <v>2602.2920399999998</v>
      </c>
      <c r="U39" s="260">
        <f t="shared" si="16"/>
        <v>2862.521244</v>
      </c>
      <c r="V39" s="260">
        <f t="shared" si="16"/>
        <v>2862.521244</v>
      </c>
      <c r="W39" s="206">
        <f>'Tariff Jul 2022'!BL25</f>
        <v>0</v>
      </c>
      <c r="X39" s="207" t="str">
        <f>'Tariff Jul 2022'!BM25</f>
        <v>n</v>
      </c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</row>
    <row r="40" spans="1:42" x14ac:dyDescent="0.15">
      <c r="A40" s="199" t="str">
        <f>'Tariff Jul 2022'!K26</f>
        <v>Powershop</v>
      </c>
      <c r="B40" s="200" t="str">
        <f>'Tariff Jul 2022'!L26</f>
        <v>Carbon neutral</v>
      </c>
      <c r="C40" s="217">
        <f>IF('Tariff Jul 2022'!BP26=0,91*'Tariff Jul 2022'!M26/100,(91*'Tariff Jul 2022'!M26/100)+'Tariff Jul 2022'!BP26/4)</f>
        <v>105.34490909090908</v>
      </c>
      <c r="D40" s="217">
        <f>IF('Tariff Jul 2022'!O26="",$C$26*$C$27*'Tariff Jul 2022'!N26/100,IF($C$26*$C$27&gt;='Tariff Jul 2022'!P26,('Tariff Jul 2022'!P26*'Tariff Jul 2022'!N26/100),($C$26*$C$27*'Tariff Jul 2022'!N26/100)))</f>
        <v>454.90909090909088</v>
      </c>
      <c r="E40" s="217">
        <f>IF(AND('Tariff Jul 2022'!P26&gt;0,'Tariff Jul 2022'!R26&gt;0),IF($C$26*$C$27&lt;'Tariff Jul 2022'!P26,0,IF($C$26*$C$27&lt;=('Tariff Jul 2022'!R26+'Tariff Jul 2022'!P26),(($C$26*$C$27-'Tariff Jul 2022'!P26)*'Tariff Jul 2022'!Q26/100),(('Tariff Jul 2022'!R26)*'Tariff Jul 2022'!Q26/100))),0)</f>
        <v>0</v>
      </c>
      <c r="F40" s="217">
        <f>IF(AND('Tariff Jul 2022'!Q26&gt;0,'Tariff Jul 2022'!S26&gt;0),IF($C$26*$C$27&lt;('Tariff Jul 2022'!R26+'Tariff Jul 2022'!P26),0,IF($C$26*$C$27&lt;=('Tariff Jul 2022'!T26+'Tariff Jul 2022'!R26+'Tariff Jul 2022'!P26),(($C$26*$C$27-('Tariff Jul 2022'!R26+'Tariff Jul 2022'!P26))*'Tariff Jul 2022'!S26/100),('Tariff Jul 2022'!T26*'Tariff Jul 2022'!S26/100))),0)</f>
        <v>0</v>
      </c>
      <c r="G40" s="217">
        <f>IF(AND('Tariff Jul 2022'!R26&gt;0,'Tariff Jul 2022'!T26&gt;0),IF(($C$26*$C$27&lt;'Tariff Jul 2022'!T26),(0),($C$26*$C$27-'Tariff Jul 2022'!T26)*'Tariff Jul 2022'!U26/100),IF(AND('Tariff Jul 2022'!R26&gt;0,'Tariff Jul 2022'!T26=""),IF(($C$26*$C$27&lt;'Tariff Jul 2022'!R26+'Tariff Jul 2022'!P26),(0),(($C$26*$C$27-('Tariff Jul 2022'!R26+'Tariff Jul 2022'!P26))*'Tariff Jul 2022'!S26/100)),IF(AND('Tariff Jul 2022'!P26&gt;0,'Tariff Jul 2022'!R26=""&gt;0),IF(($C$26*$C$27&lt;'Tariff Jul 2022'!P26),(0),($C$26*$C$27-'Tariff Jul 2022'!P26)*'Tariff Jul 2022'!Q26/100),0)))</f>
        <v>0</v>
      </c>
      <c r="H40" s="217">
        <f>($C$26*$C$28)*'Tariff Jul 2022'!AE26/100</f>
        <v>69.204545454545453</v>
      </c>
      <c r="I40" s="217">
        <f t="shared" si="9"/>
        <v>629.4585454545454</v>
      </c>
      <c r="J40" s="252">
        <f t="shared" si="10"/>
        <v>2096.454545454545</v>
      </c>
      <c r="K40" s="203">
        <f t="shared" si="11"/>
        <v>2517.8341818181816</v>
      </c>
      <c r="L40" s="203">
        <f t="shared" si="12"/>
        <v>2769.6176</v>
      </c>
      <c r="M40" s="200">
        <f>'Tariff Jul 2022'!AZ26</f>
        <v>0</v>
      </c>
      <c r="N40" s="200">
        <f>'Tariff Jul 2022'!BA26</f>
        <v>0</v>
      </c>
      <c r="O40" s="200">
        <f>'Tariff Jul 2022'!BB26</f>
        <v>0</v>
      </c>
      <c r="P40" s="200">
        <f>'Tariff Jul 2022'!BC26</f>
        <v>0</v>
      </c>
      <c r="Q40" s="204" t="str">
        <f t="shared" si="13"/>
        <v>No discount</v>
      </c>
      <c r="R40" s="205" t="str">
        <f t="shared" si="17"/>
        <v>Inclusive</v>
      </c>
      <c r="S40" s="254">
        <f t="shared" si="14"/>
        <v>2517.8341818181816</v>
      </c>
      <c r="T40" s="252">
        <f t="shared" si="15"/>
        <v>2517.8341818181816</v>
      </c>
      <c r="U40" s="260">
        <f t="shared" si="16"/>
        <v>2769.6176</v>
      </c>
      <c r="V40" s="260">
        <f t="shared" si="16"/>
        <v>2769.6176</v>
      </c>
      <c r="W40" s="206">
        <f>'Tariff Jul 2022'!BL26</f>
        <v>0</v>
      </c>
      <c r="X40" s="207" t="str">
        <f>'Tariff Jul 2022'!BM26</f>
        <v>n</v>
      </c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</row>
    <row r="41" spans="1:42" x14ac:dyDescent="0.15">
      <c r="A41" s="199" t="str">
        <f>'Tariff Jul 2022'!K27</f>
        <v>Amber Electric</v>
      </c>
      <c r="B41" s="200" t="str">
        <f>'Tariff Jul 2022'!L27</f>
        <v>Amber Plan</v>
      </c>
      <c r="C41" s="217">
        <f>IF('Tariff Jul 2022'!BP27=0,91*'Tariff Jul 2022'!M27/100,(91*'Tariff Jul 2022'!M27/100)+'Tariff Jul 2022'!BP27/4)</f>
        <v>135.55736363636362</v>
      </c>
      <c r="D41" s="217">
        <f>IF('Tariff Jul 2022'!O27="",$C$26*$C$27*'Tariff Jul 2022'!N27/100,IF($C$26*$C$27&gt;='Tariff Jul 2022'!P27,('Tariff Jul 2022'!P27*'Tariff Jul 2022'!N27/100),($C$26*$C$27*'Tariff Jul 2022'!N27/100)))</f>
        <v>558.5454545454545</v>
      </c>
      <c r="E41" s="217">
        <f>IF(AND('Tariff Jul 2022'!P27&gt;0,'Tariff Jul 2022'!R27&gt;0),IF($C$26*$C$27&lt;'Tariff Jul 2022'!P27,0,IF($C$26*$C$27&lt;=('Tariff Jul 2022'!R27+'Tariff Jul 2022'!P27),(($C$26*$C$27-'Tariff Jul 2022'!P27)*'Tariff Jul 2022'!Q27/100),(('Tariff Jul 2022'!R27)*'Tariff Jul 2022'!Q27/100))),0)</f>
        <v>0</v>
      </c>
      <c r="F41" s="217">
        <f>IF(AND('Tariff Jul 2022'!Q27&gt;0,'Tariff Jul 2022'!S27&gt;0),IF($C$26*$C$27&lt;('Tariff Jul 2022'!R27+'Tariff Jul 2022'!P27),0,IF($C$26*$C$27&lt;=('Tariff Jul 2022'!T27+'Tariff Jul 2022'!R27+'Tariff Jul 2022'!P27),(($C$26*$C$27-('Tariff Jul 2022'!R27+'Tariff Jul 2022'!P27))*'Tariff Jul 2022'!S27/100),('Tariff Jul 2022'!T27*'Tariff Jul 2022'!S27/100))),0)</f>
        <v>0</v>
      </c>
      <c r="G41" s="217">
        <f>IF(AND('Tariff Jul 2022'!R27&gt;0,'Tariff Jul 2022'!T27&gt;0),IF(($C$26*$C$27&lt;'Tariff Jul 2022'!T27),(0),($C$26*$C$27-'Tariff Jul 2022'!T27)*'Tariff Jul 2022'!U27/100),IF(AND('Tariff Jul 2022'!R27&gt;0,'Tariff Jul 2022'!T27=""),IF(($C$26*$C$27&lt;'Tariff Jul 2022'!R27+'Tariff Jul 2022'!P27),(0),(($C$26*$C$27-('Tariff Jul 2022'!R27+'Tariff Jul 2022'!P27))*'Tariff Jul 2022'!S27/100)),IF(AND('Tariff Jul 2022'!P27&gt;0,'Tariff Jul 2022'!R27=""&gt;0),IF(($C$26*$C$27&lt;'Tariff Jul 2022'!P27),(0),($C$26*$C$27-'Tariff Jul 2022'!P27)*'Tariff Jul 2022'!Q27/100),0)))</f>
        <v>0</v>
      </c>
      <c r="H41" s="217">
        <f>($C$26*$C$28)*'Tariff Jul 2022'!AE27/100</f>
        <v>99.715909090909079</v>
      </c>
      <c r="I41" s="217">
        <f t="shared" si="9"/>
        <v>793.81872727272719</v>
      </c>
      <c r="J41" s="252">
        <f t="shared" si="10"/>
        <v>2633.045454545454</v>
      </c>
      <c r="K41" s="203">
        <f t="shared" si="11"/>
        <v>3175.2749090909087</v>
      </c>
      <c r="L41" s="203">
        <f t="shared" si="12"/>
        <v>3492.8024</v>
      </c>
      <c r="M41" s="200">
        <f>'Tariff Jul 2022'!AZ27</f>
        <v>0</v>
      </c>
      <c r="N41" s="200">
        <f>'Tariff Jul 2022'!BA27</f>
        <v>0</v>
      </c>
      <c r="O41" s="200">
        <f>'Tariff Jul 2022'!BB27</f>
        <v>0</v>
      </c>
      <c r="P41" s="200">
        <f>'Tariff Jul 2022'!BC27</f>
        <v>0</v>
      </c>
      <c r="Q41" s="204" t="str">
        <f t="shared" si="13"/>
        <v>No discount</v>
      </c>
      <c r="R41" s="205" t="str">
        <f t="shared" si="17"/>
        <v>Exclusive</v>
      </c>
      <c r="S41" s="254">
        <f t="shared" si="14"/>
        <v>3175.2749090909087</v>
      </c>
      <c r="T41" s="252">
        <f t="shared" si="15"/>
        <v>3175.2749090909087</v>
      </c>
      <c r="U41" s="260">
        <f t="shared" si="16"/>
        <v>3492.8024</v>
      </c>
      <c r="V41" s="260">
        <f t="shared" si="16"/>
        <v>3492.8024</v>
      </c>
      <c r="W41" s="206">
        <f>'Tariff Jul 2022'!BL27</f>
        <v>0</v>
      </c>
      <c r="X41" s="207" t="str">
        <f>'Tariff Jul 2022'!BM27</f>
        <v>n</v>
      </c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</row>
    <row r="42" spans="1:42" x14ac:dyDescent="0.15">
      <c r="A42" s="199" t="str">
        <f>'Tariff Jul 2022'!K28</f>
        <v>GloBird Energy</v>
      </c>
      <c r="B42" s="200" t="str">
        <f>'Tariff Jul 2022'!L28</f>
        <v>GloSave</v>
      </c>
      <c r="C42" s="217">
        <f>IF('Tariff Jul 2022'!BP28=0,91*'Tariff Jul 2022'!M28/100,(91*'Tariff Jul 2022'!M28/100)+'Tariff Jul 2022'!BP28/4)</f>
        <v>81.899999999999991</v>
      </c>
      <c r="D42" s="217">
        <f>IF('Tariff Jul 2022'!O28="",$C$26*$C$27*'Tariff Jul 2022'!N28/100,IF($C$26*$C$27&gt;='Tariff Jul 2022'!P28,('Tariff Jul 2022'!P28*'Tariff Jul 2022'!N28/100),($C$26*$C$27*'Tariff Jul 2022'!N28/100)))</f>
        <v>734.99999999999989</v>
      </c>
      <c r="E42" s="217">
        <f>IF(AND('Tariff Jul 2022'!P28&gt;0,'Tariff Jul 2022'!R28&gt;0),IF($C$26*$C$27&lt;'Tariff Jul 2022'!P28,0,IF($C$26*$C$27&lt;=('Tariff Jul 2022'!R28+'Tariff Jul 2022'!P28),(($C$26*$C$27-'Tariff Jul 2022'!P28)*'Tariff Jul 2022'!Q28/100),(('Tariff Jul 2022'!R28)*'Tariff Jul 2022'!Q28/100))),0)</f>
        <v>0</v>
      </c>
      <c r="F42" s="217">
        <f>IF(AND('Tariff Jul 2022'!Q28&gt;0,'Tariff Jul 2022'!S28&gt;0),IF($C$26*$C$27&lt;('Tariff Jul 2022'!R28+'Tariff Jul 2022'!P28),0,IF($C$26*$C$27&lt;=('Tariff Jul 2022'!T28+'Tariff Jul 2022'!R28+'Tariff Jul 2022'!P28),(($C$26*$C$27-('Tariff Jul 2022'!R28+'Tariff Jul 2022'!P28))*'Tariff Jul 2022'!S28/100),('Tariff Jul 2022'!T28*'Tariff Jul 2022'!S28/100))),0)</f>
        <v>0</v>
      </c>
      <c r="G42" s="217">
        <f>IF(AND('Tariff Jul 2022'!R28&gt;0,'Tariff Jul 2022'!T28&gt;0),IF(($C$26*$C$27&lt;'Tariff Jul 2022'!T28),(0),($C$26*$C$27-'Tariff Jul 2022'!T28)*'Tariff Jul 2022'!U28/100),IF(AND('Tariff Jul 2022'!R28&gt;0,'Tariff Jul 2022'!T28=""),IF(($C$26*$C$27&lt;'Tariff Jul 2022'!R28+'Tariff Jul 2022'!P28),(0),(($C$26*$C$27-('Tariff Jul 2022'!R28+'Tariff Jul 2022'!P28))*'Tariff Jul 2022'!S28/100)),IF(AND('Tariff Jul 2022'!P28&gt;0,'Tariff Jul 2022'!R28=""&gt;0),IF(($C$26*$C$27&lt;'Tariff Jul 2022'!P28),(0),($C$26*$C$27-'Tariff Jul 2022'!P28)*'Tariff Jul 2022'!Q28/100),0)))</f>
        <v>0</v>
      </c>
      <c r="H42" s="217">
        <f>($C$26*$C$28)*'Tariff Jul 2022'!AE28/100</f>
        <v>157.5</v>
      </c>
      <c r="I42" s="217">
        <f t="shared" si="9"/>
        <v>974.39999999999986</v>
      </c>
      <c r="J42" s="252">
        <f t="shared" si="10"/>
        <v>3569.9999999999995</v>
      </c>
      <c r="K42" s="203">
        <f t="shared" si="11"/>
        <v>3897.5999999999995</v>
      </c>
      <c r="L42" s="203">
        <f t="shared" si="12"/>
        <v>4287.3599999999997</v>
      </c>
      <c r="M42" s="200">
        <f>'Tariff Jul 2022'!AZ28</f>
        <v>0</v>
      </c>
      <c r="N42" s="200">
        <f>'Tariff Jul 2022'!BA28</f>
        <v>0</v>
      </c>
      <c r="O42" s="200">
        <f>'Tariff Jul 2022'!BB28</f>
        <v>0</v>
      </c>
      <c r="P42" s="200">
        <f>'Tariff Jul 2022'!BC28</f>
        <v>0</v>
      </c>
      <c r="Q42" s="204" t="str">
        <f t="shared" si="13"/>
        <v>No discount</v>
      </c>
      <c r="R42" s="205" t="str">
        <f t="shared" si="17"/>
        <v>Exclusive</v>
      </c>
      <c r="S42" s="254">
        <f t="shared" si="14"/>
        <v>3897.5999999999995</v>
      </c>
      <c r="T42" s="252">
        <f t="shared" si="15"/>
        <v>3897.5999999999995</v>
      </c>
      <c r="U42" s="260">
        <f t="shared" si="16"/>
        <v>4287.3599999999997</v>
      </c>
      <c r="V42" s="260">
        <f t="shared" si="16"/>
        <v>4287.3599999999997</v>
      </c>
      <c r="W42" s="206">
        <f>'Tariff Jul 2022'!BL28</f>
        <v>0</v>
      </c>
      <c r="X42" s="207" t="str">
        <f>'Tariff Jul 2022'!BM28</f>
        <v>n</v>
      </c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</row>
    <row r="43" spans="1:42" x14ac:dyDescent="0.15">
      <c r="A43" s="199" t="str">
        <f>'Tariff Jul 2022'!K29</f>
        <v>Kogan Energy</v>
      </c>
      <c r="B43" s="200" t="str">
        <f>'Tariff Jul 2022'!L29</f>
        <v>Free Kogan First Membership</v>
      </c>
      <c r="C43" s="217">
        <f>IF('Tariff Jul 2022'!BP29=0,91*'Tariff Jul 2022'!M29/100,(91*'Tariff Jul 2022'!M29/100)+'Tariff Jul 2022'!BP29/4)</f>
        <v>100.646</v>
      </c>
      <c r="D43" s="217">
        <f>IF('Tariff Jul 2022'!O29="",$C$26*$C$27*'Tariff Jul 2022'!N29/100,IF($C$26*$C$27&gt;='Tariff Jul 2022'!P29,('Tariff Jul 2022'!P29*'Tariff Jul 2022'!N29/100),($C$26*$C$27*'Tariff Jul 2022'!N29/100)))</f>
        <v>466.90909090909088</v>
      </c>
      <c r="E43" s="217">
        <f>IF(AND('Tariff Jul 2022'!P29&gt;0,'Tariff Jul 2022'!R29&gt;0),IF($C$26*$C$27&lt;'Tariff Jul 2022'!P29,0,IF($C$26*$C$27&lt;=('Tariff Jul 2022'!R29+'Tariff Jul 2022'!P29),(($C$26*$C$27-'Tariff Jul 2022'!P29)*'Tariff Jul 2022'!Q29/100),(('Tariff Jul 2022'!R29)*'Tariff Jul 2022'!Q29/100))),0)</f>
        <v>0</v>
      </c>
      <c r="F43" s="217">
        <f>IF(AND('Tariff Jul 2022'!Q29&gt;0,'Tariff Jul 2022'!S29&gt;0),IF($C$26*$C$27&lt;('Tariff Jul 2022'!R29+'Tariff Jul 2022'!P29),0,IF($C$26*$C$27&lt;=('Tariff Jul 2022'!T29+'Tariff Jul 2022'!R29+'Tariff Jul 2022'!P29),(($C$26*$C$27-('Tariff Jul 2022'!R29+'Tariff Jul 2022'!P29))*'Tariff Jul 2022'!S29/100),('Tariff Jul 2022'!T29*'Tariff Jul 2022'!S29/100))),0)</f>
        <v>0</v>
      </c>
      <c r="G43" s="217">
        <f>IF(AND('Tariff Jul 2022'!R29&gt;0,'Tariff Jul 2022'!T29&gt;0),IF(($C$26*$C$27&lt;'Tariff Jul 2022'!T29),(0),($C$26*$C$27-'Tariff Jul 2022'!T29)*'Tariff Jul 2022'!U29/100),IF(AND('Tariff Jul 2022'!R29&gt;0,'Tariff Jul 2022'!T29=""),IF(($C$26*$C$27&lt;'Tariff Jul 2022'!R29+'Tariff Jul 2022'!P29),(0),(($C$26*$C$27-('Tariff Jul 2022'!R29+'Tariff Jul 2022'!P29))*'Tariff Jul 2022'!S29/100)),IF(AND('Tariff Jul 2022'!P29&gt;0,'Tariff Jul 2022'!R29=""&gt;0),IF(($C$26*$C$27&lt;'Tariff Jul 2022'!P29),(0),($C$26*$C$27-'Tariff Jul 2022'!P29)*'Tariff Jul 2022'!Q29/100),0)))</f>
        <v>0</v>
      </c>
      <c r="H43" s="217">
        <f>($C$26*$C$28)*'Tariff Jul 2022'!AE29/100</f>
        <v>91.568181818181799</v>
      </c>
      <c r="I43" s="217">
        <f t="shared" si="9"/>
        <v>659.12327272727259</v>
      </c>
      <c r="J43" s="252">
        <f t="shared" si="10"/>
        <v>2233.9090909090905</v>
      </c>
      <c r="K43" s="203">
        <f t="shared" si="11"/>
        <v>2636.4930909090904</v>
      </c>
      <c r="L43" s="203">
        <f t="shared" si="12"/>
        <v>2900.1423999999997</v>
      </c>
      <c r="M43" s="200">
        <f>'Tariff Jul 2022'!AZ29</f>
        <v>0</v>
      </c>
      <c r="N43" s="200">
        <f>'Tariff Jul 2022'!BA29</f>
        <v>0</v>
      </c>
      <c r="O43" s="200">
        <f>'Tariff Jul 2022'!BB29</f>
        <v>0</v>
      </c>
      <c r="P43" s="200">
        <f>'Tariff Jul 2022'!BC29</f>
        <v>0</v>
      </c>
      <c r="Q43" s="204" t="str">
        <f t="shared" si="13"/>
        <v>No discount</v>
      </c>
      <c r="R43" s="205" t="str">
        <f t="shared" si="17"/>
        <v>Exclusive</v>
      </c>
      <c r="S43" s="254">
        <f t="shared" si="14"/>
        <v>2636.4930909090904</v>
      </c>
      <c r="T43" s="252">
        <f t="shared" si="15"/>
        <v>2636.4930909090904</v>
      </c>
      <c r="U43" s="260">
        <f t="shared" si="16"/>
        <v>2900.1423999999997</v>
      </c>
      <c r="V43" s="260">
        <f t="shared" si="16"/>
        <v>2900.1423999999997</v>
      </c>
      <c r="W43" s="206">
        <f>'Tariff Jul 2022'!BL29</f>
        <v>0</v>
      </c>
      <c r="X43" s="207" t="str">
        <f>'Tariff Jul 2022'!BM29</f>
        <v>n</v>
      </c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</row>
    <row r="44" spans="1:42" x14ac:dyDescent="0.15">
      <c r="A44" s="199" t="str">
        <f>'Tariff Jul 2022'!K30</f>
        <v>ReAmped Energy</v>
      </c>
      <c r="B44" s="200" t="str">
        <f>'Tariff Jul 2022'!L30</f>
        <v>Advance</v>
      </c>
      <c r="C44" s="217">
        <f>IF('Tariff Jul 2022'!BP30=0,91*'Tariff Jul 2022'!M30/100,(91*'Tariff Jul 2022'!M30/100)+'Tariff Jul 2022'!BP30/4)</f>
        <v>94.085727272727269</v>
      </c>
      <c r="D44" s="217">
        <f>IF('Tariff Jul 2022'!O30="",$C$26*$C$27*'Tariff Jul 2022'!N30/100,IF($C$26*$C$27&gt;='Tariff Jul 2022'!P30,('Tariff Jul 2022'!P30*'Tariff Jul 2022'!N30/100),($C$26*$C$27*'Tariff Jul 2022'!N30/100)))</f>
        <v>596.59090909090901</v>
      </c>
      <c r="E44" s="217">
        <f>IF(AND('Tariff Jul 2022'!P30&gt;0,'Tariff Jul 2022'!R30&gt;0),IF($C$26*$C$27&lt;'Tariff Jul 2022'!P30,0,IF($C$26*$C$27&lt;=('Tariff Jul 2022'!R30+'Tariff Jul 2022'!P30),(($C$26*$C$27-'Tariff Jul 2022'!P30)*'Tariff Jul 2022'!Q30/100),(('Tariff Jul 2022'!R30)*'Tariff Jul 2022'!Q30/100))),0)</f>
        <v>0</v>
      </c>
      <c r="F44" s="217">
        <f>IF(AND('Tariff Jul 2022'!Q30&gt;0,'Tariff Jul 2022'!S30&gt;0),IF($C$26*$C$27&lt;('Tariff Jul 2022'!R30+'Tariff Jul 2022'!P30),0,IF($C$26*$C$27&lt;=('Tariff Jul 2022'!T30+'Tariff Jul 2022'!R30+'Tariff Jul 2022'!P30),(($C$26*$C$27-('Tariff Jul 2022'!R30+'Tariff Jul 2022'!P30))*'Tariff Jul 2022'!S30/100),('Tariff Jul 2022'!T30*'Tariff Jul 2022'!S30/100))),0)</f>
        <v>0</v>
      </c>
      <c r="G44" s="217">
        <f>IF(AND('Tariff Jul 2022'!R30&gt;0,'Tariff Jul 2022'!T30&gt;0),IF(($C$26*$C$27&lt;'Tariff Jul 2022'!T30),(0),($C$26*$C$27-'Tariff Jul 2022'!T30)*'Tariff Jul 2022'!U30/100),IF(AND('Tariff Jul 2022'!R30&gt;0,'Tariff Jul 2022'!T30=""),IF(($C$26*$C$27&lt;'Tariff Jul 2022'!R30+'Tariff Jul 2022'!P30),(0),(($C$26*$C$27-('Tariff Jul 2022'!R30+'Tariff Jul 2022'!P30))*'Tariff Jul 2022'!S30/100)),IF(AND('Tariff Jul 2022'!P30&gt;0,'Tariff Jul 2022'!R30=""&gt;0),IF(($C$26*$C$27&lt;'Tariff Jul 2022'!P30),(0),($C$26*$C$27-'Tariff Jul 2022'!P30)*'Tariff Jul 2022'!Q30/100),0)))</f>
        <v>0</v>
      </c>
      <c r="H44" s="217">
        <f>($C$26*$C$28)*'Tariff Jul 2022'!AE30/100</f>
        <v>121.39772727272727</v>
      </c>
      <c r="I44" s="217">
        <f t="shared" si="9"/>
        <v>812.0743636363635</v>
      </c>
      <c r="J44" s="252">
        <f t="shared" si="10"/>
        <v>2871.954545454545</v>
      </c>
      <c r="K44" s="203">
        <f t="shared" si="11"/>
        <v>3248.297454545454</v>
      </c>
      <c r="L44" s="203">
        <f t="shared" si="12"/>
        <v>3573.1271999999999</v>
      </c>
      <c r="M44" s="200">
        <f>'Tariff Jul 2022'!AZ30</f>
        <v>0</v>
      </c>
      <c r="N44" s="200">
        <f>'Tariff Jul 2022'!BA30</f>
        <v>0</v>
      </c>
      <c r="O44" s="200">
        <f>'Tariff Jul 2022'!BB30</f>
        <v>0</v>
      </c>
      <c r="P44" s="200">
        <f>'Tariff Jul 2022'!BC30</f>
        <v>0</v>
      </c>
      <c r="Q44" s="204" t="str">
        <f t="shared" si="13"/>
        <v>No discount</v>
      </c>
      <c r="R44" s="205" t="str">
        <f t="shared" si="17"/>
        <v>Exclusive</v>
      </c>
      <c r="S44" s="254">
        <f t="shared" si="14"/>
        <v>3248.297454545454</v>
      </c>
      <c r="T44" s="252">
        <f t="shared" si="15"/>
        <v>3248.297454545454</v>
      </c>
      <c r="U44" s="260">
        <f t="shared" si="16"/>
        <v>3573.1271999999999</v>
      </c>
      <c r="V44" s="260">
        <f t="shared" si="16"/>
        <v>3573.1271999999999</v>
      </c>
      <c r="W44" s="206">
        <f>'Tariff Jul 2022'!BL30</f>
        <v>0</v>
      </c>
      <c r="X44" s="207" t="str">
        <f>'Tariff Jul 2022'!BM30</f>
        <v>n</v>
      </c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</row>
    <row r="45" spans="1:42" x14ac:dyDescent="0.15">
      <c r="A45" s="199" t="str">
        <f>'Tariff Jul 2022'!K31</f>
        <v>Circular Energy</v>
      </c>
      <c r="B45" s="200" t="str">
        <f>'Tariff Jul 2022'!L31</f>
        <v>Community Energy</v>
      </c>
      <c r="C45" s="217">
        <f>IF('Tariff Jul 2022'!BP31=0,91*'Tariff Jul 2022'!M31/100,(91*'Tariff Jul 2022'!M31/100)+'Tariff Jul 2022'!BP31/4)</f>
        <v>102.8090909090909</v>
      </c>
      <c r="D45" s="217">
        <f>IF('Tariff Jul 2022'!O31="",$C$26*$C$27*'Tariff Jul 2022'!N31/100,IF($C$26*$C$27&gt;='Tariff Jul 2022'!P31,('Tariff Jul 2022'!P31*'Tariff Jul 2022'!N31/100),($C$26*$C$27*'Tariff Jul 2022'!N31/100)))</f>
        <v>490.36363636363632</v>
      </c>
      <c r="E45" s="217">
        <f>IF(AND('Tariff Jul 2022'!P31&gt;0,'Tariff Jul 2022'!R31&gt;0),IF($C$26*$C$27&lt;'Tariff Jul 2022'!P31,0,IF($C$26*$C$27&lt;=('Tariff Jul 2022'!R31+'Tariff Jul 2022'!P31),(($C$26*$C$27-'Tariff Jul 2022'!P31)*'Tariff Jul 2022'!Q31/100),(('Tariff Jul 2022'!R31)*'Tariff Jul 2022'!Q31/100))),0)</f>
        <v>0</v>
      </c>
      <c r="F45" s="217">
        <f>IF(AND('Tariff Jul 2022'!Q31&gt;0,'Tariff Jul 2022'!S31&gt;0),IF($C$26*$C$27&lt;('Tariff Jul 2022'!R31+'Tariff Jul 2022'!P31),0,IF($C$26*$C$27&lt;=('Tariff Jul 2022'!T31+'Tariff Jul 2022'!R31+'Tariff Jul 2022'!P31),(($C$26*$C$27-('Tariff Jul 2022'!R31+'Tariff Jul 2022'!P31))*'Tariff Jul 2022'!S31/100),('Tariff Jul 2022'!T31*'Tariff Jul 2022'!S31/100))),0)</f>
        <v>0</v>
      </c>
      <c r="G45" s="217">
        <f>IF(AND('Tariff Jul 2022'!R31&gt;0,'Tariff Jul 2022'!T31&gt;0),IF(($C$26*$C$27&lt;'Tariff Jul 2022'!T31),(0),($C$26*$C$27-'Tariff Jul 2022'!T31)*'Tariff Jul 2022'!U31/100),IF(AND('Tariff Jul 2022'!R31&gt;0,'Tariff Jul 2022'!T31=""),IF(($C$26*$C$27&lt;'Tariff Jul 2022'!R31+'Tariff Jul 2022'!P31),(0),(($C$26*$C$27-('Tariff Jul 2022'!R31+'Tariff Jul 2022'!P31))*'Tariff Jul 2022'!S31/100)),IF(AND('Tariff Jul 2022'!P31&gt;0,'Tariff Jul 2022'!R31=""&gt;0),IF(($C$26*$C$27&lt;'Tariff Jul 2022'!P31),(0),($C$26*$C$27-'Tariff Jul 2022'!P31)*'Tariff Jul 2022'!Q31/100),0)))</f>
        <v>0</v>
      </c>
      <c r="H45" s="217">
        <f>($C$26*$C$28)*'Tariff Jul 2022'!AE31/100</f>
        <v>68.693181818181813</v>
      </c>
      <c r="I45" s="217">
        <f t="shared" si="9"/>
        <v>661.8659090909091</v>
      </c>
      <c r="J45" s="252">
        <f t="shared" si="10"/>
        <v>2236.227272727273</v>
      </c>
      <c r="K45" s="203">
        <f t="shared" si="11"/>
        <v>2647.4636363636364</v>
      </c>
      <c r="L45" s="203">
        <f t="shared" si="12"/>
        <v>2912.2100000000005</v>
      </c>
      <c r="M45" s="200">
        <f>'Tariff Jul 2022'!AZ31</f>
        <v>0</v>
      </c>
      <c r="N45" s="200">
        <f>'Tariff Jul 2022'!BA31</f>
        <v>0</v>
      </c>
      <c r="O45" s="200">
        <f>'Tariff Jul 2022'!BB31</f>
        <v>0</v>
      </c>
      <c r="P45" s="200">
        <f>'Tariff Jul 2022'!BC31</f>
        <v>0</v>
      </c>
      <c r="Q45" s="204" t="str">
        <f t="shared" si="13"/>
        <v>No discount</v>
      </c>
      <c r="R45" s="205" t="str">
        <f t="shared" si="17"/>
        <v>Exclusive</v>
      </c>
      <c r="S45" s="254">
        <f t="shared" si="14"/>
        <v>2647.4636363636364</v>
      </c>
      <c r="T45" s="252">
        <f t="shared" si="15"/>
        <v>2647.4636363636364</v>
      </c>
      <c r="U45" s="260">
        <f t="shared" si="16"/>
        <v>2912.2100000000005</v>
      </c>
      <c r="V45" s="260">
        <f t="shared" si="16"/>
        <v>2912.2100000000005</v>
      </c>
      <c r="W45" s="206">
        <f>'Tariff Jul 2022'!BL31</f>
        <v>0</v>
      </c>
      <c r="X45" s="207" t="str">
        <f>'Tariff Jul 2022'!BM31</f>
        <v>n</v>
      </c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</row>
    <row r="46" spans="1:42" customFormat="1" ht="13" x14ac:dyDescent="0.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</row>
    <row r="47" spans="1:42" customFormat="1" ht="13" x14ac:dyDescent="0.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</row>
    <row r="48" spans="1:42" customFormat="1" ht="13" x14ac:dyDescent="0.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</row>
    <row r="49" spans="1:42" customFormat="1" ht="13" x14ac:dyDescent="0.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</row>
    <row r="50" spans="1:42" customFormat="1" ht="13" x14ac:dyDescent="0.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</row>
    <row r="51" spans="1:42" customFormat="1" ht="13" x14ac:dyDescent="0.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</row>
    <row r="52" spans="1:42" customFormat="1" ht="13" x14ac:dyDescent="0.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</row>
    <row r="53" spans="1:42" customFormat="1" ht="13" x14ac:dyDescent="0.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</row>
    <row r="54" spans="1:42" customFormat="1" ht="13" x14ac:dyDescent="0.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</row>
    <row r="55" spans="1:42" customFormat="1" ht="13" x14ac:dyDescent="0.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</row>
    <row r="56" spans="1:42" customFormat="1" ht="13" x14ac:dyDescent="0.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</row>
    <row r="57" spans="1:42" customFormat="1" ht="13" x14ac:dyDescent="0.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</row>
    <row r="58" spans="1:42" customFormat="1" ht="13" x14ac:dyDescent="0.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</row>
    <row r="59" spans="1:42" customFormat="1" ht="13" x14ac:dyDescent="0.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</row>
    <row r="60" spans="1:42" customFormat="1" ht="13" x14ac:dyDescent="0.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</row>
    <row r="61" spans="1:42" customFormat="1" ht="13" x14ac:dyDescent="0.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</row>
    <row r="62" spans="1:42" customFormat="1" ht="13" x14ac:dyDescent="0.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</row>
    <row r="63" spans="1:42" customFormat="1" ht="13" x14ac:dyDescent="0.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</row>
    <row r="64" spans="1:42" customFormat="1" ht="13" x14ac:dyDescent="0.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</row>
    <row r="65" spans="1:42" customFormat="1" ht="13" x14ac:dyDescent="0.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</row>
    <row r="66" spans="1:42" customFormat="1" ht="13" x14ac:dyDescent="0.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</row>
    <row r="67" spans="1:42" customFormat="1" ht="13" x14ac:dyDescent="0.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</row>
    <row r="68" spans="1:42" customFormat="1" ht="13" x14ac:dyDescent="0.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</row>
    <row r="69" spans="1:42" customFormat="1" ht="13" x14ac:dyDescent="0.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</row>
    <row r="70" spans="1:42" customFormat="1" ht="13" x14ac:dyDescent="0.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</row>
    <row r="71" spans="1:42" customFormat="1" ht="13" x14ac:dyDescent="0.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</row>
    <row r="72" spans="1:42" customFormat="1" ht="13" x14ac:dyDescent="0.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</row>
    <row r="73" spans="1:42" customFormat="1" ht="13" x14ac:dyDescent="0.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</row>
    <row r="74" spans="1:42" customFormat="1" ht="13" x14ac:dyDescent="0.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</row>
    <row r="75" spans="1:42" customFormat="1" ht="13" x14ac:dyDescent="0.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</row>
    <row r="76" spans="1:42" customFormat="1" ht="13" x14ac:dyDescent="0.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</row>
    <row r="77" spans="1:42" customFormat="1" ht="13" x14ac:dyDescent="0.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</row>
    <row r="78" spans="1:42" customFormat="1" ht="13" x14ac:dyDescent="0.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</row>
    <row r="79" spans="1:42" customFormat="1" ht="13" x14ac:dyDescent="0.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</row>
    <row r="80" spans="1:42" customFormat="1" ht="13" x14ac:dyDescent="0.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</row>
    <row r="81" spans="1:42" customFormat="1" ht="13" x14ac:dyDescent="0.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</row>
    <row r="82" spans="1:42" customFormat="1" ht="13" x14ac:dyDescent="0.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</row>
    <row r="83" spans="1:42" customFormat="1" ht="13" x14ac:dyDescent="0.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</row>
    <row r="84" spans="1:42" customFormat="1" ht="13" x14ac:dyDescent="0.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</row>
    <row r="85" spans="1:42" customFormat="1" ht="13" x14ac:dyDescent="0.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</row>
    <row r="86" spans="1:42" customFormat="1" ht="13" x14ac:dyDescent="0.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</row>
    <row r="87" spans="1:42" customFormat="1" ht="13" x14ac:dyDescent="0.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</row>
    <row r="88" spans="1:42" customFormat="1" ht="13" x14ac:dyDescent="0.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</row>
    <row r="89" spans="1:42" customFormat="1" ht="13" x14ac:dyDescent="0.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</row>
    <row r="90" spans="1:42" customFormat="1" ht="13" x14ac:dyDescent="0.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</row>
    <row r="91" spans="1:42" customFormat="1" ht="13" x14ac:dyDescent="0.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</row>
    <row r="92" spans="1:42" customFormat="1" ht="13" x14ac:dyDescent="0.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</row>
    <row r="93" spans="1:42" customFormat="1" ht="13" x14ac:dyDescent="0.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</row>
    <row r="94" spans="1:42" customFormat="1" ht="13" x14ac:dyDescent="0.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</row>
    <row r="95" spans="1:42" customFormat="1" ht="13" x14ac:dyDescent="0.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</row>
    <row r="96" spans="1:42" customFormat="1" ht="13" x14ac:dyDescent="0.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</row>
    <row r="97" spans="1:42" customFormat="1" ht="13" x14ac:dyDescent="0.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</row>
    <row r="98" spans="1:42" customFormat="1" ht="13" x14ac:dyDescent="0.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</row>
    <row r="99" spans="1:42" customFormat="1" ht="13" x14ac:dyDescent="0.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</row>
    <row r="100" spans="1:42" customFormat="1" ht="13" x14ac:dyDescent="0.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</row>
    <row r="101" spans="1:42" customFormat="1" ht="13" x14ac:dyDescent="0.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</row>
    <row r="102" spans="1:42" customFormat="1" ht="13" x14ac:dyDescent="0.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</row>
    <row r="103" spans="1:42" customFormat="1" ht="13" x14ac:dyDescent="0.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</row>
    <row r="104" spans="1:42" customFormat="1" ht="13" x14ac:dyDescent="0.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</row>
    <row r="105" spans="1:42" customFormat="1" ht="13" x14ac:dyDescent="0.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</row>
    <row r="106" spans="1:42" customFormat="1" ht="13" x14ac:dyDescent="0.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</row>
    <row r="107" spans="1:42" customFormat="1" ht="13" x14ac:dyDescent="0.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</row>
    <row r="108" spans="1:42" customFormat="1" ht="13" x14ac:dyDescent="0.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</row>
    <row r="109" spans="1:42" customFormat="1" ht="13" x14ac:dyDescent="0.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</row>
    <row r="110" spans="1:42" customFormat="1" ht="13" x14ac:dyDescent="0.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</row>
    <row r="111" spans="1:42" customFormat="1" ht="13" x14ac:dyDescent="0.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</row>
    <row r="112" spans="1:42" customFormat="1" ht="13" x14ac:dyDescent="0.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</row>
    <row r="113" spans="1:42" customFormat="1" ht="13" x14ac:dyDescent="0.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</row>
    <row r="114" spans="1:42" customFormat="1" ht="13" x14ac:dyDescent="0.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</row>
    <row r="115" spans="1:42" customFormat="1" ht="13" x14ac:dyDescent="0.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</row>
    <row r="116" spans="1:42" customFormat="1" ht="13" x14ac:dyDescent="0.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</row>
    <row r="117" spans="1:42" customFormat="1" ht="13" x14ac:dyDescent="0.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</row>
    <row r="118" spans="1:42" customFormat="1" ht="13" x14ac:dyDescent="0.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</row>
    <row r="119" spans="1:42" customFormat="1" ht="13" x14ac:dyDescent="0.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</row>
    <row r="120" spans="1:42" customFormat="1" ht="13" x14ac:dyDescent="0.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</row>
    <row r="121" spans="1:42" customFormat="1" ht="13" x14ac:dyDescent="0.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</row>
    <row r="122" spans="1:42" customFormat="1" ht="13" x14ac:dyDescent="0.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</row>
    <row r="123" spans="1:42" customFormat="1" ht="13" x14ac:dyDescent="0.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</row>
    <row r="124" spans="1:42" customFormat="1" ht="13" x14ac:dyDescent="0.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</row>
    <row r="125" spans="1:42" customFormat="1" ht="13" x14ac:dyDescent="0.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</row>
    <row r="126" spans="1:42" customFormat="1" ht="13" x14ac:dyDescent="0.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</row>
    <row r="127" spans="1:42" customFormat="1" ht="13" x14ac:dyDescent="0.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</row>
    <row r="128" spans="1:42" customFormat="1" ht="13" x14ac:dyDescent="0.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</row>
    <row r="129" spans="1:42" customFormat="1" ht="13" x14ac:dyDescent="0.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</row>
    <row r="130" spans="1:42" customFormat="1" ht="13" x14ac:dyDescent="0.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</row>
    <row r="131" spans="1:42" customFormat="1" ht="13" x14ac:dyDescent="0.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</row>
    <row r="132" spans="1:42" customFormat="1" ht="13" x14ac:dyDescent="0.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</row>
    <row r="133" spans="1:42" customFormat="1" ht="13" x14ac:dyDescent="0.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</row>
    <row r="134" spans="1:42" customFormat="1" ht="13" x14ac:dyDescent="0.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</row>
    <row r="135" spans="1:42" customFormat="1" ht="13" x14ac:dyDescent="0.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</row>
    <row r="136" spans="1:42" customFormat="1" ht="13" x14ac:dyDescent="0.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</row>
    <row r="137" spans="1:42" customFormat="1" ht="13" x14ac:dyDescent="0.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</row>
    <row r="138" spans="1:42" customFormat="1" ht="13" x14ac:dyDescent="0.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</row>
    <row r="139" spans="1:42" customFormat="1" ht="13" x14ac:dyDescent="0.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</row>
    <row r="140" spans="1:42" customFormat="1" ht="13" x14ac:dyDescent="0.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</row>
    <row r="141" spans="1:42" customFormat="1" ht="13" x14ac:dyDescent="0.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</row>
    <row r="142" spans="1:42" customFormat="1" ht="13" x14ac:dyDescent="0.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</row>
    <row r="143" spans="1:42" customFormat="1" ht="13" x14ac:dyDescent="0.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</row>
    <row r="144" spans="1:42" customFormat="1" ht="13" x14ac:dyDescent="0.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</row>
    <row r="145" spans="1:42" customFormat="1" ht="13" x14ac:dyDescent="0.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</row>
    <row r="146" spans="1:42" customFormat="1" ht="13" x14ac:dyDescent="0.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</row>
    <row r="147" spans="1:42" customFormat="1" ht="13" x14ac:dyDescent="0.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</row>
    <row r="148" spans="1:42" customFormat="1" ht="13" x14ac:dyDescent="0.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</row>
    <row r="149" spans="1:42" customFormat="1" ht="13" x14ac:dyDescent="0.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</row>
    <row r="150" spans="1:42" customFormat="1" ht="13" x14ac:dyDescent="0.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</row>
    <row r="151" spans="1:42" customFormat="1" ht="13" x14ac:dyDescent="0.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</row>
    <row r="152" spans="1:42" customFormat="1" ht="13" x14ac:dyDescent="0.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</row>
    <row r="153" spans="1:42" customFormat="1" ht="13" x14ac:dyDescent="0.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</row>
    <row r="154" spans="1:42" customFormat="1" ht="13" x14ac:dyDescent="0.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</row>
    <row r="155" spans="1:42" customFormat="1" ht="13" x14ac:dyDescent="0.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</row>
    <row r="156" spans="1:42" customFormat="1" ht="13" x14ac:dyDescent="0.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</row>
    <row r="157" spans="1:42" customFormat="1" ht="13" x14ac:dyDescent="0.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</row>
    <row r="158" spans="1:42" customFormat="1" ht="13" x14ac:dyDescent="0.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</row>
    <row r="159" spans="1:42" customFormat="1" ht="13" x14ac:dyDescent="0.1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</row>
    <row r="160" spans="1:42" customFormat="1" ht="13" x14ac:dyDescent="0.15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</row>
    <row r="161" spans="1:42" customFormat="1" ht="13" x14ac:dyDescent="0.15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</row>
    <row r="162" spans="1:42" customFormat="1" ht="13" x14ac:dyDescent="0.15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</row>
    <row r="163" spans="1:42" customFormat="1" ht="13" x14ac:dyDescent="0.15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</row>
    <row r="164" spans="1:42" customFormat="1" ht="13" x14ac:dyDescent="0.15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</row>
    <row r="165" spans="1:42" customFormat="1" ht="13" x14ac:dyDescent="0.15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</row>
    <row r="166" spans="1:42" customFormat="1" ht="13" x14ac:dyDescent="0.15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</row>
    <row r="167" spans="1:42" customFormat="1" ht="13" x14ac:dyDescent="0.15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</row>
    <row r="168" spans="1:42" customFormat="1" ht="13" x14ac:dyDescent="0.15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</row>
    <row r="169" spans="1:42" customFormat="1" ht="13" x14ac:dyDescent="0.15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</row>
    <row r="170" spans="1:42" customFormat="1" ht="13" x14ac:dyDescent="0.15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</row>
    <row r="171" spans="1:42" customFormat="1" ht="13" x14ac:dyDescent="0.15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</row>
    <row r="172" spans="1:42" customFormat="1" ht="13" x14ac:dyDescent="0.15"/>
    <row r="173" spans="1:42" customFormat="1" ht="13" x14ac:dyDescent="0.15"/>
    <row r="174" spans="1:42" customFormat="1" ht="13" x14ac:dyDescent="0.15"/>
    <row r="175" spans="1:42" customFormat="1" ht="13" x14ac:dyDescent="0.15"/>
    <row r="176" spans="1:42" customFormat="1" ht="13" x14ac:dyDescent="0.15"/>
    <row r="177" customFormat="1" ht="13" x14ac:dyDescent="0.15"/>
    <row r="178" customFormat="1" ht="13" x14ac:dyDescent="0.15"/>
    <row r="179" customFormat="1" ht="13" x14ac:dyDescent="0.15"/>
    <row r="180" customFormat="1" ht="13" x14ac:dyDescent="0.15"/>
    <row r="181" customFormat="1" ht="13" x14ac:dyDescent="0.15"/>
    <row r="182" customFormat="1" ht="13" x14ac:dyDescent="0.15"/>
    <row r="183" customFormat="1" ht="13" x14ac:dyDescent="0.15"/>
    <row r="184" customFormat="1" ht="13" x14ac:dyDescent="0.15"/>
    <row r="185" customFormat="1" ht="13" x14ac:dyDescent="0.15"/>
    <row r="186" customFormat="1" ht="13" x14ac:dyDescent="0.15"/>
    <row r="187" customFormat="1" ht="13" x14ac:dyDescent="0.15"/>
    <row r="188" customFormat="1" ht="13" x14ac:dyDescent="0.15"/>
    <row r="189" customFormat="1" ht="13" x14ac:dyDescent="0.15"/>
    <row r="190" customFormat="1" ht="13" x14ac:dyDescent="0.15"/>
    <row r="191" customFormat="1" ht="13" x14ac:dyDescent="0.15"/>
    <row r="192" customFormat="1" ht="13" x14ac:dyDescent="0.15"/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spans="25:40" customFormat="1" ht="13" x14ac:dyDescent="0.15"/>
    <row r="418" spans="25:40" customFormat="1" ht="13" x14ac:dyDescent="0.15"/>
    <row r="419" spans="25:40" customFormat="1" ht="13" x14ac:dyDescent="0.15"/>
    <row r="420" spans="25:40" customFormat="1" ht="13" x14ac:dyDescent="0.15"/>
    <row r="421" spans="25:40" customFormat="1" ht="13" x14ac:dyDescent="0.15"/>
    <row r="422" spans="25:40" customFormat="1" ht="13" x14ac:dyDescent="0.15"/>
    <row r="423" spans="25:40" customFormat="1" ht="13" x14ac:dyDescent="0.15"/>
    <row r="424" spans="25:40" customFormat="1" ht="13" x14ac:dyDescent="0.15"/>
    <row r="425" spans="25:40" customFormat="1" ht="13" x14ac:dyDescent="0.15"/>
    <row r="426" spans="25:40" customFormat="1" ht="13" x14ac:dyDescent="0.15"/>
    <row r="427" spans="25:40" customFormat="1" ht="13" x14ac:dyDescent="0.15"/>
    <row r="428" spans="25:40" customFormat="1" ht="13" x14ac:dyDescent="0.15"/>
    <row r="429" spans="25:40" customFormat="1" ht="13" x14ac:dyDescent="0.15"/>
    <row r="430" spans="25:40" customFormat="1" ht="13" x14ac:dyDescent="0.15"/>
    <row r="431" spans="25:40" customFormat="1" ht="13" x14ac:dyDescent="0.15"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</row>
    <row r="432" spans="25:40" customFormat="1" ht="13" x14ac:dyDescent="0.15"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</row>
    <row r="433" spans="25:40" customFormat="1" ht="13" x14ac:dyDescent="0.15"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</row>
    <row r="434" spans="25:40" customFormat="1" ht="13" x14ac:dyDescent="0.15">
      <c r="Y434" s="284"/>
      <c r="Z434" s="284"/>
      <c r="AA434" s="284"/>
      <c r="AB434" s="284"/>
      <c r="AC434" s="284"/>
      <c r="AD434" s="284"/>
      <c r="AE434" s="284"/>
      <c r="AF434" s="284"/>
      <c r="AG434" s="284"/>
      <c r="AH434" s="284"/>
      <c r="AI434" s="284"/>
      <c r="AJ434" s="284"/>
      <c r="AK434" s="284"/>
      <c r="AL434" s="284"/>
      <c r="AM434" s="284"/>
      <c r="AN434" s="284"/>
    </row>
    <row r="435" spans="25:40" customFormat="1" ht="13" x14ac:dyDescent="0.15"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</row>
    <row r="436" spans="25:40" customFormat="1" ht="13" x14ac:dyDescent="0.15"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</row>
    <row r="437" spans="25:40" customFormat="1" ht="13" x14ac:dyDescent="0.15">
      <c r="Y437" s="284"/>
      <c r="Z437" s="284"/>
      <c r="AA437" s="284"/>
      <c r="AB437" s="284"/>
      <c r="AC437" s="284"/>
      <c r="AD437" s="284"/>
      <c r="AE437" s="284"/>
      <c r="AF437" s="284"/>
      <c r="AG437" s="284"/>
      <c r="AH437" s="284"/>
      <c r="AI437" s="284"/>
      <c r="AJ437" s="284"/>
      <c r="AK437" s="284"/>
      <c r="AL437" s="284"/>
      <c r="AM437" s="284"/>
      <c r="AN437" s="284"/>
    </row>
    <row r="438" spans="25:40" customFormat="1" ht="13" x14ac:dyDescent="0.15">
      <c r="Y438" s="284"/>
      <c r="Z438" s="284"/>
      <c r="AA438" s="284"/>
      <c r="AB438" s="284"/>
      <c r="AC438" s="284"/>
      <c r="AD438" s="284"/>
      <c r="AE438" s="284"/>
      <c r="AF438" s="284"/>
      <c r="AG438" s="284"/>
      <c r="AH438" s="284"/>
      <c r="AI438" s="284"/>
      <c r="AJ438" s="284"/>
      <c r="AK438" s="284"/>
      <c r="AL438" s="284"/>
      <c r="AM438" s="284"/>
      <c r="AN438" s="284"/>
    </row>
    <row r="439" spans="25:40" customFormat="1" ht="13" x14ac:dyDescent="0.15"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</row>
    <row r="440" spans="25:40" customFormat="1" ht="13" x14ac:dyDescent="0.15"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</row>
    <row r="441" spans="25:40" customFormat="1" ht="13" x14ac:dyDescent="0.15"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</row>
    <row r="442" spans="25:40" customFormat="1" ht="13" x14ac:dyDescent="0.15">
      <c r="Y442" s="284"/>
      <c r="Z442" s="284"/>
      <c r="AA442" s="284"/>
      <c r="AB442" s="284"/>
      <c r="AC442" s="284"/>
      <c r="AD442" s="284"/>
      <c r="AE442" s="284"/>
      <c r="AF442" s="284"/>
      <c r="AG442" s="284"/>
      <c r="AH442" s="284"/>
      <c r="AI442" s="284"/>
      <c r="AJ442" s="284"/>
      <c r="AK442" s="284"/>
      <c r="AL442" s="284"/>
      <c r="AM442" s="284"/>
      <c r="AN442" s="284"/>
    </row>
    <row r="443" spans="25:40" customFormat="1" ht="13" x14ac:dyDescent="0.15"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</row>
    <row r="444" spans="25:40" customFormat="1" ht="13" x14ac:dyDescent="0.15"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</row>
    <row r="445" spans="25:40" customFormat="1" ht="13" x14ac:dyDescent="0.15">
      <c r="Y445" s="284"/>
      <c r="Z445" s="284"/>
      <c r="AA445" s="284"/>
      <c r="AB445" s="284"/>
      <c r="AC445" s="284"/>
      <c r="AD445" s="284"/>
      <c r="AE445" s="284"/>
      <c r="AF445" s="284"/>
      <c r="AG445" s="284"/>
      <c r="AH445" s="284"/>
      <c r="AI445" s="284"/>
      <c r="AJ445" s="284"/>
      <c r="AK445" s="284"/>
      <c r="AL445" s="284"/>
      <c r="AM445" s="284"/>
      <c r="AN445" s="284"/>
    </row>
    <row r="446" spans="25:40" customFormat="1" ht="13" x14ac:dyDescent="0.15">
      <c r="Y446" s="284"/>
      <c r="Z446" s="284"/>
      <c r="AA446" s="284"/>
      <c r="AB446" s="284"/>
      <c r="AC446" s="284"/>
      <c r="AD446" s="284"/>
      <c r="AE446" s="284"/>
      <c r="AF446" s="284"/>
      <c r="AG446" s="284"/>
      <c r="AH446" s="284"/>
      <c r="AI446" s="284"/>
      <c r="AJ446" s="284"/>
      <c r="AK446" s="284"/>
      <c r="AL446" s="284"/>
      <c r="AM446" s="284"/>
      <c r="AN446" s="284"/>
    </row>
    <row r="447" spans="25:40" customFormat="1" ht="13" x14ac:dyDescent="0.15"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</row>
    <row r="448" spans="25:40" customFormat="1" ht="13" x14ac:dyDescent="0.15"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</row>
    <row r="449" spans="25:40" customFormat="1" ht="13" x14ac:dyDescent="0.15">
      <c r="Y449" s="284"/>
      <c r="Z449" s="284"/>
      <c r="AA449" s="284"/>
      <c r="AB449" s="284"/>
      <c r="AC449" s="284"/>
      <c r="AD449" s="284"/>
      <c r="AE449" s="284"/>
      <c r="AF449" s="284"/>
      <c r="AG449" s="284"/>
      <c r="AH449" s="284"/>
      <c r="AI449" s="284"/>
      <c r="AJ449" s="284"/>
      <c r="AK449" s="284"/>
      <c r="AL449" s="284"/>
      <c r="AM449" s="284"/>
      <c r="AN449" s="284"/>
    </row>
    <row r="450" spans="25:40" customFormat="1" ht="13" x14ac:dyDescent="0.15">
      <c r="Y450" s="284"/>
      <c r="Z450" s="284"/>
      <c r="AA450" s="284"/>
      <c r="AB450" s="284"/>
      <c r="AC450" s="284"/>
      <c r="AD450" s="284"/>
      <c r="AE450" s="284"/>
      <c r="AF450" s="284"/>
      <c r="AG450" s="284"/>
      <c r="AH450" s="284"/>
      <c r="AI450" s="284"/>
      <c r="AJ450" s="284"/>
      <c r="AK450" s="284"/>
      <c r="AL450" s="284"/>
      <c r="AM450" s="284"/>
      <c r="AN450" s="284"/>
    </row>
    <row r="451" spans="25:40" customFormat="1" ht="13" x14ac:dyDescent="0.15"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</row>
    <row r="452" spans="25:40" customFormat="1" ht="13" x14ac:dyDescent="0.15"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</row>
    <row r="453" spans="25:40" customFormat="1" ht="13" x14ac:dyDescent="0.15"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  <c r="AM453" s="284"/>
      <c r="AN453" s="284"/>
    </row>
    <row r="454" spans="25:40" customFormat="1" ht="13" x14ac:dyDescent="0.15"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</row>
    <row r="455" spans="25:40" customFormat="1" ht="13" x14ac:dyDescent="0.15"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</row>
    <row r="456" spans="25:40" customFormat="1" ht="13" x14ac:dyDescent="0.15"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</row>
    <row r="457" spans="25:40" customFormat="1" ht="13" x14ac:dyDescent="0.15"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  <c r="AM457" s="284"/>
      <c r="AN457" s="284"/>
    </row>
    <row r="458" spans="25:40" customFormat="1" ht="13" x14ac:dyDescent="0.15"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  <c r="AM458" s="284"/>
      <c r="AN458" s="284"/>
    </row>
    <row r="459" spans="25:40" customFormat="1" ht="13" x14ac:dyDescent="0.15"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</row>
    <row r="460" spans="25:40" customFormat="1" ht="13" x14ac:dyDescent="0.15"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</row>
    <row r="461" spans="25:40" customFormat="1" ht="13" x14ac:dyDescent="0.15"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  <c r="AM461" s="284"/>
      <c r="AN461" s="284"/>
    </row>
    <row r="462" spans="25:40" customFormat="1" ht="13" x14ac:dyDescent="0.15"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</row>
    <row r="463" spans="25:40" customFormat="1" ht="13" x14ac:dyDescent="0.15"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</row>
    <row r="464" spans="25:40" customFormat="1" ht="13" x14ac:dyDescent="0.15"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</row>
    <row r="465" spans="25:40" customFormat="1" ht="13" x14ac:dyDescent="0.15"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  <c r="AM465" s="284"/>
      <c r="AN465" s="284"/>
    </row>
    <row r="466" spans="25:40" customFormat="1" ht="13" x14ac:dyDescent="0.15"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  <c r="AM466" s="284"/>
      <c r="AN466" s="284"/>
    </row>
    <row r="467" spans="25:40" customFormat="1" ht="13" x14ac:dyDescent="0.15"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</row>
    <row r="468" spans="25:40" customFormat="1" ht="13" x14ac:dyDescent="0.15"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  <c r="AM468" s="284"/>
      <c r="AN468" s="284"/>
    </row>
    <row r="469" spans="25:40" customFormat="1" ht="13" x14ac:dyDescent="0.15"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  <c r="AM469" s="284"/>
      <c r="AN469" s="284"/>
    </row>
    <row r="470" spans="25:40" customFormat="1" ht="13" x14ac:dyDescent="0.15"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  <c r="AM470" s="284"/>
      <c r="AN470" s="284"/>
    </row>
    <row r="471" spans="25:40" customFormat="1" ht="13" x14ac:dyDescent="0.15"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  <c r="AM471" s="284"/>
      <c r="AN471" s="284"/>
    </row>
    <row r="472" spans="25:40" customFormat="1" ht="13" x14ac:dyDescent="0.15"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  <c r="AM472" s="284"/>
      <c r="AN472" s="284"/>
    </row>
    <row r="473" spans="25:40" customFormat="1" ht="13" x14ac:dyDescent="0.15"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  <c r="AM473" s="284"/>
      <c r="AN473" s="284"/>
    </row>
    <row r="474" spans="25:40" customFormat="1" ht="13" x14ac:dyDescent="0.15"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  <c r="AM474" s="284"/>
      <c r="AN474" s="284"/>
    </row>
    <row r="475" spans="25:40" customFormat="1" ht="13" x14ac:dyDescent="0.15"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  <c r="AM475" s="284"/>
      <c r="AN475" s="284"/>
    </row>
    <row r="476" spans="25:40" customFormat="1" ht="13" x14ac:dyDescent="0.15"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  <c r="AM476" s="284"/>
      <c r="AN476" s="284"/>
    </row>
    <row r="477" spans="25:40" customFormat="1" ht="13" x14ac:dyDescent="0.15"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  <c r="AM477" s="284"/>
      <c r="AN477" s="284"/>
    </row>
    <row r="478" spans="25:40" customFormat="1" ht="13" x14ac:dyDescent="0.15"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  <c r="AM478" s="284"/>
      <c r="AN478" s="284"/>
    </row>
    <row r="479" spans="25:40" customFormat="1" ht="13" x14ac:dyDescent="0.15"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</row>
    <row r="480" spans="25:40" customFormat="1" ht="13" x14ac:dyDescent="0.15"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</row>
    <row r="481" spans="25:40" customFormat="1" ht="13" x14ac:dyDescent="0.15"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</row>
    <row r="482" spans="25:40" customFormat="1" ht="13" x14ac:dyDescent="0.15"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</row>
    <row r="483" spans="25:40" customFormat="1" ht="13" x14ac:dyDescent="0.15"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  <c r="AM483" s="284"/>
      <c r="AN483" s="284"/>
    </row>
    <row r="484" spans="25:40" customFormat="1" ht="13" x14ac:dyDescent="0.15"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  <c r="AM484" s="284"/>
      <c r="AN484" s="284"/>
    </row>
    <row r="485" spans="25:40" customFormat="1" ht="13" x14ac:dyDescent="0.15"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</row>
    <row r="486" spans="25:40" customFormat="1" ht="13" x14ac:dyDescent="0.15"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</row>
    <row r="487" spans="25:40" customFormat="1" ht="13" x14ac:dyDescent="0.15"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</row>
    <row r="488" spans="25:40" customFormat="1" ht="13" x14ac:dyDescent="0.15"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</row>
    <row r="489" spans="25:40" customFormat="1" ht="13" x14ac:dyDescent="0.15"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</row>
    <row r="490" spans="25:40" customFormat="1" ht="13" x14ac:dyDescent="0.15"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</row>
    <row r="491" spans="25:40" customFormat="1" ht="13" x14ac:dyDescent="0.15"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  <c r="AM491" s="284"/>
      <c r="AN491" s="284"/>
    </row>
    <row r="492" spans="25:40" customFormat="1" ht="13" x14ac:dyDescent="0.15"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  <c r="AM492" s="284"/>
      <c r="AN492" s="284"/>
    </row>
    <row r="493" spans="25:40" customFormat="1" ht="13" x14ac:dyDescent="0.15"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</row>
    <row r="494" spans="25:40" customFormat="1" ht="13" x14ac:dyDescent="0.15"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</row>
    <row r="495" spans="25:40" customFormat="1" ht="13" x14ac:dyDescent="0.15"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  <c r="AM495" s="284"/>
      <c r="AN495" s="284"/>
    </row>
    <row r="496" spans="25:40" customFormat="1" ht="13" x14ac:dyDescent="0.15"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  <c r="AM496" s="284"/>
      <c r="AN496" s="284"/>
    </row>
    <row r="497" spans="25:40" customFormat="1" ht="13" x14ac:dyDescent="0.15"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</row>
    <row r="498" spans="25:40" customFormat="1" ht="13" x14ac:dyDescent="0.15"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</row>
    <row r="499" spans="25:40" customFormat="1" ht="13" x14ac:dyDescent="0.15"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  <c r="AM499" s="284"/>
      <c r="AN499" s="284"/>
    </row>
    <row r="500" spans="25:40" customFormat="1" ht="13" x14ac:dyDescent="0.15"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  <c r="AM500" s="284"/>
      <c r="AN500" s="284"/>
    </row>
    <row r="501" spans="25:40" customFormat="1" ht="13" x14ac:dyDescent="0.15"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</row>
    <row r="502" spans="25:40" customFormat="1" ht="13" x14ac:dyDescent="0.15"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</row>
    <row r="503" spans="25:40" customFormat="1" ht="13" x14ac:dyDescent="0.15"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  <c r="AM503" s="284"/>
      <c r="AN503" s="284"/>
    </row>
    <row r="504" spans="25:40" customFormat="1" ht="13" x14ac:dyDescent="0.15"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  <c r="AM504" s="284"/>
      <c r="AN504" s="284"/>
    </row>
    <row r="505" spans="25:40" customFormat="1" ht="13" x14ac:dyDescent="0.15"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</row>
    <row r="506" spans="25:40" customFormat="1" ht="13" x14ac:dyDescent="0.15"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</row>
    <row r="507" spans="25:40" customFormat="1" ht="13" x14ac:dyDescent="0.15"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  <c r="AM507" s="284"/>
      <c r="AN507" s="284"/>
    </row>
    <row r="508" spans="25:40" customFormat="1" ht="13" x14ac:dyDescent="0.15"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  <c r="AM508" s="284"/>
      <c r="AN508" s="284"/>
    </row>
    <row r="509" spans="25:40" customFormat="1" ht="13" x14ac:dyDescent="0.15"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</row>
    <row r="510" spans="25:40" customFormat="1" ht="13" x14ac:dyDescent="0.15"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</row>
    <row r="511" spans="25:40" customFormat="1" ht="13" x14ac:dyDescent="0.15"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  <c r="AM511" s="284"/>
      <c r="AN511" s="284"/>
    </row>
    <row r="512" spans="25:40" customFormat="1" ht="13" x14ac:dyDescent="0.15"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  <c r="AM512" s="284"/>
      <c r="AN512" s="284"/>
    </row>
    <row r="513" spans="25:40" customFormat="1" ht="13" x14ac:dyDescent="0.15"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</row>
    <row r="514" spans="25:40" customFormat="1" ht="13" x14ac:dyDescent="0.15"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</row>
    <row r="515" spans="25:40" customFormat="1" ht="13" x14ac:dyDescent="0.15"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  <c r="AM515" s="284"/>
      <c r="AN515" s="284"/>
    </row>
    <row r="516" spans="25:40" customFormat="1" ht="13" x14ac:dyDescent="0.15"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  <c r="AM516" s="284"/>
      <c r="AN516" s="284"/>
    </row>
    <row r="517" spans="25:40" customFormat="1" ht="13" x14ac:dyDescent="0.15"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</row>
    <row r="518" spans="25:40" customFormat="1" ht="13" x14ac:dyDescent="0.15"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</row>
    <row r="519" spans="25:40" customFormat="1" ht="13" x14ac:dyDescent="0.15"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</row>
    <row r="520" spans="25:40" customFormat="1" ht="13" x14ac:dyDescent="0.15"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  <c r="AM520" s="284"/>
      <c r="AN520" s="284"/>
    </row>
    <row r="521" spans="25:40" customFormat="1" ht="13" x14ac:dyDescent="0.15"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</row>
    <row r="522" spans="25:40" customFormat="1" ht="13" x14ac:dyDescent="0.15"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</row>
    <row r="523" spans="25:40" customFormat="1" ht="13" x14ac:dyDescent="0.15"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  <c r="AM523" s="284"/>
      <c r="AN523" s="284"/>
    </row>
    <row r="524" spans="25:40" customFormat="1" ht="13" x14ac:dyDescent="0.15"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  <c r="AM524" s="284"/>
      <c r="AN524" s="284"/>
    </row>
    <row r="525" spans="25:40" customFormat="1" ht="13" x14ac:dyDescent="0.15"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</row>
    <row r="526" spans="25:40" customFormat="1" ht="13" x14ac:dyDescent="0.15"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</row>
    <row r="527" spans="25:40" customFormat="1" ht="13" x14ac:dyDescent="0.15"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  <c r="AM527" s="284"/>
      <c r="AN527" s="284"/>
    </row>
    <row r="528" spans="25:40" customFormat="1" ht="13" x14ac:dyDescent="0.15"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  <c r="AM528" s="284"/>
      <c r="AN528" s="284"/>
    </row>
    <row r="529" spans="25:40" customFormat="1" ht="13" x14ac:dyDescent="0.15"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</row>
    <row r="530" spans="25:40" customFormat="1" ht="13" x14ac:dyDescent="0.15"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</row>
    <row r="531" spans="25:40" customFormat="1" ht="13" x14ac:dyDescent="0.15"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  <c r="AM531" s="284"/>
      <c r="AN531" s="284"/>
    </row>
    <row r="532" spans="25:40" customFormat="1" ht="13" x14ac:dyDescent="0.15"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</row>
    <row r="533" spans="25:40" customFormat="1" ht="13" x14ac:dyDescent="0.15"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</row>
    <row r="534" spans="25:40" customFormat="1" ht="13" x14ac:dyDescent="0.15"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</row>
    <row r="535" spans="25:40" customFormat="1" ht="13" x14ac:dyDescent="0.15"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  <c r="AM535" s="284"/>
      <c r="AN535" s="284"/>
    </row>
    <row r="536" spans="25:40" customFormat="1" ht="13" x14ac:dyDescent="0.15"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  <c r="AM536" s="284"/>
      <c r="AN536" s="284"/>
    </row>
    <row r="537" spans="25:40" customFormat="1" ht="13" x14ac:dyDescent="0.15"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</row>
    <row r="538" spans="25:40" customFormat="1" ht="13" x14ac:dyDescent="0.15"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</row>
    <row r="539" spans="25:40" customFormat="1" ht="13" x14ac:dyDescent="0.15"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  <c r="AM539" s="284"/>
      <c r="AN539" s="284"/>
    </row>
    <row r="540" spans="25:40" customFormat="1" ht="13" x14ac:dyDescent="0.15"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  <c r="AM540" s="284"/>
      <c r="AN540" s="284"/>
    </row>
    <row r="541" spans="25:40" customFormat="1" ht="13" x14ac:dyDescent="0.15"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</row>
    <row r="542" spans="25:40" customFormat="1" ht="13" x14ac:dyDescent="0.15"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</row>
    <row r="543" spans="25:40" customFormat="1" ht="13" x14ac:dyDescent="0.15"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</row>
    <row r="544" spans="25:40" customFormat="1" ht="13" x14ac:dyDescent="0.15"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  <c r="AM544" s="284"/>
      <c r="AN544" s="284"/>
    </row>
    <row r="545" spans="25:40" customFormat="1" ht="13" x14ac:dyDescent="0.15"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</row>
    <row r="546" spans="25:40" customFormat="1" ht="13" x14ac:dyDescent="0.15"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</row>
    <row r="547" spans="25:40" customFormat="1" ht="13" x14ac:dyDescent="0.15"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  <c r="AM547" s="284"/>
      <c r="AN547" s="284"/>
    </row>
    <row r="548" spans="25:40" customFormat="1" ht="13" x14ac:dyDescent="0.15"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  <c r="AM548" s="284"/>
      <c r="AN548" s="284"/>
    </row>
    <row r="549" spans="25:40" customFormat="1" ht="13" x14ac:dyDescent="0.15"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</row>
    <row r="550" spans="25:40" customFormat="1" ht="13" x14ac:dyDescent="0.15"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</row>
    <row r="551" spans="25:40" customFormat="1" ht="13" x14ac:dyDescent="0.15"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  <c r="AM551" s="284"/>
      <c r="AN551" s="284"/>
    </row>
    <row r="552" spans="25:40" customFormat="1" ht="13" x14ac:dyDescent="0.15"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  <c r="AM552" s="284"/>
      <c r="AN552" s="284"/>
    </row>
    <row r="553" spans="25:40" customFormat="1" ht="13" x14ac:dyDescent="0.15"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</row>
    <row r="554" spans="25:40" customFormat="1" ht="13" x14ac:dyDescent="0.15"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</row>
    <row r="555" spans="25:40" customFormat="1" ht="13" x14ac:dyDescent="0.15"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</row>
    <row r="556" spans="25:40" customFormat="1" ht="13" x14ac:dyDescent="0.15"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</row>
    <row r="557" spans="25:40" customFormat="1" ht="13" x14ac:dyDescent="0.15"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</row>
    <row r="558" spans="25:40" customFormat="1" ht="13" x14ac:dyDescent="0.15"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</row>
    <row r="559" spans="25:40" customFormat="1" ht="13" x14ac:dyDescent="0.15"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  <c r="AM559" s="284"/>
      <c r="AN559" s="284"/>
    </row>
    <row r="560" spans="25:40" customFormat="1" ht="13" x14ac:dyDescent="0.15"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  <c r="AM560" s="284"/>
      <c r="AN560" s="284"/>
    </row>
    <row r="561" spans="25:40" customFormat="1" ht="13" x14ac:dyDescent="0.15"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  <c r="AM561" s="284"/>
      <c r="AN561" s="284"/>
    </row>
    <row r="562" spans="25:40" customFormat="1" ht="13" x14ac:dyDescent="0.15"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</row>
    <row r="563" spans="25:40" customFormat="1" ht="13" x14ac:dyDescent="0.15"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  <c r="AM563" s="284"/>
      <c r="AN563" s="284"/>
    </row>
    <row r="564" spans="25:40" customFormat="1" ht="13" x14ac:dyDescent="0.15"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  <c r="AM564" s="284"/>
      <c r="AN564" s="284"/>
    </row>
    <row r="565" spans="25:40" customFormat="1" ht="13" x14ac:dyDescent="0.15"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  <c r="AM565" s="284"/>
      <c r="AN565" s="284"/>
    </row>
    <row r="566" spans="25:40" customFormat="1" ht="13" x14ac:dyDescent="0.15"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</row>
    <row r="567" spans="25:40" customFormat="1" ht="13" x14ac:dyDescent="0.15"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  <c r="AM567" s="284"/>
      <c r="AN567" s="284"/>
    </row>
    <row r="568" spans="25:40" customFormat="1" ht="13" x14ac:dyDescent="0.15"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  <c r="AM568" s="284"/>
      <c r="AN568" s="284"/>
    </row>
    <row r="569" spans="25:40" customFormat="1" ht="13" x14ac:dyDescent="0.15"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  <c r="AM569" s="284"/>
      <c r="AN569" s="284"/>
    </row>
    <row r="570" spans="25:40" customFormat="1" ht="13" x14ac:dyDescent="0.15"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</row>
    <row r="571" spans="25:40" customFormat="1" ht="13" x14ac:dyDescent="0.15"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</row>
    <row r="572" spans="25:40" customFormat="1" ht="13" x14ac:dyDescent="0.15"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  <c r="AM572" s="284"/>
      <c r="AN572" s="284"/>
    </row>
    <row r="573" spans="25:40" customFormat="1" ht="13" x14ac:dyDescent="0.15"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  <c r="AM573" s="284"/>
      <c r="AN573" s="284"/>
    </row>
    <row r="574" spans="25:40" customFormat="1" ht="13" x14ac:dyDescent="0.15"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  <c r="AM574" s="284"/>
      <c r="AN574" s="284"/>
    </row>
    <row r="575" spans="25:40" customFormat="1" ht="13" x14ac:dyDescent="0.15"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</row>
    <row r="576" spans="25:40" customFormat="1" ht="13" x14ac:dyDescent="0.15"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</row>
    <row r="577" spans="25:40" customFormat="1" ht="13" x14ac:dyDescent="0.15"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  <c r="AM577" s="284"/>
      <c r="AN577" s="284"/>
    </row>
    <row r="578" spans="25:40" customFormat="1" ht="13" x14ac:dyDescent="0.15"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  <c r="AM578" s="284"/>
      <c r="AN578" s="284"/>
    </row>
    <row r="579" spans="25:40" customFormat="1" ht="13" x14ac:dyDescent="0.15"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</row>
    <row r="580" spans="25:40" customFormat="1" ht="13" x14ac:dyDescent="0.15"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</row>
    <row r="581" spans="25:40" customFormat="1" ht="13" x14ac:dyDescent="0.15"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  <c r="AM581" s="284"/>
      <c r="AN581" s="284"/>
    </row>
    <row r="582" spans="25:40" customFormat="1" ht="13" x14ac:dyDescent="0.15"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  <c r="AM582" s="284"/>
      <c r="AN582" s="284"/>
    </row>
    <row r="583" spans="25:40" customFormat="1" ht="13" x14ac:dyDescent="0.15"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</row>
    <row r="584" spans="25:40" customFormat="1" ht="13" x14ac:dyDescent="0.15"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</row>
    <row r="585" spans="25:40" customFormat="1" ht="13" x14ac:dyDescent="0.15"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  <c r="AM585" s="284"/>
      <c r="AN585" s="284"/>
    </row>
    <row r="586" spans="25:40" customFormat="1" ht="13" x14ac:dyDescent="0.15"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  <c r="AM586" s="284"/>
      <c r="AN586" s="284"/>
    </row>
    <row r="587" spans="25:40" customFormat="1" ht="13" x14ac:dyDescent="0.15"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</row>
    <row r="588" spans="25:40" customFormat="1" ht="13" x14ac:dyDescent="0.15"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</row>
    <row r="589" spans="25:40" customFormat="1" ht="13" x14ac:dyDescent="0.15"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  <c r="AM589" s="284"/>
      <c r="AN589" s="284"/>
    </row>
    <row r="590" spans="25:40" customFormat="1" ht="13" x14ac:dyDescent="0.15"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  <c r="AM590" s="284"/>
      <c r="AN590" s="284"/>
    </row>
    <row r="591" spans="25:40" customFormat="1" ht="13" x14ac:dyDescent="0.15"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</row>
    <row r="592" spans="25:40" customFormat="1" ht="13" x14ac:dyDescent="0.15"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</row>
    <row r="593" spans="25:40" customFormat="1" ht="13" x14ac:dyDescent="0.15"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  <c r="AM593" s="284"/>
      <c r="AN593" s="284"/>
    </row>
    <row r="594" spans="25:40" customFormat="1" ht="13" x14ac:dyDescent="0.15"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  <c r="AM594" s="284"/>
      <c r="AN594" s="284"/>
    </row>
    <row r="595" spans="25:40" customFormat="1" ht="13" x14ac:dyDescent="0.15"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</row>
    <row r="596" spans="25:40" customFormat="1" ht="13" x14ac:dyDescent="0.15"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</row>
    <row r="597" spans="25:40" customFormat="1" ht="13" x14ac:dyDescent="0.15"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</row>
    <row r="598" spans="25:40" customFormat="1" ht="13" x14ac:dyDescent="0.15"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  <c r="AM598" s="284"/>
      <c r="AN598" s="284"/>
    </row>
    <row r="599" spans="25:40" customFormat="1" ht="13" x14ac:dyDescent="0.15"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</row>
    <row r="600" spans="25:40" customFormat="1" ht="13" x14ac:dyDescent="0.15"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</row>
    <row r="601" spans="25:40" customFormat="1" ht="13" x14ac:dyDescent="0.15"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  <c r="AM601" s="284"/>
      <c r="AN601" s="284"/>
    </row>
    <row r="602" spans="25:40" customFormat="1" ht="13" x14ac:dyDescent="0.15"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  <c r="AM602" s="284"/>
      <c r="AN602" s="284"/>
    </row>
    <row r="603" spans="25:40" customFormat="1" ht="13" x14ac:dyDescent="0.15"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</row>
    <row r="604" spans="25:40" customFormat="1" ht="13" x14ac:dyDescent="0.15"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</row>
    <row r="605" spans="25:40" customFormat="1" ht="13" x14ac:dyDescent="0.15"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  <c r="AM605" s="284"/>
      <c r="AN605" s="284"/>
    </row>
    <row r="606" spans="25:40" customFormat="1" ht="13" x14ac:dyDescent="0.15"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  <c r="AM606" s="284"/>
      <c r="AN606" s="284"/>
    </row>
    <row r="607" spans="25:40" customFormat="1" ht="13" x14ac:dyDescent="0.15"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</row>
    <row r="608" spans="25:40" customFormat="1" ht="13" x14ac:dyDescent="0.15"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</row>
    <row r="609" spans="25:40" customFormat="1" ht="13" x14ac:dyDescent="0.15"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</row>
    <row r="610" spans="25:40" customFormat="1" ht="13" x14ac:dyDescent="0.15"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</row>
    <row r="611" spans="25:40" customFormat="1" ht="13" x14ac:dyDescent="0.15"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</row>
    <row r="612" spans="25:40" customFormat="1" ht="13" x14ac:dyDescent="0.15"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</row>
    <row r="613" spans="25:40" customFormat="1" ht="13" x14ac:dyDescent="0.15"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</row>
    <row r="614" spans="25:40" customFormat="1" ht="13" x14ac:dyDescent="0.15"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</row>
    <row r="615" spans="25:40" customFormat="1" ht="13" x14ac:dyDescent="0.15"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</row>
    <row r="616" spans="25:40" customFormat="1" ht="13" x14ac:dyDescent="0.15"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</row>
    <row r="617" spans="25:40" customFormat="1" ht="13" x14ac:dyDescent="0.15"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</row>
    <row r="618" spans="25:40" customFormat="1" ht="13" x14ac:dyDescent="0.15"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  <c r="AM618" s="284"/>
      <c r="AN618" s="284"/>
    </row>
    <row r="619" spans="25:40" customFormat="1" ht="13" x14ac:dyDescent="0.15"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</row>
    <row r="620" spans="25:40" customFormat="1" ht="13" x14ac:dyDescent="0.15"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</row>
    <row r="621" spans="25:40" customFormat="1" ht="13" x14ac:dyDescent="0.15"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  <c r="AM621" s="284"/>
      <c r="AN621" s="284"/>
    </row>
    <row r="622" spans="25:40" customFormat="1" ht="13" x14ac:dyDescent="0.15"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  <c r="AM622" s="284"/>
      <c r="AN622" s="284"/>
    </row>
    <row r="623" spans="25:40" customFormat="1" ht="13" x14ac:dyDescent="0.15"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</row>
    <row r="624" spans="25:40" customFormat="1" ht="13" x14ac:dyDescent="0.15"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</row>
    <row r="625" spans="25:40" customFormat="1" ht="13" x14ac:dyDescent="0.15"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  <c r="AM625" s="284"/>
      <c r="AN625" s="284"/>
    </row>
    <row r="626" spans="25:40" customFormat="1" ht="13" x14ac:dyDescent="0.15"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  <c r="AM626" s="284"/>
      <c r="AN626" s="284"/>
    </row>
    <row r="627" spans="25:40" customFormat="1" ht="13" x14ac:dyDescent="0.15"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</row>
    <row r="628" spans="25:40" customFormat="1" ht="13" x14ac:dyDescent="0.15"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</row>
    <row r="629" spans="25:40" customFormat="1" ht="13" x14ac:dyDescent="0.15"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</row>
    <row r="630" spans="25:40" customFormat="1" ht="13" x14ac:dyDescent="0.15"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  <c r="AM630" s="284"/>
      <c r="AN630" s="284"/>
    </row>
    <row r="631" spans="25:40" customFormat="1" ht="13" x14ac:dyDescent="0.15"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</row>
    <row r="632" spans="25:40" customFormat="1" ht="13" x14ac:dyDescent="0.15"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</row>
    <row r="633" spans="25:40" customFormat="1" ht="13" x14ac:dyDescent="0.15"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  <c r="AM633" s="284"/>
      <c r="AN633" s="284"/>
    </row>
    <row r="634" spans="25:40" customFormat="1" ht="13" x14ac:dyDescent="0.15"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  <c r="AM634" s="284"/>
      <c r="AN634" s="284"/>
    </row>
    <row r="635" spans="25:40" customFormat="1" ht="13" x14ac:dyDescent="0.15"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</row>
    <row r="636" spans="25:40" customFormat="1" ht="13" x14ac:dyDescent="0.15"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</row>
    <row r="637" spans="25:40" customFormat="1" ht="13" x14ac:dyDescent="0.15"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  <c r="AM637" s="284"/>
      <c r="AN637" s="284"/>
    </row>
    <row r="638" spans="25:40" customFormat="1" ht="13" x14ac:dyDescent="0.15"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  <c r="AM638" s="284"/>
      <c r="AN638" s="284"/>
    </row>
    <row r="639" spans="25:40" customFormat="1" ht="13" x14ac:dyDescent="0.15"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</row>
    <row r="640" spans="25:40" customFormat="1" ht="13" x14ac:dyDescent="0.15"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</row>
    <row r="641" customFormat="1" ht="13" x14ac:dyDescent="0.15"/>
    <row r="642" customFormat="1" ht="13" x14ac:dyDescent="0.15"/>
    <row r="643" customFormat="1" ht="13" x14ac:dyDescent="0.15"/>
    <row r="644" customFormat="1" ht="13" x14ac:dyDescent="0.15"/>
    <row r="645" customFormat="1" ht="13" x14ac:dyDescent="0.15"/>
    <row r="646" customFormat="1" ht="13" x14ac:dyDescent="0.15"/>
    <row r="647" customFormat="1" ht="13" x14ac:dyDescent="0.15"/>
    <row r="648" customFormat="1" ht="13" x14ac:dyDescent="0.15"/>
    <row r="649" customFormat="1" ht="13" x14ac:dyDescent="0.15"/>
    <row r="650" customFormat="1" ht="13" x14ac:dyDescent="0.15"/>
    <row r="651" customFormat="1" ht="13" x14ac:dyDescent="0.15"/>
    <row r="652" customFormat="1" ht="13" x14ac:dyDescent="0.15"/>
    <row r="653" customFormat="1" ht="13" x14ac:dyDescent="0.15"/>
    <row r="654" customFormat="1" ht="13" x14ac:dyDescent="0.15"/>
    <row r="655" customFormat="1" ht="13" x14ac:dyDescent="0.15"/>
    <row r="656" customFormat="1" ht="13" x14ac:dyDescent="0.15"/>
    <row r="657" customFormat="1" ht="13" x14ac:dyDescent="0.15"/>
    <row r="658" customFormat="1" ht="13" x14ac:dyDescent="0.15"/>
    <row r="659" customFormat="1" ht="13" x14ac:dyDescent="0.15"/>
    <row r="660" customFormat="1" ht="13" x14ac:dyDescent="0.15"/>
    <row r="661" customFormat="1" ht="13" x14ac:dyDescent="0.15"/>
    <row r="662" customFormat="1" ht="13" x14ac:dyDescent="0.15"/>
    <row r="663" customFormat="1" ht="13" x14ac:dyDescent="0.15"/>
    <row r="664" customFormat="1" ht="13" x14ac:dyDescent="0.15"/>
    <row r="665" customFormat="1" ht="13" x14ac:dyDescent="0.15"/>
    <row r="666" customFormat="1" ht="13" x14ac:dyDescent="0.15"/>
    <row r="667" customFormat="1" ht="13" x14ac:dyDescent="0.15"/>
    <row r="668" customFormat="1" ht="13" x14ac:dyDescent="0.15"/>
    <row r="669" customFormat="1" ht="13" x14ac:dyDescent="0.15"/>
    <row r="670" customFormat="1" ht="13" x14ac:dyDescent="0.15"/>
    <row r="671" customFormat="1" ht="13" x14ac:dyDescent="0.15"/>
    <row r="672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  <row r="2317" customFormat="1" ht="13" x14ac:dyDescent="0.15"/>
    <row r="2318" customFormat="1" ht="13" x14ac:dyDescent="0.15"/>
    <row r="2319" customFormat="1" ht="13" x14ac:dyDescent="0.15"/>
    <row r="2320" customFormat="1" ht="13" x14ac:dyDescent="0.15"/>
    <row r="2321" customFormat="1" ht="13" x14ac:dyDescent="0.15"/>
    <row r="2322" customFormat="1" ht="13" x14ac:dyDescent="0.15"/>
    <row r="2323" customFormat="1" ht="13" x14ac:dyDescent="0.15"/>
    <row r="2324" customFormat="1" ht="13" x14ac:dyDescent="0.15"/>
    <row r="2325" customFormat="1" ht="13" x14ac:dyDescent="0.15"/>
    <row r="2326" customFormat="1" ht="13" x14ac:dyDescent="0.15"/>
    <row r="2327" customFormat="1" ht="13" x14ac:dyDescent="0.15"/>
    <row r="2328" customFormat="1" ht="13" x14ac:dyDescent="0.15"/>
    <row r="2329" customFormat="1" ht="13" x14ac:dyDescent="0.15"/>
    <row r="2330" customFormat="1" ht="13" x14ac:dyDescent="0.15"/>
    <row r="2331" customFormat="1" ht="13" x14ac:dyDescent="0.15"/>
    <row r="2332" customFormat="1" ht="13" x14ac:dyDescent="0.15"/>
    <row r="2333" customFormat="1" ht="13" x14ac:dyDescent="0.15"/>
    <row r="2334" customFormat="1" ht="13" x14ac:dyDescent="0.15"/>
    <row r="2335" customFormat="1" ht="13" x14ac:dyDescent="0.15"/>
    <row r="2336" customFormat="1" ht="13" x14ac:dyDescent="0.15"/>
    <row r="2337" customFormat="1" ht="13" x14ac:dyDescent="0.15"/>
    <row r="2338" customFormat="1" ht="13" x14ac:dyDescent="0.15"/>
    <row r="2339" customFormat="1" ht="13" x14ac:dyDescent="0.15"/>
    <row r="2340" customFormat="1" ht="13" x14ac:dyDescent="0.15"/>
    <row r="2341" customFormat="1" ht="13" x14ac:dyDescent="0.15"/>
    <row r="2342" customFormat="1" ht="13" x14ac:dyDescent="0.15"/>
    <row r="2343" customFormat="1" ht="13" x14ac:dyDescent="0.15"/>
    <row r="2344" customFormat="1" ht="13" x14ac:dyDescent="0.15"/>
    <row r="2345" customFormat="1" ht="13" x14ac:dyDescent="0.15"/>
    <row r="2346" customFormat="1" ht="13" x14ac:dyDescent="0.15"/>
    <row r="2347" customFormat="1" ht="13" x14ac:dyDescent="0.15"/>
    <row r="2348" customFormat="1" ht="13" x14ac:dyDescent="0.15"/>
    <row r="2349" customFormat="1" ht="13" x14ac:dyDescent="0.15"/>
    <row r="2350" customFormat="1" ht="13" x14ac:dyDescent="0.15"/>
    <row r="2351" customFormat="1" ht="13" x14ac:dyDescent="0.15"/>
    <row r="2352" customFormat="1" ht="13" x14ac:dyDescent="0.15"/>
    <row r="2353" customFormat="1" ht="13" x14ac:dyDescent="0.15"/>
    <row r="2354" customFormat="1" ht="13" x14ac:dyDescent="0.15"/>
    <row r="2355" customFormat="1" ht="13" x14ac:dyDescent="0.15"/>
    <row r="2356" customFormat="1" ht="13" x14ac:dyDescent="0.15"/>
    <row r="2357" customFormat="1" ht="13" x14ac:dyDescent="0.15"/>
    <row r="2358" customFormat="1" ht="13" x14ac:dyDescent="0.15"/>
    <row r="2359" customFormat="1" ht="13" x14ac:dyDescent="0.15"/>
    <row r="2360" customFormat="1" ht="13" x14ac:dyDescent="0.15"/>
    <row r="2361" customFormat="1" ht="13" x14ac:dyDescent="0.15"/>
    <row r="2362" customFormat="1" ht="13" x14ac:dyDescent="0.15"/>
    <row r="2363" customFormat="1" ht="13" x14ac:dyDescent="0.15"/>
    <row r="2364" customFormat="1" ht="13" x14ac:dyDescent="0.15"/>
    <row r="2365" customFormat="1" ht="13" x14ac:dyDescent="0.15"/>
    <row r="2366" customFormat="1" ht="13" x14ac:dyDescent="0.15"/>
    <row r="2367" customFormat="1" ht="13" x14ac:dyDescent="0.15"/>
    <row r="2368" customFormat="1" ht="13" x14ac:dyDescent="0.15"/>
    <row r="2369" customFormat="1" ht="13" x14ac:dyDescent="0.15"/>
    <row r="2370" customFormat="1" ht="13" x14ac:dyDescent="0.15"/>
    <row r="2371" customFormat="1" ht="13" x14ac:dyDescent="0.15"/>
    <row r="2372" customFormat="1" ht="13" x14ac:dyDescent="0.15"/>
    <row r="2373" customFormat="1" ht="13" x14ac:dyDescent="0.15"/>
    <row r="2374" customFormat="1" ht="13" x14ac:dyDescent="0.15"/>
    <row r="2375" customFormat="1" ht="13" x14ac:dyDescent="0.15"/>
    <row r="2376" customFormat="1" ht="13" x14ac:dyDescent="0.15"/>
    <row r="2377" customFormat="1" ht="13" x14ac:dyDescent="0.15"/>
    <row r="2378" customFormat="1" ht="13" x14ac:dyDescent="0.15"/>
    <row r="2379" customFormat="1" ht="13" x14ac:dyDescent="0.15"/>
    <row r="2380" customFormat="1" ht="13" x14ac:dyDescent="0.15"/>
    <row r="2381" customFormat="1" ht="13" x14ac:dyDescent="0.15"/>
    <row r="2382" customFormat="1" ht="13" x14ac:dyDescent="0.15"/>
    <row r="2383" customFormat="1" ht="13" x14ac:dyDescent="0.15"/>
    <row r="2384" customFormat="1" ht="13" x14ac:dyDescent="0.15"/>
    <row r="2385" customFormat="1" ht="13" x14ac:dyDescent="0.15"/>
    <row r="2386" customFormat="1" ht="13" x14ac:dyDescent="0.15"/>
    <row r="2387" customFormat="1" ht="13" x14ac:dyDescent="0.15"/>
    <row r="2388" customFormat="1" ht="13" x14ac:dyDescent="0.15"/>
    <row r="2389" customFormat="1" ht="13" x14ac:dyDescent="0.15"/>
    <row r="2390" customFormat="1" ht="13" x14ac:dyDescent="0.15"/>
    <row r="2391" customFormat="1" ht="13" x14ac:dyDescent="0.15"/>
    <row r="2392" customFormat="1" ht="13" x14ac:dyDescent="0.15"/>
    <row r="2393" customFormat="1" ht="13" x14ac:dyDescent="0.15"/>
    <row r="2394" customFormat="1" ht="13" x14ac:dyDescent="0.15"/>
    <row r="2395" customFormat="1" ht="13" x14ac:dyDescent="0.15"/>
    <row r="2396" customFormat="1" ht="13" x14ac:dyDescent="0.15"/>
    <row r="2397" customFormat="1" ht="13" x14ac:dyDescent="0.15"/>
    <row r="2398" customFormat="1" ht="13" x14ac:dyDescent="0.15"/>
    <row r="2399" customFormat="1" ht="13" x14ac:dyDescent="0.15"/>
    <row r="2400" customFormat="1" ht="13" x14ac:dyDescent="0.15"/>
    <row r="2401" customFormat="1" ht="13" x14ac:dyDescent="0.15"/>
    <row r="2402" customFormat="1" ht="13" x14ac:dyDescent="0.15"/>
    <row r="2403" customFormat="1" ht="13" x14ac:dyDescent="0.15"/>
    <row r="2404" customFormat="1" ht="13" x14ac:dyDescent="0.15"/>
    <row r="2405" customFormat="1" ht="13" x14ac:dyDescent="0.15"/>
    <row r="2406" customFormat="1" ht="13" x14ac:dyDescent="0.15"/>
    <row r="2407" customFormat="1" ht="13" x14ac:dyDescent="0.15"/>
    <row r="2408" customFormat="1" ht="13" x14ac:dyDescent="0.15"/>
    <row r="2409" customFormat="1" ht="13" x14ac:dyDescent="0.15"/>
    <row r="2410" customFormat="1" ht="13" x14ac:dyDescent="0.15"/>
    <row r="2411" customFormat="1" ht="13" x14ac:dyDescent="0.15"/>
    <row r="2412" customFormat="1" ht="13" x14ac:dyDescent="0.15"/>
    <row r="2413" customFormat="1" ht="13" x14ac:dyDescent="0.15"/>
    <row r="2414" customFormat="1" ht="13" x14ac:dyDescent="0.15"/>
    <row r="2415" customFormat="1" ht="13" x14ac:dyDescent="0.15"/>
    <row r="2416" customFormat="1" ht="13" x14ac:dyDescent="0.15"/>
    <row r="2417" customFormat="1" ht="13" x14ac:dyDescent="0.15"/>
    <row r="2418" customFormat="1" ht="13" x14ac:dyDescent="0.15"/>
    <row r="2419" customFormat="1" ht="13" x14ac:dyDescent="0.15"/>
    <row r="2420" customFormat="1" ht="13" x14ac:dyDescent="0.15"/>
    <row r="2421" customFormat="1" ht="13" x14ac:dyDescent="0.15"/>
    <row r="2422" customFormat="1" ht="13" x14ac:dyDescent="0.15"/>
    <row r="2423" customFormat="1" ht="13" x14ac:dyDescent="0.15"/>
    <row r="2424" customFormat="1" ht="13" x14ac:dyDescent="0.15"/>
    <row r="2425" customFormat="1" ht="13" x14ac:dyDescent="0.15"/>
    <row r="2426" customFormat="1" ht="13" x14ac:dyDescent="0.15"/>
    <row r="2427" customFormat="1" ht="13" x14ac:dyDescent="0.15"/>
    <row r="2428" customFormat="1" ht="13" x14ac:dyDescent="0.15"/>
    <row r="2429" customFormat="1" ht="13" x14ac:dyDescent="0.15"/>
    <row r="2430" customFormat="1" ht="13" x14ac:dyDescent="0.15"/>
    <row r="2431" customFormat="1" ht="13" x14ac:dyDescent="0.15"/>
    <row r="2432" customFormat="1" ht="13" x14ac:dyDescent="0.15"/>
    <row r="2433" customFormat="1" ht="13" x14ac:dyDescent="0.15"/>
    <row r="2434" customFormat="1" ht="13" x14ac:dyDescent="0.15"/>
    <row r="2435" customFormat="1" ht="13" x14ac:dyDescent="0.15"/>
    <row r="2436" customFormat="1" ht="13" x14ac:dyDescent="0.15"/>
    <row r="2437" customFormat="1" ht="13" x14ac:dyDescent="0.15"/>
    <row r="2438" customFormat="1" ht="13" x14ac:dyDescent="0.15"/>
    <row r="2439" customFormat="1" ht="13" x14ac:dyDescent="0.15"/>
    <row r="2440" customFormat="1" ht="13" x14ac:dyDescent="0.15"/>
    <row r="2441" customFormat="1" ht="13" x14ac:dyDescent="0.15"/>
    <row r="2442" customFormat="1" ht="13" x14ac:dyDescent="0.15"/>
    <row r="2443" customFormat="1" ht="13" x14ac:dyDescent="0.15"/>
    <row r="2444" customFormat="1" ht="13" x14ac:dyDescent="0.15"/>
    <row r="2445" customFormat="1" ht="13" x14ac:dyDescent="0.15"/>
    <row r="2446" customFormat="1" ht="13" x14ac:dyDescent="0.15"/>
    <row r="2447" customFormat="1" ht="13" x14ac:dyDescent="0.15"/>
    <row r="2448" customFormat="1" ht="13" x14ac:dyDescent="0.15"/>
    <row r="2449" customFormat="1" ht="13" x14ac:dyDescent="0.15"/>
    <row r="2450" customFormat="1" ht="13" x14ac:dyDescent="0.15"/>
    <row r="2451" customFormat="1" ht="13" x14ac:dyDescent="0.15"/>
    <row r="2452" customFormat="1" ht="13" x14ac:dyDescent="0.15"/>
    <row r="2453" customFormat="1" ht="13" x14ac:dyDescent="0.15"/>
    <row r="2454" customFormat="1" ht="13" x14ac:dyDescent="0.15"/>
    <row r="2455" customFormat="1" ht="13" x14ac:dyDescent="0.15"/>
    <row r="2456" customFormat="1" ht="13" x14ac:dyDescent="0.15"/>
    <row r="2457" customFormat="1" ht="13" x14ac:dyDescent="0.15"/>
    <row r="2458" customFormat="1" ht="13" x14ac:dyDescent="0.15"/>
    <row r="2459" customFormat="1" ht="13" x14ac:dyDescent="0.15"/>
    <row r="2460" customFormat="1" ht="13" x14ac:dyDescent="0.15"/>
    <row r="2461" customFormat="1" ht="13" x14ac:dyDescent="0.15"/>
    <row r="2462" customFormat="1" ht="13" x14ac:dyDescent="0.15"/>
    <row r="2463" customFormat="1" ht="13" x14ac:dyDescent="0.15"/>
    <row r="2464" customFormat="1" ht="13" x14ac:dyDescent="0.15"/>
    <row r="2465" customFormat="1" ht="13" x14ac:dyDescent="0.15"/>
    <row r="2466" customFormat="1" ht="13" x14ac:dyDescent="0.15"/>
    <row r="2467" customFormat="1" ht="13" x14ac:dyDescent="0.15"/>
    <row r="2468" customFormat="1" ht="13" x14ac:dyDescent="0.15"/>
    <row r="2469" customFormat="1" ht="13" x14ac:dyDescent="0.15"/>
    <row r="2470" customFormat="1" ht="13" x14ac:dyDescent="0.15"/>
    <row r="2471" customFormat="1" ht="13" x14ac:dyDescent="0.15"/>
    <row r="2472" customFormat="1" ht="13" x14ac:dyDescent="0.15"/>
    <row r="2473" customFormat="1" ht="13" x14ac:dyDescent="0.15"/>
    <row r="2474" customFormat="1" ht="13" x14ac:dyDescent="0.15"/>
    <row r="2475" customFormat="1" ht="13" x14ac:dyDescent="0.15"/>
    <row r="2476" customFormat="1" ht="13" x14ac:dyDescent="0.15"/>
    <row r="2477" customFormat="1" ht="13" x14ac:dyDescent="0.15"/>
    <row r="2478" customFormat="1" ht="13" x14ac:dyDescent="0.15"/>
    <row r="2479" customFormat="1" ht="13" x14ac:dyDescent="0.15"/>
    <row r="2480" customFormat="1" ht="13" x14ac:dyDescent="0.15"/>
    <row r="2481" customFormat="1" ht="13" x14ac:dyDescent="0.15"/>
    <row r="2482" customFormat="1" ht="13" x14ac:dyDescent="0.15"/>
    <row r="2483" customFormat="1" ht="13" x14ac:dyDescent="0.15"/>
    <row r="2484" customFormat="1" ht="13" x14ac:dyDescent="0.15"/>
    <row r="2485" customFormat="1" ht="13" x14ac:dyDescent="0.15"/>
    <row r="2486" customFormat="1" ht="13" x14ac:dyDescent="0.15"/>
    <row r="2487" customFormat="1" ht="13" x14ac:dyDescent="0.15"/>
    <row r="2488" customFormat="1" ht="13" x14ac:dyDescent="0.15"/>
    <row r="2489" customFormat="1" ht="13" x14ac:dyDescent="0.15"/>
    <row r="2490" customFormat="1" ht="13" x14ac:dyDescent="0.15"/>
    <row r="2491" customFormat="1" ht="13" x14ac:dyDescent="0.15"/>
    <row r="2492" customFormat="1" ht="13" x14ac:dyDescent="0.15"/>
    <row r="2493" customFormat="1" ht="13" x14ac:dyDescent="0.15"/>
    <row r="2494" customFormat="1" ht="13" x14ac:dyDescent="0.15"/>
    <row r="2495" customFormat="1" ht="13" x14ac:dyDescent="0.15"/>
    <row r="2496" customFormat="1" ht="13" x14ac:dyDescent="0.15"/>
    <row r="2497" customFormat="1" ht="13" x14ac:dyDescent="0.15"/>
    <row r="2498" customFormat="1" ht="13" x14ac:dyDescent="0.15"/>
    <row r="2499" customFormat="1" ht="13" x14ac:dyDescent="0.15"/>
    <row r="2500" customFormat="1" ht="13" x14ac:dyDescent="0.15"/>
    <row r="2501" customFormat="1" ht="13" x14ac:dyDescent="0.15"/>
    <row r="2502" customFormat="1" ht="13" x14ac:dyDescent="0.15"/>
    <row r="2503" customFormat="1" ht="13" x14ac:dyDescent="0.15"/>
    <row r="2504" customFormat="1" ht="13" x14ac:dyDescent="0.15"/>
    <row r="2505" customFormat="1" ht="13" x14ac:dyDescent="0.15"/>
    <row r="2506" customFormat="1" ht="13" x14ac:dyDescent="0.15"/>
    <row r="2507" customFormat="1" ht="13" x14ac:dyDescent="0.15"/>
    <row r="2508" customFormat="1" ht="13" x14ac:dyDescent="0.15"/>
    <row r="2509" customFormat="1" ht="13" x14ac:dyDescent="0.15"/>
    <row r="2510" customFormat="1" ht="13" x14ac:dyDescent="0.15"/>
    <row r="2511" customFormat="1" ht="13" x14ac:dyDescent="0.15"/>
    <row r="2512" customFormat="1" ht="13" x14ac:dyDescent="0.15"/>
    <row r="2513" customFormat="1" ht="13" x14ac:dyDescent="0.15"/>
    <row r="2514" customFormat="1" ht="13" x14ac:dyDescent="0.15"/>
    <row r="2515" customFormat="1" ht="13" x14ac:dyDescent="0.15"/>
    <row r="2516" customFormat="1" ht="13" x14ac:dyDescent="0.15"/>
    <row r="2517" customFormat="1" ht="13" x14ac:dyDescent="0.15"/>
    <row r="2518" customFormat="1" ht="13" x14ac:dyDescent="0.15"/>
    <row r="2519" customFormat="1" ht="13" x14ac:dyDescent="0.15"/>
    <row r="2520" customFormat="1" ht="13" x14ac:dyDescent="0.15"/>
    <row r="2521" customFormat="1" ht="13" x14ac:dyDescent="0.15"/>
    <row r="2522" customFormat="1" ht="13" x14ac:dyDescent="0.15"/>
    <row r="2523" customFormat="1" ht="13" x14ac:dyDescent="0.15"/>
    <row r="2524" customFormat="1" ht="13" x14ac:dyDescent="0.15"/>
    <row r="2525" customFormat="1" ht="13" x14ac:dyDescent="0.15"/>
    <row r="2526" customFormat="1" ht="13" x14ac:dyDescent="0.15"/>
    <row r="2527" customFormat="1" ht="13" x14ac:dyDescent="0.15"/>
    <row r="2528" customFormat="1" ht="13" x14ac:dyDescent="0.15"/>
    <row r="2529" customFormat="1" ht="13" x14ac:dyDescent="0.15"/>
    <row r="2530" customFormat="1" ht="13" x14ac:dyDescent="0.15"/>
    <row r="2531" customFormat="1" ht="13" x14ac:dyDescent="0.15"/>
    <row r="2532" customFormat="1" ht="13" x14ac:dyDescent="0.15"/>
    <row r="2533" customFormat="1" ht="13" x14ac:dyDescent="0.15"/>
    <row r="2534" customFormat="1" ht="13" x14ac:dyDescent="0.15"/>
    <row r="2535" customFormat="1" ht="13" x14ac:dyDescent="0.15"/>
    <row r="2536" customFormat="1" ht="13" x14ac:dyDescent="0.15"/>
    <row r="2537" customFormat="1" ht="13" x14ac:dyDescent="0.15"/>
    <row r="2538" customFormat="1" ht="13" x14ac:dyDescent="0.15"/>
    <row r="2539" customFormat="1" ht="13" x14ac:dyDescent="0.15"/>
    <row r="2540" customFormat="1" ht="13" x14ac:dyDescent="0.15"/>
    <row r="2541" customFormat="1" ht="13" x14ac:dyDescent="0.15"/>
    <row r="2542" customFormat="1" ht="13" x14ac:dyDescent="0.15"/>
    <row r="2543" customFormat="1" ht="13" x14ac:dyDescent="0.15"/>
    <row r="2544" customFormat="1" ht="13" x14ac:dyDescent="0.15"/>
    <row r="2545" customFormat="1" ht="13" x14ac:dyDescent="0.15"/>
    <row r="2546" customFormat="1" ht="13" x14ac:dyDescent="0.15"/>
    <row r="2547" customFormat="1" ht="13" x14ac:dyDescent="0.15"/>
    <row r="2548" customFormat="1" ht="13" x14ac:dyDescent="0.15"/>
    <row r="2549" customFormat="1" ht="13" x14ac:dyDescent="0.15"/>
    <row r="2550" customFormat="1" ht="13" x14ac:dyDescent="0.15"/>
    <row r="2551" customFormat="1" ht="13" x14ac:dyDescent="0.15"/>
    <row r="2552" customFormat="1" ht="13" x14ac:dyDescent="0.15"/>
    <row r="2553" customFormat="1" ht="13" x14ac:dyDescent="0.15"/>
    <row r="2554" customFormat="1" ht="13" x14ac:dyDescent="0.15"/>
    <row r="2555" customFormat="1" ht="13" x14ac:dyDescent="0.15"/>
    <row r="2556" customFormat="1" ht="13" x14ac:dyDescent="0.15"/>
    <row r="2557" customFormat="1" ht="13" x14ac:dyDescent="0.15"/>
    <row r="2558" customFormat="1" ht="13" x14ac:dyDescent="0.15"/>
    <row r="2559" customFormat="1" ht="13" x14ac:dyDescent="0.15"/>
    <row r="2560" customFormat="1" ht="13" x14ac:dyDescent="0.15"/>
    <row r="2561" customFormat="1" ht="13" x14ac:dyDescent="0.15"/>
    <row r="2562" customFormat="1" ht="13" x14ac:dyDescent="0.15"/>
    <row r="2563" customFormat="1" ht="13" x14ac:dyDescent="0.15"/>
    <row r="2564" customFormat="1" ht="13" x14ac:dyDescent="0.15"/>
    <row r="2565" customFormat="1" ht="13" x14ac:dyDescent="0.15"/>
    <row r="2566" customFormat="1" ht="13" x14ac:dyDescent="0.15"/>
    <row r="2567" customFormat="1" ht="13" x14ac:dyDescent="0.15"/>
    <row r="2568" customFormat="1" ht="13" x14ac:dyDescent="0.15"/>
    <row r="2569" customFormat="1" ht="13" x14ac:dyDescent="0.15"/>
    <row r="2570" customFormat="1" ht="13" x14ac:dyDescent="0.15"/>
    <row r="2571" customFormat="1" ht="13" x14ac:dyDescent="0.15"/>
    <row r="2572" customFormat="1" ht="13" x14ac:dyDescent="0.15"/>
    <row r="2573" customFormat="1" ht="13" x14ac:dyDescent="0.15"/>
    <row r="2574" customFormat="1" ht="13" x14ac:dyDescent="0.15"/>
    <row r="2575" customFormat="1" ht="13" x14ac:dyDescent="0.15"/>
    <row r="2576" customFormat="1" ht="13" x14ac:dyDescent="0.15"/>
    <row r="2577" customFormat="1" ht="13" x14ac:dyDescent="0.15"/>
    <row r="2578" customFormat="1" ht="13" x14ac:dyDescent="0.15"/>
    <row r="2579" customFormat="1" ht="13" x14ac:dyDescent="0.15"/>
    <row r="2580" customFormat="1" ht="13" x14ac:dyDescent="0.15"/>
    <row r="2581" customFormat="1" ht="13" x14ac:dyDescent="0.15"/>
    <row r="2582" customFormat="1" ht="13" x14ac:dyDescent="0.15"/>
    <row r="2583" customFormat="1" ht="13" x14ac:dyDescent="0.15"/>
    <row r="2584" customFormat="1" ht="13" x14ac:dyDescent="0.15"/>
    <row r="2585" customFormat="1" ht="13" x14ac:dyDescent="0.15"/>
    <row r="2586" customFormat="1" ht="13" x14ac:dyDescent="0.15"/>
    <row r="2587" customFormat="1" ht="13" x14ac:dyDescent="0.15"/>
    <row r="2588" customFormat="1" ht="13" x14ac:dyDescent="0.15"/>
    <row r="2589" customFormat="1" ht="13" x14ac:dyDescent="0.15"/>
    <row r="2590" customFormat="1" ht="13" x14ac:dyDescent="0.15"/>
    <row r="2591" customFormat="1" ht="13" x14ac:dyDescent="0.15"/>
    <row r="2592" customFormat="1" ht="13" x14ac:dyDescent="0.15"/>
    <row r="2593" customFormat="1" ht="13" x14ac:dyDescent="0.15"/>
    <row r="2594" customFormat="1" ht="13" x14ac:dyDescent="0.15"/>
    <row r="2595" customFormat="1" ht="13" x14ac:dyDescent="0.15"/>
    <row r="2596" customFormat="1" ht="13" x14ac:dyDescent="0.15"/>
    <row r="2597" customFormat="1" ht="13" x14ac:dyDescent="0.15"/>
    <row r="2598" customFormat="1" ht="13" x14ac:dyDescent="0.15"/>
    <row r="2599" customFormat="1" ht="13" x14ac:dyDescent="0.15"/>
    <row r="2600" customFormat="1" ht="13" x14ac:dyDescent="0.15"/>
    <row r="2601" customFormat="1" ht="13" x14ac:dyDescent="0.15"/>
    <row r="2602" customFormat="1" ht="13" x14ac:dyDescent="0.15"/>
    <row r="2603" customFormat="1" ht="13" x14ac:dyDescent="0.15"/>
    <row r="2604" customFormat="1" ht="13" x14ac:dyDescent="0.15"/>
    <row r="2605" customFormat="1" ht="13" x14ac:dyDescent="0.15"/>
    <row r="2606" customFormat="1" ht="13" x14ac:dyDescent="0.15"/>
    <row r="2607" customFormat="1" ht="13" x14ac:dyDescent="0.15"/>
    <row r="2608" customFormat="1" ht="13" x14ac:dyDescent="0.15"/>
    <row r="2609" customFormat="1" ht="13" x14ac:dyDescent="0.15"/>
    <row r="2610" customFormat="1" ht="13" x14ac:dyDescent="0.15"/>
    <row r="2611" customFormat="1" ht="13" x14ac:dyDescent="0.15"/>
    <row r="2612" customFormat="1" ht="13" x14ac:dyDescent="0.15"/>
    <row r="2613" customFormat="1" ht="13" x14ac:dyDescent="0.15"/>
    <row r="2614" customFormat="1" ht="13" x14ac:dyDescent="0.15"/>
    <row r="2615" customFormat="1" ht="13" x14ac:dyDescent="0.15"/>
    <row r="2616" customFormat="1" ht="13" x14ac:dyDescent="0.15"/>
    <row r="2617" customFormat="1" ht="13" x14ac:dyDescent="0.15"/>
    <row r="2618" customFormat="1" ht="13" x14ac:dyDescent="0.15"/>
    <row r="2619" customFormat="1" ht="13" x14ac:dyDescent="0.15"/>
    <row r="2620" customFormat="1" ht="13" x14ac:dyDescent="0.15"/>
    <row r="2621" customFormat="1" ht="13" x14ac:dyDescent="0.15"/>
    <row r="2622" customFormat="1" ht="13" x14ac:dyDescent="0.15"/>
    <row r="2623" customFormat="1" ht="13" x14ac:dyDescent="0.15"/>
    <row r="2624" customFormat="1" ht="13" x14ac:dyDescent="0.15"/>
    <row r="2625" customFormat="1" ht="13" x14ac:dyDescent="0.15"/>
    <row r="2626" customFormat="1" ht="13" x14ac:dyDescent="0.15"/>
    <row r="2627" customFormat="1" ht="13" x14ac:dyDescent="0.15"/>
    <row r="2628" customFormat="1" ht="13" x14ac:dyDescent="0.15"/>
    <row r="2629" customFormat="1" ht="13" x14ac:dyDescent="0.15"/>
    <row r="2630" customFormat="1" ht="13" x14ac:dyDescent="0.15"/>
    <row r="2631" customFormat="1" ht="13" x14ac:dyDescent="0.15"/>
    <row r="2632" customFormat="1" ht="13" x14ac:dyDescent="0.15"/>
    <row r="2633" customFormat="1" ht="13" x14ac:dyDescent="0.15"/>
    <row r="2634" customFormat="1" ht="13" x14ac:dyDescent="0.15"/>
    <row r="2635" customFormat="1" ht="13" x14ac:dyDescent="0.15"/>
    <row r="2636" customFormat="1" ht="13" x14ac:dyDescent="0.15"/>
    <row r="2637" customFormat="1" ht="13" x14ac:dyDescent="0.15"/>
    <row r="2638" customFormat="1" ht="13" x14ac:dyDescent="0.15"/>
    <row r="2639" customFormat="1" ht="13" x14ac:dyDescent="0.15"/>
    <row r="2640" customFormat="1" ht="13" x14ac:dyDescent="0.15"/>
    <row r="2641" customFormat="1" ht="13" x14ac:dyDescent="0.15"/>
    <row r="2642" customFormat="1" ht="13" x14ac:dyDescent="0.15"/>
    <row r="2643" customFormat="1" ht="13" x14ac:dyDescent="0.15"/>
    <row r="2644" customFormat="1" ht="13" x14ac:dyDescent="0.15"/>
    <row r="2645" customFormat="1" ht="13" x14ac:dyDescent="0.15"/>
    <row r="2646" customFormat="1" ht="13" x14ac:dyDescent="0.15"/>
    <row r="2647" customFormat="1" ht="13" x14ac:dyDescent="0.15"/>
    <row r="2648" customFormat="1" ht="13" x14ac:dyDescent="0.15"/>
    <row r="2649" customFormat="1" ht="13" x14ac:dyDescent="0.15"/>
    <row r="2650" customFormat="1" ht="13" x14ac:dyDescent="0.15"/>
    <row r="2651" customFormat="1" ht="13" x14ac:dyDescent="0.15"/>
    <row r="2652" customFormat="1" ht="13" x14ac:dyDescent="0.15"/>
    <row r="2653" customFormat="1" ht="13" x14ac:dyDescent="0.15"/>
    <row r="2654" customFormat="1" ht="13" x14ac:dyDescent="0.15"/>
    <row r="2655" customFormat="1" ht="13" x14ac:dyDescent="0.15"/>
    <row r="2656" customFormat="1" ht="13" x14ac:dyDescent="0.15"/>
    <row r="2657" customFormat="1" ht="13" x14ac:dyDescent="0.15"/>
    <row r="2658" customFormat="1" ht="13" x14ac:dyDescent="0.15"/>
    <row r="2659" customFormat="1" ht="13" x14ac:dyDescent="0.15"/>
    <row r="2660" customFormat="1" ht="13" x14ac:dyDescent="0.15"/>
    <row r="2661" customFormat="1" ht="13" x14ac:dyDescent="0.15"/>
    <row r="2662" customFormat="1" ht="13" x14ac:dyDescent="0.15"/>
    <row r="2663" customFormat="1" ht="13" x14ac:dyDescent="0.15"/>
    <row r="2664" customFormat="1" ht="13" x14ac:dyDescent="0.15"/>
    <row r="2665" customFormat="1" ht="13" x14ac:dyDescent="0.15"/>
    <row r="2666" customFormat="1" ht="13" x14ac:dyDescent="0.15"/>
    <row r="2667" customFormat="1" ht="13" x14ac:dyDescent="0.15"/>
    <row r="2668" customFormat="1" ht="13" x14ac:dyDescent="0.15"/>
    <row r="2669" customFormat="1" ht="13" x14ac:dyDescent="0.15"/>
    <row r="2670" customFormat="1" ht="13" x14ac:dyDescent="0.15"/>
    <row r="2671" customFormat="1" ht="13" x14ac:dyDescent="0.15"/>
    <row r="2672" customFormat="1" ht="13" x14ac:dyDescent="0.15"/>
    <row r="2673" customFormat="1" ht="13" x14ac:dyDescent="0.15"/>
    <row r="2674" customFormat="1" ht="13" x14ac:dyDescent="0.15"/>
    <row r="2675" customFormat="1" ht="13" x14ac:dyDescent="0.15"/>
    <row r="2676" customFormat="1" ht="13" x14ac:dyDescent="0.15"/>
    <row r="2677" customFormat="1" ht="13" x14ac:dyDescent="0.15"/>
    <row r="2678" customFormat="1" ht="13" x14ac:dyDescent="0.15"/>
    <row r="2679" customFormat="1" ht="13" x14ac:dyDescent="0.15"/>
    <row r="2680" customFormat="1" ht="13" x14ac:dyDescent="0.15"/>
    <row r="2681" customFormat="1" ht="13" x14ac:dyDescent="0.15"/>
    <row r="2682" customFormat="1" ht="13" x14ac:dyDescent="0.15"/>
    <row r="2683" customFormat="1" ht="13" x14ac:dyDescent="0.15"/>
    <row r="2684" customFormat="1" ht="13" x14ac:dyDescent="0.15"/>
    <row r="2685" customFormat="1" ht="13" x14ac:dyDescent="0.15"/>
    <row r="2686" customFormat="1" ht="13" x14ac:dyDescent="0.15"/>
    <row r="2687" customFormat="1" ht="13" x14ac:dyDescent="0.15"/>
    <row r="2688" customFormat="1" ht="13" x14ac:dyDescent="0.15"/>
    <row r="2689" customFormat="1" ht="13" x14ac:dyDescent="0.15"/>
    <row r="2690" customFormat="1" ht="13" x14ac:dyDescent="0.15"/>
    <row r="2691" customFormat="1" ht="13" x14ac:dyDescent="0.15"/>
    <row r="2692" customFormat="1" ht="13" x14ac:dyDescent="0.15"/>
    <row r="2693" customFormat="1" ht="13" x14ac:dyDescent="0.15"/>
    <row r="2694" customFormat="1" ht="13" x14ac:dyDescent="0.15"/>
    <row r="2695" customFormat="1" ht="13" x14ac:dyDescent="0.15"/>
    <row r="2696" customFormat="1" ht="13" x14ac:dyDescent="0.15"/>
    <row r="2697" customFormat="1" ht="13" x14ac:dyDescent="0.15"/>
    <row r="2698" customFormat="1" ht="13" x14ac:dyDescent="0.15"/>
    <row r="2699" customFormat="1" ht="13" x14ac:dyDescent="0.15"/>
    <row r="2700" customFormat="1" ht="13" x14ac:dyDescent="0.15"/>
    <row r="2701" customFormat="1" ht="13" x14ac:dyDescent="0.15"/>
    <row r="2702" customFormat="1" ht="13" x14ac:dyDescent="0.15"/>
    <row r="2703" customFormat="1" ht="13" x14ac:dyDescent="0.15"/>
    <row r="2704" customFormat="1" ht="13" x14ac:dyDescent="0.15"/>
    <row r="2705" customFormat="1" ht="13" x14ac:dyDescent="0.15"/>
    <row r="2706" customFormat="1" ht="13" x14ac:dyDescent="0.15"/>
    <row r="2707" customFormat="1" ht="13" x14ac:dyDescent="0.15"/>
    <row r="2708" customFormat="1" ht="13" x14ac:dyDescent="0.15"/>
    <row r="2709" customFormat="1" ht="13" x14ac:dyDescent="0.15"/>
    <row r="2710" customFormat="1" ht="13" x14ac:dyDescent="0.15"/>
    <row r="2711" customFormat="1" ht="13" x14ac:dyDescent="0.15"/>
    <row r="2712" customFormat="1" ht="13" x14ac:dyDescent="0.15"/>
    <row r="2713" customFormat="1" ht="13" x14ac:dyDescent="0.15"/>
    <row r="2714" customFormat="1" ht="13" x14ac:dyDescent="0.15"/>
    <row r="2715" customFormat="1" ht="13" x14ac:dyDescent="0.15"/>
    <row r="2716" customFormat="1" ht="13" x14ac:dyDescent="0.15"/>
    <row r="2717" customFormat="1" ht="13" x14ac:dyDescent="0.15"/>
    <row r="2718" customFormat="1" ht="13" x14ac:dyDescent="0.15"/>
    <row r="2719" customFormat="1" ht="13" x14ac:dyDescent="0.15"/>
    <row r="2720" customFormat="1" ht="13" x14ac:dyDescent="0.15"/>
    <row r="2721" customFormat="1" ht="13" x14ac:dyDescent="0.15"/>
    <row r="2722" customFormat="1" ht="13" x14ac:dyDescent="0.15"/>
    <row r="2723" customFormat="1" ht="13" x14ac:dyDescent="0.15"/>
    <row r="2724" customFormat="1" ht="13" x14ac:dyDescent="0.15"/>
    <row r="2725" customFormat="1" ht="13" x14ac:dyDescent="0.15"/>
    <row r="2726" customFormat="1" ht="13" x14ac:dyDescent="0.15"/>
    <row r="2727" customFormat="1" ht="13" x14ac:dyDescent="0.15"/>
    <row r="2728" customFormat="1" ht="13" x14ac:dyDescent="0.15"/>
    <row r="2729" customFormat="1" ht="13" x14ac:dyDescent="0.15"/>
    <row r="2730" customFormat="1" ht="13" x14ac:dyDescent="0.15"/>
    <row r="2731" customFormat="1" ht="13" x14ac:dyDescent="0.15"/>
    <row r="2732" customFormat="1" ht="13" x14ac:dyDescent="0.15"/>
    <row r="2733" customFormat="1" ht="13" x14ac:dyDescent="0.15"/>
    <row r="2734" customFormat="1" ht="13" x14ac:dyDescent="0.15"/>
    <row r="2735" customFormat="1" ht="13" x14ac:dyDescent="0.15"/>
    <row r="2736" customFormat="1" ht="13" x14ac:dyDescent="0.15"/>
    <row r="2737" customFormat="1" ht="13" x14ac:dyDescent="0.15"/>
    <row r="2738" customFormat="1" ht="13" x14ac:dyDescent="0.15"/>
    <row r="2739" customFormat="1" ht="13" x14ac:dyDescent="0.15"/>
    <row r="2740" customFormat="1" ht="13" x14ac:dyDescent="0.15"/>
    <row r="2741" customFormat="1" ht="13" x14ac:dyDescent="0.15"/>
    <row r="2742" customFormat="1" ht="13" x14ac:dyDescent="0.15"/>
    <row r="2743" customFormat="1" ht="13" x14ac:dyDescent="0.15"/>
    <row r="2744" customFormat="1" ht="13" x14ac:dyDescent="0.15"/>
    <row r="2745" customFormat="1" ht="13" x14ac:dyDescent="0.15"/>
    <row r="2746" customFormat="1" ht="13" x14ac:dyDescent="0.15"/>
    <row r="2747" customFormat="1" ht="13" x14ac:dyDescent="0.15"/>
    <row r="2748" customFormat="1" ht="13" x14ac:dyDescent="0.15"/>
    <row r="2749" customFormat="1" ht="13" x14ac:dyDescent="0.15"/>
    <row r="2750" customFormat="1" ht="13" x14ac:dyDescent="0.15"/>
    <row r="2751" customFormat="1" ht="13" x14ac:dyDescent="0.15"/>
    <row r="2752" customFormat="1" ht="13" x14ac:dyDescent="0.15"/>
    <row r="2753" customFormat="1" ht="13" x14ac:dyDescent="0.15"/>
    <row r="2754" customFormat="1" ht="13" x14ac:dyDescent="0.15"/>
    <row r="2755" customFormat="1" ht="13" x14ac:dyDescent="0.15"/>
    <row r="2756" customFormat="1" ht="13" x14ac:dyDescent="0.15"/>
    <row r="2757" customFormat="1" ht="13" x14ac:dyDescent="0.15"/>
    <row r="2758" customFormat="1" ht="13" x14ac:dyDescent="0.15"/>
    <row r="2759" customFormat="1" ht="13" x14ac:dyDescent="0.15"/>
    <row r="2760" customFormat="1" ht="13" x14ac:dyDescent="0.15"/>
    <row r="2761" customFormat="1" ht="13" x14ac:dyDescent="0.15"/>
    <row r="2762" customFormat="1" ht="13" x14ac:dyDescent="0.15"/>
    <row r="2763" customFormat="1" ht="13" x14ac:dyDescent="0.15"/>
    <row r="2764" customFormat="1" ht="13" x14ac:dyDescent="0.15"/>
    <row r="2765" customFormat="1" ht="13" x14ac:dyDescent="0.15"/>
    <row r="2766" customFormat="1" ht="13" x14ac:dyDescent="0.15"/>
    <row r="2767" customFormat="1" ht="13" x14ac:dyDescent="0.15"/>
    <row r="2768" customFormat="1" ht="13" x14ac:dyDescent="0.15"/>
    <row r="2769" customFormat="1" ht="13" x14ac:dyDescent="0.15"/>
    <row r="2770" customFormat="1" ht="13" x14ac:dyDescent="0.15"/>
    <row r="2771" customFormat="1" ht="13" x14ac:dyDescent="0.15"/>
    <row r="2772" customFormat="1" ht="13" x14ac:dyDescent="0.15"/>
    <row r="2773" customFormat="1" ht="13" x14ac:dyDescent="0.15"/>
    <row r="2774" customFormat="1" ht="13" x14ac:dyDescent="0.15"/>
    <row r="2775" customFormat="1" ht="13" x14ac:dyDescent="0.15"/>
    <row r="2776" customFormat="1" ht="13" x14ac:dyDescent="0.15"/>
    <row r="2777" customFormat="1" ht="13" x14ac:dyDescent="0.15"/>
    <row r="2778" customFormat="1" ht="13" x14ac:dyDescent="0.15"/>
    <row r="2779" customFormat="1" ht="13" x14ac:dyDescent="0.15"/>
    <row r="2780" customFormat="1" ht="13" x14ac:dyDescent="0.15"/>
    <row r="2781" customFormat="1" ht="13" x14ac:dyDescent="0.15"/>
    <row r="2782" customFormat="1" ht="13" x14ac:dyDescent="0.15"/>
    <row r="2783" customFormat="1" ht="13" x14ac:dyDescent="0.15"/>
    <row r="2784" customFormat="1" ht="13" x14ac:dyDescent="0.15"/>
    <row r="2785" customFormat="1" ht="13" x14ac:dyDescent="0.15"/>
    <row r="2786" customFormat="1" ht="13" x14ac:dyDescent="0.15"/>
    <row r="2787" customFormat="1" ht="13" x14ac:dyDescent="0.15"/>
    <row r="2788" customFormat="1" ht="13" x14ac:dyDescent="0.15"/>
    <row r="2789" customFormat="1" ht="13" x14ac:dyDescent="0.15"/>
    <row r="2790" customFormat="1" ht="13" x14ac:dyDescent="0.15"/>
    <row r="2791" customFormat="1" ht="13" x14ac:dyDescent="0.15"/>
    <row r="2792" customFormat="1" ht="13" x14ac:dyDescent="0.15"/>
    <row r="2793" customFormat="1" ht="13" x14ac:dyDescent="0.15"/>
    <row r="2794" customFormat="1" ht="13" x14ac:dyDescent="0.15"/>
    <row r="2795" customFormat="1" ht="13" x14ac:dyDescent="0.15"/>
    <row r="2796" customFormat="1" ht="13" x14ac:dyDescent="0.15"/>
    <row r="2797" customFormat="1" ht="13" x14ac:dyDescent="0.15"/>
    <row r="2798" customFormat="1" ht="13" x14ac:dyDescent="0.15"/>
    <row r="2799" customFormat="1" ht="13" x14ac:dyDescent="0.15"/>
    <row r="2800" customFormat="1" ht="13" x14ac:dyDescent="0.15"/>
    <row r="2801" customFormat="1" ht="13" x14ac:dyDescent="0.15"/>
    <row r="2802" customFormat="1" ht="13" x14ac:dyDescent="0.15"/>
    <row r="2803" customFormat="1" ht="13" x14ac:dyDescent="0.15"/>
    <row r="2804" customFormat="1" ht="13" x14ac:dyDescent="0.15"/>
    <row r="2805" customFormat="1" ht="13" x14ac:dyDescent="0.15"/>
    <row r="2806" customFormat="1" ht="13" x14ac:dyDescent="0.15"/>
    <row r="2807" customFormat="1" ht="13" x14ac:dyDescent="0.15"/>
    <row r="2808" customFormat="1" ht="13" x14ac:dyDescent="0.15"/>
    <row r="2809" customFormat="1" ht="13" x14ac:dyDescent="0.15"/>
    <row r="2810" customFormat="1" ht="13" x14ac:dyDescent="0.15"/>
    <row r="2811" customFormat="1" ht="13" x14ac:dyDescent="0.15"/>
    <row r="2812" customFormat="1" ht="13" x14ac:dyDescent="0.15"/>
    <row r="2813" customFormat="1" ht="13" x14ac:dyDescent="0.15"/>
    <row r="2814" customFormat="1" ht="13" x14ac:dyDescent="0.15"/>
    <row r="2815" customFormat="1" ht="13" x14ac:dyDescent="0.15"/>
    <row r="2816" customFormat="1" ht="13" x14ac:dyDescent="0.15"/>
    <row r="2817" customFormat="1" ht="13" x14ac:dyDescent="0.15"/>
    <row r="2818" customFormat="1" ht="13" x14ac:dyDescent="0.15"/>
    <row r="2819" customFormat="1" ht="13" x14ac:dyDescent="0.15"/>
    <row r="2820" customFormat="1" ht="13" x14ac:dyDescent="0.15"/>
    <row r="2821" customFormat="1" ht="13" x14ac:dyDescent="0.15"/>
    <row r="2822" customFormat="1" ht="13" x14ac:dyDescent="0.15"/>
    <row r="2823" customFormat="1" ht="13" x14ac:dyDescent="0.15"/>
    <row r="2824" customFormat="1" ht="13" x14ac:dyDescent="0.15"/>
    <row r="2825" customFormat="1" ht="13" x14ac:dyDescent="0.15"/>
    <row r="2826" customFormat="1" ht="13" x14ac:dyDescent="0.15"/>
    <row r="2827" customFormat="1" ht="13" x14ac:dyDescent="0.15"/>
    <row r="2828" customFormat="1" ht="13" x14ac:dyDescent="0.15"/>
    <row r="2829" customFormat="1" ht="13" x14ac:dyDescent="0.15"/>
    <row r="2830" customFormat="1" ht="13" x14ac:dyDescent="0.15"/>
    <row r="2831" customFormat="1" ht="13" x14ac:dyDescent="0.15"/>
    <row r="2832" customFormat="1" ht="13" x14ac:dyDescent="0.15"/>
    <row r="2833" customFormat="1" ht="13" x14ac:dyDescent="0.15"/>
    <row r="2834" customFormat="1" ht="13" x14ac:dyDescent="0.15"/>
    <row r="2835" customFormat="1" ht="13" x14ac:dyDescent="0.15"/>
    <row r="2836" customFormat="1" ht="13" x14ac:dyDescent="0.15"/>
    <row r="2837" customFormat="1" ht="13" x14ac:dyDescent="0.15"/>
    <row r="2838" customFormat="1" ht="13" x14ac:dyDescent="0.15"/>
    <row r="2839" customFormat="1" ht="13" x14ac:dyDescent="0.15"/>
    <row r="2840" customFormat="1" ht="13" x14ac:dyDescent="0.15"/>
    <row r="2841" customFormat="1" ht="13" x14ac:dyDescent="0.15"/>
    <row r="2842" customFormat="1" ht="13" x14ac:dyDescent="0.15"/>
    <row r="2843" customFormat="1" ht="13" x14ac:dyDescent="0.15"/>
    <row r="2844" customFormat="1" ht="13" x14ac:dyDescent="0.15"/>
    <row r="2845" customFormat="1" ht="13" x14ac:dyDescent="0.15"/>
    <row r="2846" customFormat="1" ht="13" x14ac:dyDescent="0.15"/>
    <row r="2847" customFormat="1" ht="13" x14ac:dyDescent="0.15"/>
    <row r="2848" customFormat="1" ht="13" x14ac:dyDescent="0.15"/>
    <row r="2849" customFormat="1" ht="13" x14ac:dyDescent="0.15"/>
    <row r="2850" customFormat="1" ht="13" x14ac:dyDescent="0.15"/>
    <row r="2851" customFormat="1" ht="13" x14ac:dyDescent="0.15"/>
    <row r="2852" customFormat="1" ht="13" x14ac:dyDescent="0.15"/>
    <row r="2853" customFormat="1" ht="13" x14ac:dyDescent="0.15"/>
    <row r="2854" customFormat="1" ht="13" x14ac:dyDescent="0.15"/>
    <row r="2855" customFormat="1" ht="13" x14ac:dyDescent="0.15"/>
    <row r="2856" customFormat="1" ht="13" x14ac:dyDescent="0.15"/>
    <row r="2857" customFormat="1" ht="13" x14ac:dyDescent="0.15"/>
    <row r="2858" customFormat="1" ht="13" x14ac:dyDescent="0.15"/>
    <row r="2859" customFormat="1" ht="13" x14ac:dyDescent="0.15"/>
    <row r="2860" customFormat="1" ht="13" x14ac:dyDescent="0.15"/>
    <row r="2861" customFormat="1" ht="13" x14ac:dyDescent="0.15"/>
    <row r="2862" customFormat="1" ht="13" x14ac:dyDescent="0.15"/>
    <row r="2863" customFormat="1" ht="13" x14ac:dyDescent="0.15"/>
    <row r="2864" customFormat="1" ht="13" x14ac:dyDescent="0.15"/>
    <row r="2865" customFormat="1" ht="13" x14ac:dyDescent="0.15"/>
    <row r="2866" customFormat="1" ht="13" x14ac:dyDescent="0.15"/>
    <row r="2867" customFormat="1" ht="13" x14ac:dyDescent="0.15"/>
    <row r="2868" customFormat="1" ht="13" x14ac:dyDescent="0.15"/>
    <row r="2869" customFormat="1" ht="13" x14ac:dyDescent="0.15"/>
    <row r="2870" customFormat="1" ht="13" x14ac:dyDescent="0.15"/>
    <row r="2871" customFormat="1" ht="13" x14ac:dyDescent="0.15"/>
    <row r="2872" customFormat="1" ht="13" x14ac:dyDescent="0.15"/>
    <row r="2873" customFormat="1" ht="13" x14ac:dyDescent="0.15"/>
    <row r="2874" customFormat="1" ht="13" x14ac:dyDescent="0.15"/>
    <row r="2875" customFormat="1" ht="13" x14ac:dyDescent="0.15"/>
    <row r="2876" customFormat="1" ht="13" x14ac:dyDescent="0.15"/>
    <row r="2877" customFormat="1" ht="13" x14ac:dyDescent="0.15"/>
    <row r="2878" customFormat="1" ht="13" x14ac:dyDescent="0.15"/>
    <row r="2879" customFormat="1" ht="13" x14ac:dyDescent="0.15"/>
    <row r="2880" customFormat="1" ht="13" x14ac:dyDescent="0.15"/>
    <row r="2881" customFormat="1" ht="13" x14ac:dyDescent="0.15"/>
    <row r="2882" customFormat="1" ht="13" x14ac:dyDescent="0.15"/>
    <row r="2883" customFormat="1" ht="13" x14ac:dyDescent="0.15"/>
    <row r="2884" customFormat="1" ht="13" x14ac:dyDescent="0.15"/>
    <row r="2885" customFormat="1" ht="13" x14ac:dyDescent="0.15"/>
    <row r="2886" customFormat="1" ht="13" x14ac:dyDescent="0.15"/>
    <row r="2887" customFormat="1" ht="13" x14ac:dyDescent="0.15"/>
    <row r="2888" customFormat="1" ht="13" x14ac:dyDescent="0.15"/>
    <row r="2889" customFormat="1" ht="13" x14ac:dyDescent="0.15"/>
    <row r="2890" customFormat="1" ht="13" x14ac:dyDescent="0.15"/>
    <row r="2891" customFormat="1" ht="13" x14ac:dyDescent="0.15"/>
    <row r="2892" customFormat="1" ht="13" x14ac:dyDescent="0.15"/>
    <row r="2893" customFormat="1" ht="13" x14ac:dyDescent="0.15"/>
    <row r="2894" customFormat="1" ht="13" x14ac:dyDescent="0.15"/>
    <row r="2895" customFormat="1" ht="13" x14ac:dyDescent="0.15"/>
    <row r="2896" customFormat="1" ht="13" x14ac:dyDescent="0.15"/>
    <row r="2897" customFormat="1" ht="13" x14ac:dyDescent="0.15"/>
    <row r="2898" customFormat="1" ht="13" x14ac:dyDescent="0.15"/>
    <row r="2899" customFormat="1" ht="13" x14ac:dyDescent="0.15"/>
    <row r="2900" customFormat="1" ht="13" x14ac:dyDescent="0.15"/>
    <row r="2901" customFormat="1" ht="13" x14ac:dyDescent="0.15"/>
    <row r="2902" customFormat="1" ht="13" x14ac:dyDescent="0.15"/>
    <row r="2903" customFormat="1" ht="13" x14ac:dyDescent="0.15"/>
    <row r="2904" customFormat="1" ht="13" x14ac:dyDescent="0.15"/>
    <row r="2905" customFormat="1" ht="13" x14ac:dyDescent="0.15"/>
    <row r="2906" customFormat="1" ht="13" x14ac:dyDescent="0.15"/>
    <row r="2907" customFormat="1" ht="13" x14ac:dyDescent="0.15"/>
    <row r="2908" customFormat="1" ht="13" x14ac:dyDescent="0.15"/>
    <row r="2909" customFormat="1" ht="13" x14ac:dyDescent="0.15"/>
    <row r="2910" customFormat="1" ht="13" x14ac:dyDescent="0.15"/>
    <row r="2911" customFormat="1" ht="13" x14ac:dyDescent="0.15"/>
    <row r="2912" customFormat="1" ht="13" x14ac:dyDescent="0.15"/>
    <row r="2913" customFormat="1" ht="13" x14ac:dyDescent="0.15"/>
    <row r="2914" customFormat="1" ht="13" x14ac:dyDescent="0.15"/>
    <row r="2915" customFormat="1" ht="13" x14ac:dyDescent="0.15"/>
    <row r="2916" customFormat="1" ht="13" x14ac:dyDescent="0.15"/>
    <row r="2917" customFormat="1" ht="13" x14ac:dyDescent="0.15"/>
    <row r="2918" customFormat="1" ht="13" x14ac:dyDescent="0.15"/>
    <row r="2919" customFormat="1" ht="13" x14ac:dyDescent="0.15"/>
    <row r="2920" customFormat="1" ht="13" x14ac:dyDescent="0.15"/>
    <row r="2921" customFormat="1" ht="13" x14ac:dyDescent="0.15"/>
    <row r="2922" customFormat="1" ht="13" x14ac:dyDescent="0.15"/>
    <row r="2923" customFormat="1" ht="13" x14ac:dyDescent="0.15"/>
    <row r="2924" customFormat="1" ht="13" x14ac:dyDescent="0.15"/>
    <row r="2925" customFormat="1" ht="13" x14ac:dyDescent="0.15"/>
    <row r="2926" customFormat="1" ht="13" x14ac:dyDescent="0.15"/>
    <row r="2927" customFormat="1" ht="13" x14ac:dyDescent="0.15"/>
    <row r="2928" customFormat="1" ht="13" x14ac:dyDescent="0.15"/>
    <row r="2929" customFormat="1" ht="13" x14ac:dyDescent="0.15"/>
    <row r="2930" customFormat="1" ht="13" x14ac:dyDescent="0.15"/>
    <row r="2931" customFormat="1" ht="13" x14ac:dyDescent="0.15"/>
    <row r="2932" customFormat="1" ht="13" x14ac:dyDescent="0.15"/>
    <row r="2933" customFormat="1" ht="13" x14ac:dyDescent="0.15"/>
    <row r="2934" customFormat="1" ht="13" x14ac:dyDescent="0.15"/>
    <row r="2935" customFormat="1" ht="13" x14ac:dyDescent="0.15"/>
    <row r="2936" customFormat="1" ht="13" x14ac:dyDescent="0.15"/>
    <row r="2937" customFormat="1" ht="13" x14ac:dyDescent="0.15"/>
    <row r="2938" customFormat="1" ht="13" x14ac:dyDescent="0.15"/>
    <row r="2939" customFormat="1" ht="13" x14ac:dyDescent="0.15"/>
    <row r="2940" customFormat="1" ht="13" x14ac:dyDescent="0.15"/>
    <row r="2941" customFormat="1" ht="13" x14ac:dyDescent="0.15"/>
    <row r="2942" customFormat="1" ht="13" x14ac:dyDescent="0.15"/>
    <row r="2943" customFormat="1" ht="13" x14ac:dyDescent="0.15"/>
    <row r="2944" customFormat="1" ht="13" x14ac:dyDescent="0.15"/>
    <row r="2945" customFormat="1" ht="13" x14ac:dyDescent="0.15"/>
    <row r="2946" customFormat="1" ht="13" x14ac:dyDescent="0.15"/>
    <row r="2947" customFormat="1" ht="13" x14ac:dyDescent="0.15"/>
    <row r="2948" customFormat="1" ht="13" x14ac:dyDescent="0.15"/>
    <row r="2949" customFormat="1" ht="13" x14ac:dyDescent="0.15"/>
    <row r="2950" customFormat="1" ht="13" x14ac:dyDescent="0.15"/>
    <row r="2951" customFormat="1" ht="13" x14ac:dyDescent="0.15"/>
    <row r="2952" customFormat="1" ht="13" x14ac:dyDescent="0.15"/>
    <row r="2953" customFormat="1" ht="13" x14ac:dyDescent="0.15"/>
    <row r="2954" customFormat="1" ht="13" x14ac:dyDescent="0.15"/>
    <row r="2955" customFormat="1" ht="13" x14ac:dyDescent="0.15"/>
    <row r="2956" customFormat="1" ht="13" x14ac:dyDescent="0.15"/>
    <row r="2957" customFormat="1" ht="13" x14ac:dyDescent="0.15"/>
    <row r="2958" customFormat="1" ht="13" x14ac:dyDescent="0.15"/>
    <row r="2959" customFormat="1" ht="13" x14ac:dyDescent="0.15"/>
    <row r="2960" customFormat="1" ht="13" x14ac:dyDescent="0.15"/>
    <row r="2961" customFormat="1" ht="13" x14ac:dyDescent="0.15"/>
    <row r="2962" customFormat="1" ht="13" x14ac:dyDescent="0.15"/>
    <row r="2963" customFormat="1" ht="13" x14ac:dyDescent="0.15"/>
    <row r="2964" customFormat="1" ht="13" x14ac:dyDescent="0.15"/>
    <row r="2965" customFormat="1" ht="13" x14ac:dyDescent="0.15"/>
    <row r="2966" customFormat="1" ht="13" x14ac:dyDescent="0.15"/>
    <row r="2967" customFormat="1" ht="13" x14ac:dyDescent="0.15"/>
    <row r="2968" customFormat="1" ht="13" x14ac:dyDescent="0.15"/>
    <row r="2969" customFormat="1" ht="13" x14ac:dyDescent="0.15"/>
    <row r="2970" customFormat="1" ht="13" x14ac:dyDescent="0.15"/>
    <row r="2971" customFormat="1" ht="13" x14ac:dyDescent="0.15"/>
    <row r="2972" customFormat="1" ht="13" x14ac:dyDescent="0.15"/>
    <row r="2973" customFormat="1" ht="13" x14ac:dyDescent="0.15"/>
    <row r="2974" customFormat="1" ht="13" x14ac:dyDescent="0.15"/>
    <row r="2975" customFormat="1" ht="13" x14ac:dyDescent="0.15"/>
    <row r="2976" customFormat="1" ht="13" x14ac:dyDescent="0.15"/>
    <row r="2977" customFormat="1" ht="13" x14ac:dyDescent="0.15"/>
    <row r="2978" customFormat="1" ht="13" x14ac:dyDescent="0.15"/>
    <row r="2979" customFormat="1" ht="13" x14ac:dyDescent="0.15"/>
    <row r="2980" customFormat="1" ht="13" x14ac:dyDescent="0.15"/>
    <row r="2981" customFormat="1" ht="13" x14ac:dyDescent="0.15"/>
    <row r="2982" customFormat="1" ht="13" x14ac:dyDescent="0.15"/>
    <row r="2983" customFormat="1" ht="13" x14ac:dyDescent="0.15"/>
    <row r="2984" customFormat="1" ht="13" x14ac:dyDescent="0.15"/>
    <row r="2985" customFormat="1" ht="13" x14ac:dyDescent="0.15"/>
    <row r="2986" customFormat="1" ht="13" x14ac:dyDescent="0.15"/>
    <row r="2987" customFormat="1" ht="13" x14ac:dyDescent="0.15"/>
    <row r="2988" customFormat="1" ht="13" x14ac:dyDescent="0.15"/>
    <row r="2989" customFormat="1" ht="13" x14ac:dyDescent="0.15"/>
    <row r="2990" customFormat="1" ht="13" x14ac:dyDescent="0.15"/>
    <row r="2991" customFormat="1" ht="13" x14ac:dyDescent="0.15"/>
    <row r="2992" customFormat="1" ht="13" x14ac:dyDescent="0.15"/>
    <row r="2993" customFormat="1" ht="13" x14ac:dyDescent="0.15"/>
    <row r="2994" customFormat="1" ht="13" x14ac:dyDescent="0.15"/>
    <row r="2995" customFormat="1" ht="13" x14ac:dyDescent="0.15"/>
    <row r="2996" customFormat="1" ht="13" x14ac:dyDescent="0.15"/>
    <row r="2997" customFormat="1" ht="13" x14ac:dyDescent="0.15"/>
    <row r="2998" customFormat="1" ht="13" x14ac:dyDescent="0.15"/>
    <row r="2999" customFormat="1" ht="13" x14ac:dyDescent="0.15"/>
    <row r="3000" customFormat="1" ht="13" x14ac:dyDescent="0.15"/>
    <row r="3001" customFormat="1" ht="13" x14ac:dyDescent="0.15"/>
    <row r="3002" customFormat="1" ht="13" x14ac:dyDescent="0.15"/>
    <row r="3003" customFormat="1" ht="13" x14ac:dyDescent="0.15"/>
    <row r="3004" customFormat="1" ht="13" x14ac:dyDescent="0.15"/>
    <row r="3005" customFormat="1" ht="13" x14ac:dyDescent="0.15"/>
    <row r="3006" customFormat="1" ht="13" x14ac:dyDescent="0.15"/>
    <row r="3007" customFormat="1" ht="13" x14ac:dyDescent="0.15"/>
    <row r="3008" customFormat="1" ht="13" x14ac:dyDescent="0.15"/>
    <row r="3009" customFormat="1" ht="13" x14ac:dyDescent="0.15"/>
    <row r="3010" customFormat="1" ht="13" x14ac:dyDescent="0.15"/>
    <row r="3011" customFormat="1" ht="13" x14ac:dyDescent="0.15"/>
    <row r="3012" customFormat="1" ht="13" x14ac:dyDescent="0.15"/>
    <row r="3013" customFormat="1" ht="13" x14ac:dyDescent="0.15"/>
    <row r="3014" customFormat="1" ht="13" x14ac:dyDescent="0.15"/>
    <row r="3015" customFormat="1" ht="13" x14ac:dyDescent="0.15"/>
    <row r="3016" customFormat="1" ht="13" x14ac:dyDescent="0.15"/>
    <row r="3017" customFormat="1" ht="13" x14ac:dyDescent="0.15"/>
    <row r="3018" customFormat="1" ht="13" x14ac:dyDescent="0.15"/>
    <row r="3019" customFormat="1" ht="13" x14ac:dyDescent="0.15"/>
    <row r="3020" customFormat="1" ht="13" x14ac:dyDescent="0.15"/>
    <row r="3021" customFormat="1" ht="13" x14ac:dyDescent="0.15"/>
    <row r="3022" customFormat="1" ht="13" x14ac:dyDescent="0.15"/>
    <row r="3023" customFormat="1" ht="13" x14ac:dyDescent="0.15"/>
    <row r="3024" customFormat="1" ht="13" x14ac:dyDescent="0.15"/>
    <row r="3025" customFormat="1" ht="13" x14ac:dyDescent="0.15"/>
    <row r="3026" customFormat="1" ht="13" x14ac:dyDescent="0.15"/>
    <row r="3027" customFormat="1" ht="13" x14ac:dyDescent="0.15"/>
    <row r="3028" customFormat="1" ht="13" x14ac:dyDescent="0.15"/>
    <row r="3029" customFormat="1" ht="13" x14ac:dyDescent="0.15"/>
    <row r="3030" customFormat="1" ht="13" x14ac:dyDescent="0.15"/>
    <row r="3031" customFormat="1" ht="13" x14ac:dyDescent="0.15"/>
    <row r="3032" customFormat="1" ht="13" x14ac:dyDescent="0.15"/>
    <row r="3033" customFormat="1" ht="13" x14ac:dyDescent="0.15"/>
    <row r="3034" customFormat="1" ht="13" x14ac:dyDescent="0.15"/>
    <row r="3035" customFormat="1" ht="13" x14ac:dyDescent="0.15"/>
    <row r="3036" customFormat="1" ht="13" x14ac:dyDescent="0.15"/>
    <row r="3037" customFormat="1" ht="13" x14ac:dyDescent="0.15"/>
    <row r="3038" customFormat="1" ht="13" x14ac:dyDescent="0.15"/>
    <row r="3039" customFormat="1" ht="13" x14ac:dyDescent="0.15"/>
    <row r="3040" customFormat="1" ht="13" x14ac:dyDescent="0.15"/>
    <row r="3041" customFormat="1" ht="13" x14ac:dyDescent="0.15"/>
    <row r="3042" customFormat="1" ht="13" x14ac:dyDescent="0.15"/>
    <row r="3043" customFormat="1" ht="13" x14ac:dyDescent="0.15"/>
    <row r="3044" customFormat="1" ht="13" x14ac:dyDescent="0.15"/>
    <row r="3045" customFormat="1" ht="13" x14ac:dyDescent="0.15"/>
    <row r="3046" customFormat="1" ht="13" x14ac:dyDescent="0.15"/>
    <row r="3047" customFormat="1" ht="13" x14ac:dyDescent="0.15"/>
    <row r="3048" customFormat="1" ht="13" x14ac:dyDescent="0.15"/>
    <row r="3049" customFormat="1" ht="13" x14ac:dyDescent="0.15"/>
    <row r="3050" customFormat="1" ht="13" x14ac:dyDescent="0.15"/>
    <row r="3051" customFormat="1" ht="13" x14ac:dyDescent="0.15"/>
    <row r="3052" customFormat="1" ht="13" x14ac:dyDescent="0.15"/>
    <row r="3053" customFormat="1" ht="13" x14ac:dyDescent="0.15"/>
    <row r="3054" customFormat="1" ht="13" x14ac:dyDescent="0.15"/>
    <row r="3055" customFormat="1" ht="13" x14ac:dyDescent="0.15"/>
    <row r="3056" customFormat="1" ht="13" x14ac:dyDescent="0.15"/>
    <row r="3057" customFormat="1" ht="13" x14ac:dyDescent="0.15"/>
    <row r="3058" customFormat="1" ht="13" x14ac:dyDescent="0.15"/>
    <row r="3059" customFormat="1" ht="13" x14ac:dyDescent="0.15"/>
    <row r="3060" customFormat="1" ht="13" x14ac:dyDescent="0.15"/>
    <row r="3061" customFormat="1" ht="13" x14ac:dyDescent="0.15"/>
    <row r="3062" customFormat="1" ht="13" x14ac:dyDescent="0.15"/>
    <row r="3063" customFormat="1" ht="13" x14ac:dyDescent="0.15"/>
    <row r="3064" customFormat="1" ht="13" x14ac:dyDescent="0.15"/>
    <row r="3065" customFormat="1" ht="13" x14ac:dyDescent="0.15"/>
    <row r="3066" customFormat="1" ht="13" x14ac:dyDescent="0.15"/>
    <row r="3067" customFormat="1" ht="13" x14ac:dyDescent="0.15"/>
    <row r="3068" customFormat="1" ht="13" x14ac:dyDescent="0.15"/>
    <row r="3069" customFormat="1" ht="13" x14ac:dyDescent="0.15"/>
    <row r="3070" customFormat="1" ht="13" x14ac:dyDescent="0.15"/>
    <row r="3071" customFormat="1" ht="13" x14ac:dyDescent="0.15"/>
    <row r="3072" customFormat="1" ht="13" x14ac:dyDescent="0.15"/>
    <row r="3073" customFormat="1" ht="13" x14ac:dyDescent="0.15"/>
    <row r="3074" customFormat="1" ht="13" x14ac:dyDescent="0.15"/>
    <row r="3075" customFormat="1" ht="13" x14ac:dyDescent="0.15"/>
    <row r="3076" customFormat="1" ht="13" x14ac:dyDescent="0.15"/>
    <row r="3077" customFormat="1" ht="13" x14ac:dyDescent="0.15"/>
    <row r="3078" customFormat="1" ht="13" x14ac:dyDescent="0.15"/>
    <row r="3079" customFormat="1" ht="13" x14ac:dyDescent="0.15"/>
    <row r="3080" customFormat="1" ht="13" x14ac:dyDescent="0.15"/>
    <row r="3081" customFormat="1" ht="13" x14ac:dyDescent="0.15"/>
    <row r="3082" customFormat="1" ht="13" x14ac:dyDescent="0.15"/>
    <row r="3083" customFormat="1" ht="13" x14ac:dyDescent="0.15"/>
    <row r="3084" customFormat="1" ht="13" x14ac:dyDescent="0.15"/>
    <row r="3085" customFormat="1" ht="13" x14ac:dyDescent="0.15"/>
    <row r="3086" customFormat="1" ht="13" x14ac:dyDescent="0.15"/>
    <row r="3087" customFormat="1" ht="13" x14ac:dyDescent="0.15"/>
    <row r="3088" customFormat="1" ht="13" x14ac:dyDescent="0.15"/>
    <row r="3089" customFormat="1" ht="13" x14ac:dyDescent="0.15"/>
    <row r="3090" customFormat="1" ht="13" x14ac:dyDescent="0.15"/>
    <row r="3091" customFormat="1" ht="13" x14ac:dyDescent="0.15"/>
    <row r="3092" customFormat="1" ht="13" x14ac:dyDescent="0.15"/>
    <row r="3093" customFormat="1" ht="13" x14ac:dyDescent="0.15"/>
    <row r="3094" customFormat="1" ht="13" x14ac:dyDescent="0.15"/>
    <row r="3095" customFormat="1" ht="13" x14ac:dyDescent="0.15"/>
    <row r="3096" customFormat="1" ht="13" x14ac:dyDescent="0.15"/>
    <row r="3097" customFormat="1" ht="13" x14ac:dyDescent="0.15"/>
    <row r="3098" customFormat="1" ht="13" x14ac:dyDescent="0.15"/>
    <row r="3099" customFormat="1" ht="13" x14ac:dyDescent="0.15"/>
    <row r="3100" customFormat="1" ht="13" x14ac:dyDescent="0.15"/>
    <row r="3101" customFormat="1" ht="13" x14ac:dyDescent="0.15"/>
    <row r="3102" customFormat="1" ht="13" x14ac:dyDescent="0.15"/>
    <row r="3103" customFormat="1" ht="13" x14ac:dyDescent="0.15"/>
    <row r="3104" customFormat="1" ht="13" x14ac:dyDescent="0.15"/>
    <row r="3105" customFormat="1" ht="13" x14ac:dyDescent="0.15"/>
    <row r="3106" customFormat="1" ht="13" x14ac:dyDescent="0.15"/>
    <row r="3107" customFormat="1" ht="13" x14ac:dyDescent="0.15"/>
    <row r="3108" customFormat="1" ht="13" x14ac:dyDescent="0.15"/>
    <row r="3109" customFormat="1" ht="13" x14ac:dyDescent="0.15"/>
    <row r="3110" customFormat="1" ht="13" x14ac:dyDescent="0.15"/>
    <row r="3111" customFormat="1" ht="13" x14ac:dyDescent="0.15"/>
    <row r="3112" customFormat="1" ht="13" x14ac:dyDescent="0.15"/>
    <row r="3113" customFormat="1" ht="13" x14ac:dyDescent="0.15"/>
    <row r="3114" customFormat="1" ht="13" x14ac:dyDescent="0.15"/>
    <row r="3115" customFormat="1" ht="13" x14ac:dyDescent="0.15"/>
    <row r="3116" customFormat="1" ht="13" x14ac:dyDescent="0.15"/>
    <row r="3117" customFormat="1" ht="13" x14ac:dyDescent="0.15"/>
    <row r="3118" customFormat="1" ht="13" x14ac:dyDescent="0.15"/>
    <row r="3119" customFormat="1" ht="13" x14ac:dyDescent="0.15"/>
    <row r="3120" customFormat="1" ht="13" x14ac:dyDescent="0.15"/>
    <row r="3121" customFormat="1" ht="13" x14ac:dyDescent="0.15"/>
    <row r="3122" customFormat="1" ht="13" x14ac:dyDescent="0.15"/>
    <row r="3123" customFormat="1" ht="13" x14ac:dyDescent="0.15"/>
    <row r="3124" customFormat="1" ht="13" x14ac:dyDescent="0.15"/>
    <row r="3125" customFormat="1" ht="13" x14ac:dyDescent="0.15"/>
    <row r="3126" customFormat="1" ht="13" x14ac:dyDescent="0.15"/>
    <row r="3127" customFormat="1" ht="13" x14ac:dyDescent="0.15"/>
    <row r="3128" customFormat="1" ht="13" x14ac:dyDescent="0.15"/>
    <row r="3129" customFormat="1" ht="13" x14ac:dyDescent="0.15"/>
    <row r="3130" customFormat="1" ht="13" x14ac:dyDescent="0.15"/>
    <row r="3131" customFormat="1" ht="13" x14ac:dyDescent="0.15"/>
    <row r="3132" customFormat="1" ht="13" x14ac:dyDescent="0.15"/>
    <row r="3133" customFormat="1" ht="13" x14ac:dyDescent="0.15"/>
    <row r="3134" customFormat="1" ht="13" x14ac:dyDescent="0.15"/>
    <row r="3135" customFormat="1" ht="13" x14ac:dyDescent="0.15"/>
    <row r="3136" customFormat="1" ht="13" x14ac:dyDescent="0.15"/>
    <row r="3137" customFormat="1" ht="13" x14ac:dyDescent="0.15"/>
    <row r="3138" customFormat="1" ht="13" x14ac:dyDescent="0.15"/>
    <row r="3139" customFormat="1" ht="13" x14ac:dyDescent="0.15"/>
    <row r="3140" customFormat="1" ht="13" x14ac:dyDescent="0.15"/>
    <row r="3141" customFormat="1" ht="13" x14ac:dyDescent="0.15"/>
    <row r="3142" customFormat="1" ht="13" x14ac:dyDescent="0.15"/>
    <row r="3143" customFormat="1" ht="13" x14ac:dyDescent="0.15"/>
    <row r="3144" customFormat="1" ht="13" x14ac:dyDescent="0.15"/>
    <row r="3145" customFormat="1" ht="13" x14ac:dyDescent="0.15"/>
    <row r="3146" customFormat="1" ht="13" x14ac:dyDescent="0.15"/>
    <row r="3147" customFormat="1" ht="13" x14ac:dyDescent="0.15"/>
    <row r="3148" customFormat="1" ht="13" x14ac:dyDescent="0.15"/>
    <row r="3149" customFormat="1" ht="13" x14ac:dyDescent="0.15"/>
    <row r="3150" customFormat="1" ht="13" x14ac:dyDescent="0.15"/>
    <row r="3151" customFormat="1" ht="13" x14ac:dyDescent="0.15"/>
    <row r="3152" customFormat="1" ht="13" x14ac:dyDescent="0.15"/>
    <row r="3153" customFormat="1" ht="13" x14ac:dyDescent="0.15"/>
    <row r="3154" customFormat="1" ht="13" x14ac:dyDescent="0.15"/>
    <row r="3155" customFormat="1" ht="13" x14ac:dyDescent="0.15"/>
    <row r="3156" customFormat="1" ht="13" x14ac:dyDescent="0.15"/>
    <row r="3157" customFormat="1" ht="13" x14ac:dyDescent="0.15"/>
    <row r="3158" customFormat="1" ht="13" x14ac:dyDescent="0.15"/>
    <row r="3159" customFormat="1" ht="13" x14ac:dyDescent="0.15"/>
    <row r="3160" customFormat="1" ht="13" x14ac:dyDescent="0.15"/>
    <row r="3161" customFormat="1" ht="13" x14ac:dyDescent="0.15"/>
    <row r="3162" customFormat="1" ht="13" x14ac:dyDescent="0.15"/>
    <row r="3163" customFormat="1" ht="13" x14ac:dyDescent="0.15"/>
    <row r="3164" customFormat="1" ht="13" x14ac:dyDescent="0.15"/>
    <row r="3165" customFormat="1" ht="13" x14ac:dyDescent="0.15"/>
    <row r="3166" customFormat="1" ht="13" x14ac:dyDescent="0.15"/>
    <row r="3167" customFormat="1" ht="13" x14ac:dyDescent="0.15"/>
    <row r="3168" customFormat="1" ht="13" x14ac:dyDescent="0.15"/>
    <row r="3169" customFormat="1" ht="13" x14ac:dyDescent="0.15"/>
    <row r="3170" customFormat="1" ht="13" x14ac:dyDescent="0.15"/>
    <row r="3171" customFormat="1" ht="13" x14ac:dyDescent="0.15"/>
    <row r="3172" customFormat="1" ht="13" x14ac:dyDescent="0.15"/>
    <row r="3173" customFormat="1" ht="13" x14ac:dyDescent="0.15"/>
    <row r="3174" customFormat="1" ht="13" x14ac:dyDescent="0.15"/>
    <row r="3175" customFormat="1" ht="13" x14ac:dyDescent="0.15"/>
    <row r="3176" customFormat="1" ht="13" x14ac:dyDescent="0.15"/>
    <row r="3177" customFormat="1" ht="13" x14ac:dyDescent="0.15"/>
    <row r="3178" customFormat="1" ht="13" x14ac:dyDescent="0.15"/>
    <row r="3179" customFormat="1" ht="13" x14ac:dyDescent="0.15"/>
    <row r="3180" customFormat="1" ht="13" x14ac:dyDescent="0.15"/>
    <row r="3181" customFormat="1" ht="13" x14ac:dyDescent="0.15"/>
    <row r="3182" customFormat="1" ht="13" x14ac:dyDescent="0.15"/>
    <row r="3183" customFormat="1" ht="13" x14ac:dyDescent="0.15"/>
    <row r="3184" customFormat="1" ht="13" x14ac:dyDescent="0.15"/>
    <row r="3185" customFormat="1" ht="13" x14ac:dyDescent="0.15"/>
    <row r="3186" customFormat="1" ht="13" x14ac:dyDescent="0.15"/>
    <row r="3187" customFormat="1" ht="13" x14ac:dyDescent="0.15"/>
    <row r="3188" customFormat="1" ht="13" x14ac:dyDescent="0.15"/>
    <row r="3189" customFormat="1" ht="13" x14ac:dyDescent="0.15"/>
    <row r="3190" customFormat="1" ht="13" x14ac:dyDescent="0.15"/>
    <row r="3191" customFormat="1" ht="13" x14ac:dyDescent="0.15"/>
    <row r="3192" customFormat="1" ht="13" x14ac:dyDescent="0.15"/>
    <row r="3193" customFormat="1" ht="13" x14ac:dyDescent="0.15"/>
    <row r="3194" customFormat="1" ht="13" x14ac:dyDescent="0.15"/>
    <row r="3195" customFormat="1" ht="13" x14ac:dyDescent="0.15"/>
    <row r="3196" customFormat="1" ht="13" x14ac:dyDescent="0.15"/>
    <row r="3197" customFormat="1" ht="13" x14ac:dyDescent="0.15"/>
    <row r="3198" customFormat="1" ht="13" x14ac:dyDescent="0.15"/>
    <row r="3199" customFormat="1" ht="13" x14ac:dyDescent="0.15"/>
    <row r="3200" customFormat="1" ht="13" x14ac:dyDescent="0.15"/>
    <row r="3201" customFormat="1" ht="13" x14ac:dyDescent="0.15"/>
    <row r="3202" customFormat="1" ht="13" x14ac:dyDescent="0.15"/>
    <row r="3203" customFormat="1" ht="13" x14ac:dyDescent="0.15"/>
    <row r="3204" customFormat="1" ht="13" x14ac:dyDescent="0.15"/>
    <row r="3205" customFormat="1" ht="13" x14ac:dyDescent="0.15"/>
    <row r="3206" customFormat="1" ht="13" x14ac:dyDescent="0.15"/>
    <row r="3207" customFormat="1" ht="13" x14ac:dyDescent="0.15"/>
    <row r="3208" customFormat="1" ht="13" x14ac:dyDescent="0.15"/>
    <row r="3209" customFormat="1" ht="13" x14ac:dyDescent="0.15"/>
    <row r="3210" customFormat="1" ht="13" x14ac:dyDescent="0.15"/>
    <row r="3211" customFormat="1" ht="13" x14ac:dyDescent="0.15"/>
    <row r="3212" customFormat="1" ht="13" x14ac:dyDescent="0.15"/>
    <row r="3213" customFormat="1" ht="13" x14ac:dyDescent="0.15"/>
    <row r="3214" customFormat="1" ht="13" x14ac:dyDescent="0.15"/>
    <row r="3215" customFormat="1" ht="13" x14ac:dyDescent="0.15"/>
    <row r="3216" customFormat="1" ht="13" x14ac:dyDescent="0.15"/>
    <row r="3217" customFormat="1" ht="13" x14ac:dyDescent="0.15"/>
    <row r="3218" customFormat="1" ht="13" x14ac:dyDescent="0.15"/>
    <row r="3219" customFormat="1" ht="13" x14ac:dyDescent="0.15"/>
    <row r="3220" customFormat="1" ht="13" x14ac:dyDescent="0.15"/>
    <row r="3221" customFormat="1" ht="13" x14ac:dyDescent="0.15"/>
    <row r="3222" customFormat="1" ht="13" x14ac:dyDescent="0.15"/>
    <row r="3223" customFormat="1" ht="13" x14ac:dyDescent="0.15"/>
    <row r="3224" customFormat="1" ht="13" x14ac:dyDescent="0.15"/>
    <row r="3225" customFormat="1" ht="13" x14ac:dyDescent="0.15"/>
    <row r="3226" customFormat="1" ht="13" x14ac:dyDescent="0.15"/>
    <row r="3227" customFormat="1" ht="13" x14ac:dyDescent="0.15"/>
    <row r="3228" customFormat="1" ht="13" x14ac:dyDescent="0.15"/>
    <row r="3229" customFormat="1" ht="13" x14ac:dyDescent="0.15"/>
    <row r="3230" customFormat="1" ht="13" x14ac:dyDescent="0.15"/>
    <row r="3231" customFormat="1" ht="13" x14ac:dyDescent="0.15"/>
    <row r="3232" customFormat="1" ht="13" x14ac:dyDescent="0.15"/>
    <row r="3233" customFormat="1" ht="13" x14ac:dyDescent="0.15"/>
    <row r="3234" customFormat="1" ht="13" x14ac:dyDescent="0.15"/>
    <row r="3235" customFormat="1" ht="13" x14ac:dyDescent="0.15"/>
    <row r="3236" customFormat="1" ht="13" x14ac:dyDescent="0.15"/>
    <row r="3237" customFormat="1" ht="13" x14ac:dyDescent="0.15"/>
    <row r="3238" customFormat="1" ht="13" x14ac:dyDescent="0.15"/>
    <row r="3239" customFormat="1" ht="13" x14ac:dyDescent="0.15"/>
    <row r="3240" customFormat="1" ht="13" x14ac:dyDescent="0.15"/>
    <row r="3241" customFormat="1" ht="13" x14ac:dyDescent="0.15"/>
    <row r="3242" customFormat="1" ht="13" x14ac:dyDescent="0.15"/>
    <row r="3243" customFormat="1" ht="13" x14ac:dyDescent="0.15"/>
    <row r="3244" customFormat="1" ht="13" x14ac:dyDescent="0.15"/>
    <row r="3245" customFormat="1" ht="13" x14ac:dyDescent="0.15"/>
    <row r="3246" customFormat="1" ht="13" x14ac:dyDescent="0.15"/>
    <row r="3247" customFormat="1" ht="13" x14ac:dyDescent="0.15"/>
    <row r="3248" customFormat="1" ht="13" x14ac:dyDescent="0.15"/>
    <row r="3249" customFormat="1" ht="13" x14ac:dyDescent="0.15"/>
    <row r="3250" customFormat="1" ht="13" x14ac:dyDescent="0.15"/>
    <row r="3251" customFormat="1" ht="13" x14ac:dyDescent="0.15"/>
    <row r="3252" customFormat="1" ht="13" x14ac:dyDescent="0.15"/>
    <row r="3253" customFormat="1" ht="13" x14ac:dyDescent="0.15"/>
    <row r="3254" customFormat="1" ht="13" x14ac:dyDescent="0.15"/>
    <row r="3255" customFormat="1" ht="13" x14ac:dyDescent="0.15"/>
    <row r="3256" customFormat="1" ht="13" x14ac:dyDescent="0.15"/>
    <row r="3257" customFormat="1" ht="13" x14ac:dyDescent="0.15"/>
    <row r="3258" customFormat="1" ht="13" x14ac:dyDescent="0.15"/>
    <row r="3259" customFormat="1" ht="13" x14ac:dyDescent="0.15"/>
    <row r="3260" customFormat="1" ht="13" x14ac:dyDescent="0.15"/>
    <row r="3261" customFormat="1" ht="13" x14ac:dyDescent="0.15"/>
    <row r="3262" customFormat="1" ht="13" x14ac:dyDescent="0.15"/>
    <row r="3263" customFormat="1" ht="13" x14ac:dyDescent="0.15"/>
    <row r="3264" customFormat="1" ht="13" x14ac:dyDescent="0.15"/>
    <row r="3265" customFormat="1" ht="13" x14ac:dyDescent="0.15"/>
    <row r="3266" customFormat="1" ht="13" x14ac:dyDescent="0.15"/>
    <row r="3267" customFormat="1" ht="13" x14ac:dyDescent="0.15"/>
    <row r="3268" customFormat="1" ht="13" x14ac:dyDescent="0.15"/>
    <row r="3269" customFormat="1" ht="13" x14ac:dyDescent="0.15"/>
    <row r="3270" customFormat="1" ht="13" x14ac:dyDescent="0.15"/>
    <row r="3271" customFormat="1" ht="13" x14ac:dyDescent="0.15"/>
    <row r="3272" customFormat="1" ht="13" x14ac:dyDescent="0.15"/>
    <row r="3273" customFormat="1" ht="13" x14ac:dyDescent="0.15"/>
    <row r="3274" customFormat="1" ht="13" x14ac:dyDescent="0.15"/>
    <row r="3275" customFormat="1" ht="13" x14ac:dyDescent="0.15"/>
    <row r="3276" customFormat="1" ht="13" x14ac:dyDescent="0.15"/>
    <row r="3277" customFormat="1" ht="13" x14ac:dyDescent="0.15"/>
    <row r="3278" customFormat="1" ht="13" x14ac:dyDescent="0.15"/>
    <row r="3279" customFormat="1" ht="13" x14ac:dyDescent="0.15"/>
    <row r="3280" customFormat="1" ht="13" x14ac:dyDescent="0.15"/>
    <row r="3281" customFormat="1" ht="13" x14ac:dyDescent="0.15"/>
    <row r="3282" customFormat="1" ht="13" x14ac:dyDescent="0.15"/>
    <row r="3283" customFormat="1" ht="13" x14ac:dyDescent="0.15"/>
    <row r="3284" customFormat="1" ht="13" x14ac:dyDescent="0.15"/>
    <row r="3285" customFormat="1" ht="13" x14ac:dyDescent="0.15"/>
    <row r="3286" customFormat="1" ht="13" x14ac:dyDescent="0.15"/>
    <row r="3287" customFormat="1" ht="13" x14ac:dyDescent="0.15"/>
    <row r="3288" customFormat="1" ht="13" x14ac:dyDescent="0.15"/>
    <row r="3289" customFormat="1" ht="13" x14ac:dyDescent="0.15"/>
    <row r="3290" customFormat="1" ht="13" x14ac:dyDescent="0.15"/>
    <row r="3291" customFormat="1" ht="13" x14ac:dyDescent="0.15"/>
    <row r="3292" customFormat="1" ht="13" x14ac:dyDescent="0.15"/>
    <row r="3293" customFormat="1" ht="13" x14ac:dyDescent="0.15"/>
    <row r="3294" customFormat="1" ht="13" x14ac:dyDescent="0.15"/>
    <row r="3295" customFormat="1" ht="13" x14ac:dyDescent="0.15"/>
    <row r="3296" customFormat="1" ht="13" x14ac:dyDescent="0.15"/>
    <row r="3297" customFormat="1" ht="13" x14ac:dyDescent="0.15"/>
    <row r="3298" customFormat="1" ht="13" x14ac:dyDescent="0.15"/>
    <row r="3299" customFormat="1" ht="13" x14ac:dyDescent="0.15"/>
    <row r="3300" customFormat="1" ht="13" x14ac:dyDescent="0.15"/>
    <row r="3301" customFormat="1" ht="13" x14ac:dyDescent="0.15"/>
    <row r="3302" customFormat="1" ht="13" x14ac:dyDescent="0.15"/>
    <row r="3303" customFormat="1" ht="13" x14ac:dyDescent="0.15"/>
    <row r="3304" customFormat="1" ht="13" x14ac:dyDescent="0.15"/>
    <row r="3305" customFormat="1" ht="13" x14ac:dyDescent="0.15"/>
    <row r="3306" customFormat="1" ht="13" x14ac:dyDescent="0.15"/>
    <row r="3307" customFormat="1" ht="13" x14ac:dyDescent="0.15"/>
    <row r="3308" customFormat="1" ht="13" x14ac:dyDescent="0.15"/>
    <row r="3309" customFormat="1" ht="13" x14ac:dyDescent="0.15"/>
    <row r="3310" customFormat="1" ht="13" x14ac:dyDescent="0.15"/>
    <row r="3311" customFormat="1" ht="13" x14ac:dyDescent="0.15"/>
    <row r="3312" customFormat="1" ht="13" x14ac:dyDescent="0.15"/>
    <row r="3313" customFormat="1" ht="13" x14ac:dyDescent="0.15"/>
    <row r="3314" customFormat="1" ht="13" x14ac:dyDescent="0.15"/>
    <row r="3315" customFormat="1" ht="13" x14ac:dyDescent="0.15"/>
    <row r="3316" customFormat="1" ht="13" x14ac:dyDescent="0.15"/>
    <row r="3317" customFormat="1" ht="13" x14ac:dyDescent="0.15"/>
    <row r="3318" customFormat="1" ht="13" x14ac:dyDescent="0.15"/>
    <row r="3319" customFormat="1" ht="13" x14ac:dyDescent="0.15"/>
    <row r="3320" customFormat="1" ht="13" x14ac:dyDescent="0.15"/>
    <row r="3321" customFormat="1" ht="13" x14ac:dyDescent="0.15"/>
    <row r="3322" customFormat="1" ht="13" x14ac:dyDescent="0.15"/>
    <row r="3323" customFormat="1" ht="13" x14ac:dyDescent="0.15"/>
    <row r="3324" customFormat="1" ht="13" x14ac:dyDescent="0.15"/>
    <row r="3325" customFormat="1" ht="13" x14ac:dyDescent="0.15"/>
    <row r="3326" customFormat="1" ht="13" x14ac:dyDescent="0.15"/>
    <row r="3327" customFormat="1" ht="13" x14ac:dyDescent="0.15"/>
    <row r="3328" customFormat="1" ht="13" x14ac:dyDescent="0.15"/>
    <row r="3329" customFormat="1" ht="13" x14ac:dyDescent="0.15"/>
    <row r="3330" customFormat="1" ht="13" x14ac:dyDescent="0.15"/>
    <row r="3331" customFormat="1" ht="13" x14ac:dyDescent="0.15"/>
    <row r="3332" customFormat="1" ht="13" x14ac:dyDescent="0.15"/>
    <row r="3333" customFormat="1" ht="13" x14ac:dyDescent="0.15"/>
    <row r="3334" customFormat="1" ht="13" x14ac:dyDescent="0.15"/>
    <row r="3335" customFormat="1" ht="13" x14ac:dyDescent="0.15"/>
    <row r="3336" customFormat="1" ht="13" x14ac:dyDescent="0.15"/>
    <row r="3337" customFormat="1" ht="13" x14ac:dyDescent="0.15"/>
    <row r="3338" customFormat="1" ht="13" x14ac:dyDescent="0.15"/>
    <row r="3339" customFormat="1" ht="13" x14ac:dyDescent="0.15"/>
    <row r="3340" customFormat="1" ht="13" x14ac:dyDescent="0.15"/>
    <row r="3341" customFormat="1" ht="13" x14ac:dyDescent="0.15"/>
    <row r="3342" customFormat="1" ht="13" x14ac:dyDescent="0.15"/>
    <row r="3343" customFormat="1" ht="13" x14ac:dyDescent="0.15"/>
    <row r="3344" customFormat="1" ht="13" x14ac:dyDescent="0.15"/>
    <row r="3345" customFormat="1" ht="13" x14ac:dyDescent="0.15"/>
    <row r="3346" customFormat="1" ht="13" x14ac:dyDescent="0.15"/>
    <row r="3347" customFormat="1" ht="13" x14ac:dyDescent="0.15"/>
    <row r="3348" customFormat="1" ht="13" x14ac:dyDescent="0.15"/>
    <row r="3349" customFormat="1" ht="13" x14ac:dyDescent="0.15"/>
    <row r="3350" customFormat="1" ht="13" x14ac:dyDescent="0.15"/>
    <row r="3351" customFormat="1" ht="13" x14ac:dyDescent="0.15"/>
    <row r="3352" customFormat="1" ht="13" x14ac:dyDescent="0.15"/>
    <row r="3353" customFormat="1" ht="13" x14ac:dyDescent="0.15"/>
    <row r="3354" customFormat="1" ht="13" x14ac:dyDescent="0.15"/>
    <row r="3355" customFormat="1" ht="13" x14ac:dyDescent="0.15"/>
    <row r="3356" customFormat="1" ht="13" x14ac:dyDescent="0.15"/>
    <row r="3357" customFormat="1" ht="13" x14ac:dyDescent="0.15"/>
    <row r="3358" customFormat="1" ht="13" x14ac:dyDescent="0.15"/>
    <row r="3359" customFormat="1" ht="13" x14ac:dyDescent="0.15"/>
    <row r="3360" customFormat="1" ht="13" x14ac:dyDescent="0.15"/>
    <row r="3361" customFormat="1" ht="13" x14ac:dyDescent="0.15"/>
    <row r="3362" customFormat="1" ht="13" x14ac:dyDescent="0.15"/>
    <row r="3363" customFormat="1" ht="13" x14ac:dyDescent="0.15"/>
    <row r="3364" customFormat="1" ht="13" x14ac:dyDescent="0.15"/>
    <row r="3365" customFormat="1" ht="13" x14ac:dyDescent="0.15"/>
    <row r="3366" customFormat="1" ht="13" x14ac:dyDescent="0.15"/>
    <row r="3367" customFormat="1" ht="13" x14ac:dyDescent="0.15"/>
    <row r="3368" customFormat="1" ht="13" x14ac:dyDescent="0.15"/>
    <row r="3369" customFormat="1" ht="13" x14ac:dyDescent="0.15"/>
    <row r="3370" customFormat="1" ht="13" x14ac:dyDescent="0.15"/>
    <row r="3371" customFormat="1" ht="13" x14ac:dyDescent="0.15"/>
    <row r="3372" customFormat="1" ht="13" x14ac:dyDescent="0.15"/>
    <row r="3373" customFormat="1" ht="13" x14ac:dyDescent="0.15"/>
    <row r="3374" customFormat="1" ht="13" x14ac:dyDescent="0.15"/>
    <row r="3375" customFormat="1" ht="13" x14ac:dyDescent="0.15"/>
    <row r="3376" customFormat="1" ht="13" x14ac:dyDescent="0.15"/>
    <row r="3377" customFormat="1" ht="13" x14ac:dyDescent="0.15"/>
    <row r="3378" customFormat="1" ht="13" x14ac:dyDescent="0.15"/>
    <row r="3379" customFormat="1" ht="13" x14ac:dyDescent="0.15"/>
    <row r="3380" customFormat="1" ht="13" x14ac:dyDescent="0.15"/>
    <row r="3381" customFormat="1" ht="13" x14ac:dyDescent="0.15"/>
    <row r="3382" customFormat="1" ht="13" x14ac:dyDescent="0.15"/>
    <row r="3383" customFormat="1" ht="13" x14ac:dyDescent="0.15"/>
    <row r="3384" customFormat="1" ht="13" x14ac:dyDescent="0.15"/>
    <row r="3385" customFormat="1" ht="13" x14ac:dyDescent="0.15"/>
    <row r="3386" customFormat="1" ht="13" x14ac:dyDescent="0.15"/>
    <row r="3387" customFormat="1" ht="13" x14ac:dyDescent="0.15"/>
    <row r="3388" customFormat="1" ht="13" x14ac:dyDescent="0.15"/>
    <row r="3389" customFormat="1" ht="13" x14ac:dyDescent="0.15"/>
    <row r="3390" customFormat="1" ht="13" x14ac:dyDescent="0.15"/>
    <row r="3391" customFormat="1" ht="13" x14ac:dyDescent="0.15"/>
    <row r="3392" customFormat="1" ht="13" x14ac:dyDescent="0.15"/>
    <row r="3393" customFormat="1" ht="13" x14ac:dyDescent="0.15"/>
    <row r="3394" customFormat="1" ht="13" x14ac:dyDescent="0.15"/>
    <row r="3395" customFormat="1" ht="13" x14ac:dyDescent="0.15"/>
    <row r="3396" customFormat="1" ht="13" x14ac:dyDescent="0.15"/>
    <row r="3397" customFormat="1" ht="13" x14ac:dyDescent="0.15"/>
    <row r="3398" customFormat="1" ht="13" x14ac:dyDescent="0.15"/>
    <row r="3399" customFormat="1" ht="13" x14ac:dyDescent="0.15"/>
    <row r="3400" customFormat="1" ht="13" x14ac:dyDescent="0.15"/>
    <row r="3401" customFormat="1" ht="13" x14ac:dyDescent="0.15"/>
    <row r="3402" customFormat="1" ht="13" x14ac:dyDescent="0.15"/>
    <row r="3403" customFormat="1" ht="13" x14ac:dyDescent="0.15"/>
    <row r="3404" customFormat="1" ht="13" x14ac:dyDescent="0.15"/>
    <row r="3405" customFormat="1" ht="13" x14ac:dyDescent="0.15"/>
    <row r="3406" customFormat="1" ht="13" x14ac:dyDescent="0.15"/>
    <row r="3407" customFormat="1" ht="13" x14ac:dyDescent="0.15"/>
    <row r="3408" customFormat="1" ht="13" x14ac:dyDescent="0.15"/>
    <row r="3409" customFormat="1" ht="13" x14ac:dyDescent="0.15"/>
    <row r="3410" customFormat="1" ht="13" x14ac:dyDescent="0.15"/>
    <row r="3411" customFormat="1" ht="13" x14ac:dyDescent="0.15"/>
    <row r="3412" customFormat="1" ht="13" x14ac:dyDescent="0.15"/>
    <row r="3413" customFormat="1" ht="13" x14ac:dyDescent="0.15"/>
    <row r="3414" customFormat="1" ht="13" x14ac:dyDescent="0.15"/>
    <row r="3415" customFormat="1" ht="13" x14ac:dyDescent="0.15"/>
    <row r="3416" customFormat="1" ht="13" x14ac:dyDescent="0.15"/>
    <row r="3417" customFormat="1" ht="13" x14ac:dyDescent="0.15"/>
    <row r="3418" customFormat="1" ht="13" x14ac:dyDescent="0.15"/>
    <row r="3419" customFormat="1" ht="13" x14ac:dyDescent="0.15"/>
    <row r="3420" customFormat="1" ht="13" x14ac:dyDescent="0.15"/>
    <row r="3421" customFormat="1" ht="13" x14ac:dyDescent="0.15"/>
    <row r="3422" customFormat="1" ht="13" x14ac:dyDescent="0.15"/>
    <row r="3423" customFormat="1" ht="13" x14ac:dyDescent="0.15"/>
    <row r="3424" customFormat="1" ht="13" x14ac:dyDescent="0.15"/>
    <row r="3425" customFormat="1" ht="13" x14ac:dyDescent="0.15"/>
    <row r="3426" customFormat="1" ht="13" x14ac:dyDescent="0.15"/>
    <row r="3427" customFormat="1" ht="13" x14ac:dyDescent="0.15"/>
    <row r="3428" customFormat="1" ht="13" x14ac:dyDescent="0.15"/>
    <row r="3429" customFormat="1" ht="13" x14ac:dyDescent="0.15"/>
    <row r="3430" customFormat="1" ht="13" x14ac:dyDescent="0.15"/>
    <row r="3431" customFormat="1" ht="13" x14ac:dyDescent="0.15"/>
    <row r="3432" customFormat="1" ht="13" x14ac:dyDescent="0.15"/>
    <row r="3433" customFormat="1" ht="13" x14ac:dyDescent="0.15"/>
    <row r="3434" customFormat="1" ht="13" x14ac:dyDescent="0.15"/>
    <row r="3435" customFormat="1" ht="13" x14ac:dyDescent="0.15"/>
    <row r="3436" customFormat="1" ht="13" x14ac:dyDescent="0.15"/>
    <row r="3437" customFormat="1" ht="13" x14ac:dyDescent="0.15"/>
    <row r="3438" customFormat="1" ht="13" x14ac:dyDescent="0.15"/>
    <row r="3439" customFormat="1" ht="13" x14ac:dyDescent="0.15"/>
    <row r="3440" customFormat="1" ht="13" x14ac:dyDescent="0.15"/>
    <row r="3441" customFormat="1" ht="13" x14ac:dyDescent="0.15"/>
    <row r="3442" customFormat="1" ht="13" x14ac:dyDescent="0.15"/>
    <row r="3443" customFormat="1" ht="13" x14ac:dyDescent="0.15"/>
    <row r="3444" customFormat="1" ht="13" x14ac:dyDescent="0.15"/>
    <row r="3445" customFormat="1" ht="13" x14ac:dyDescent="0.15"/>
    <row r="3446" customFormat="1" ht="13" x14ac:dyDescent="0.15"/>
    <row r="3447" customFormat="1" ht="13" x14ac:dyDescent="0.15"/>
    <row r="3448" customFormat="1" ht="13" x14ac:dyDescent="0.15"/>
    <row r="3449" customFormat="1" ht="13" x14ac:dyDescent="0.15"/>
    <row r="3450" customFormat="1" ht="13" x14ac:dyDescent="0.15"/>
    <row r="3451" customFormat="1" ht="13" x14ac:dyDescent="0.15"/>
    <row r="3452" customFormat="1" ht="13" x14ac:dyDescent="0.15"/>
    <row r="3453" customFormat="1" ht="13" x14ac:dyDescent="0.15"/>
    <row r="3454" customFormat="1" ht="13" x14ac:dyDescent="0.15"/>
    <row r="3455" customFormat="1" ht="13" x14ac:dyDescent="0.15"/>
    <row r="3456" customFormat="1" ht="13" x14ac:dyDescent="0.15"/>
    <row r="3457" customFormat="1" ht="13" x14ac:dyDescent="0.15"/>
    <row r="3458" customFormat="1" ht="13" x14ac:dyDescent="0.15"/>
    <row r="3459" customFormat="1" ht="13" x14ac:dyDescent="0.15"/>
    <row r="3460" customFormat="1" ht="13" x14ac:dyDescent="0.15"/>
    <row r="3461" customFormat="1" ht="13" x14ac:dyDescent="0.15"/>
    <row r="3462" customFormat="1" ht="13" x14ac:dyDescent="0.15"/>
    <row r="3463" customFormat="1" ht="13" x14ac:dyDescent="0.15"/>
    <row r="3464" customFormat="1" ht="13" x14ac:dyDescent="0.15"/>
    <row r="3465" customFormat="1" ht="13" x14ac:dyDescent="0.15"/>
    <row r="3466" customFormat="1" ht="13" x14ac:dyDescent="0.15"/>
    <row r="3467" customFormat="1" ht="13" x14ac:dyDescent="0.15"/>
    <row r="3468" customFormat="1" ht="13" x14ac:dyDescent="0.15"/>
    <row r="3469" customFormat="1" ht="13" x14ac:dyDescent="0.15"/>
    <row r="3470" customFormat="1" ht="13" x14ac:dyDescent="0.15"/>
    <row r="3471" customFormat="1" ht="13" x14ac:dyDescent="0.15"/>
    <row r="3472" customFormat="1" ht="13" x14ac:dyDescent="0.15"/>
    <row r="3473" customFormat="1" ht="13" x14ac:dyDescent="0.15"/>
    <row r="3474" customFormat="1" ht="13" x14ac:dyDescent="0.15"/>
    <row r="3475" customFormat="1" ht="13" x14ac:dyDescent="0.15"/>
    <row r="3476" customFormat="1" ht="13" x14ac:dyDescent="0.15"/>
    <row r="3477" customFormat="1" ht="13" x14ac:dyDescent="0.15"/>
    <row r="3478" customFormat="1" ht="13" x14ac:dyDescent="0.15"/>
    <row r="3479" customFormat="1" ht="13" x14ac:dyDescent="0.15"/>
    <row r="3480" customFormat="1" ht="13" x14ac:dyDescent="0.15"/>
    <row r="3481" customFormat="1" ht="13" x14ac:dyDescent="0.15"/>
    <row r="3482" customFormat="1" ht="13" x14ac:dyDescent="0.15"/>
    <row r="3483" customFormat="1" ht="13" x14ac:dyDescent="0.15"/>
    <row r="3484" customFormat="1" ht="13" x14ac:dyDescent="0.15"/>
    <row r="3485" customFormat="1" ht="13" x14ac:dyDescent="0.15"/>
    <row r="3486" customFormat="1" ht="13" x14ac:dyDescent="0.15"/>
    <row r="3487" customFormat="1" ht="13" x14ac:dyDescent="0.15"/>
    <row r="3488" customFormat="1" ht="13" x14ac:dyDescent="0.15"/>
    <row r="3489" customFormat="1" ht="13" x14ac:dyDescent="0.15"/>
    <row r="3490" customFormat="1" ht="13" x14ac:dyDescent="0.15"/>
    <row r="3491" customFormat="1" ht="13" x14ac:dyDescent="0.15"/>
    <row r="3492" customFormat="1" ht="13" x14ac:dyDescent="0.15"/>
    <row r="3493" customFormat="1" ht="13" x14ac:dyDescent="0.15"/>
    <row r="3494" customFormat="1" ht="13" x14ac:dyDescent="0.15"/>
    <row r="3495" customFormat="1" ht="13" x14ac:dyDescent="0.15"/>
    <row r="3496" customFormat="1" ht="13" x14ac:dyDescent="0.15"/>
    <row r="3497" customFormat="1" ht="13" x14ac:dyDescent="0.15"/>
    <row r="3498" customFormat="1" ht="13" x14ac:dyDescent="0.15"/>
    <row r="3499" customFormat="1" ht="13" x14ac:dyDescent="0.15"/>
    <row r="3500" customFormat="1" ht="13" x14ac:dyDescent="0.15"/>
    <row r="3501" customFormat="1" ht="13" x14ac:dyDescent="0.15"/>
    <row r="3502" customFormat="1" ht="13" x14ac:dyDescent="0.15"/>
    <row r="3503" customFormat="1" ht="13" x14ac:dyDescent="0.15"/>
    <row r="3504" customFormat="1" ht="13" x14ac:dyDescent="0.15"/>
    <row r="3505" customFormat="1" ht="13" x14ac:dyDescent="0.15"/>
    <row r="3506" customFormat="1" ht="13" x14ac:dyDescent="0.15"/>
    <row r="3507" customFormat="1" ht="13" x14ac:dyDescent="0.15"/>
    <row r="3508" customFormat="1" ht="13" x14ac:dyDescent="0.15"/>
    <row r="3509" customFormat="1" ht="13" x14ac:dyDescent="0.15"/>
    <row r="3510" customFormat="1" ht="13" x14ac:dyDescent="0.15"/>
    <row r="3511" customFormat="1" ht="13" x14ac:dyDescent="0.15"/>
    <row r="3512" customFormat="1" ht="13" x14ac:dyDescent="0.15"/>
    <row r="3513" customFormat="1" ht="13" x14ac:dyDescent="0.15"/>
    <row r="3514" customFormat="1" ht="13" x14ac:dyDescent="0.15"/>
    <row r="3515" customFormat="1" ht="13" x14ac:dyDescent="0.15"/>
    <row r="3516" customFormat="1" ht="13" x14ac:dyDescent="0.15"/>
    <row r="3517" customFormat="1" ht="13" x14ac:dyDescent="0.15"/>
    <row r="3518" customFormat="1" ht="13" x14ac:dyDescent="0.15"/>
    <row r="3519" customFormat="1" ht="13" x14ac:dyDescent="0.15"/>
    <row r="3520" customFormat="1" ht="13" x14ac:dyDescent="0.15"/>
    <row r="3521" customFormat="1" ht="13" x14ac:dyDescent="0.15"/>
    <row r="3522" customFormat="1" ht="13" x14ac:dyDescent="0.15"/>
    <row r="3523" customFormat="1" ht="13" x14ac:dyDescent="0.15"/>
    <row r="3524" customFormat="1" ht="13" x14ac:dyDescent="0.15"/>
    <row r="3525" customFormat="1" ht="13" x14ac:dyDescent="0.15"/>
    <row r="3526" customFormat="1" ht="13" x14ac:dyDescent="0.15"/>
    <row r="3527" customFormat="1" ht="13" x14ac:dyDescent="0.15"/>
    <row r="3528" customFormat="1" ht="13" x14ac:dyDescent="0.15"/>
    <row r="3529" customFormat="1" ht="13" x14ac:dyDescent="0.15"/>
    <row r="3530" customFormat="1" ht="13" x14ac:dyDescent="0.15"/>
    <row r="3531" customFormat="1" ht="13" x14ac:dyDescent="0.15"/>
    <row r="3532" customFormat="1" ht="13" x14ac:dyDescent="0.15"/>
    <row r="3533" customFormat="1" ht="13" x14ac:dyDescent="0.15"/>
    <row r="3534" customFormat="1" ht="13" x14ac:dyDescent="0.15"/>
    <row r="3535" customFormat="1" ht="13" x14ac:dyDescent="0.15"/>
    <row r="3536" customFormat="1" ht="13" x14ac:dyDescent="0.15"/>
    <row r="3537" customFormat="1" ht="13" x14ac:dyDescent="0.15"/>
    <row r="3538" customFormat="1" ht="13" x14ac:dyDescent="0.15"/>
    <row r="3539" customFormat="1" ht="13" x14ac:dyDescent="0.15"/>
    <row r="3540" customFormat="1" ht="13" x14ac:dyDescent="0.15"/>
    <row r="3541" customFormat="1" ht="13" x14ac:dyDescent="0.15"/>
    <row r="3542" customFormat="1" ht="13" x14ac:dyDescent="0.15"/>
    <row r="3543" customFormat="1" ht="13" x14ac:dyDescent="0.15"/>
    <row r="3544" customFormat="1" ht="13" x14ac:dyDescent="0.15"/>
    <row r="3545" customFormat="1" ht="13" x14ac:dyDescent="0.15"/>
    <row r="3546" customFormat="1" ht="13" x14ac:dyDescent="0.15"/>
    <row r="3547" customFormat="1" ht="13" x14ac:dyDescent="0.15"/>
    <row r="3548" customFormat="1" ht="13" x14ac:dyDescent="0.15"/>
    <row r="3549" customFormat="1" ht="13" x14ac:dyDescent="0.15"/>
    <row r="3550" customFormat="1" ht="13" x14ac:dyDescent="0.15"/>
    <row r="3551" customFormat="1" ht="13" x14ac:dyDescent="0.15"/>
    <row r="3552" customFormat="1" ht="13" x14ac:dyDescent="0.15"/>
    <row r="3553" customFormat="1" ht="13" x14ac:dyDescent="0.15"/>
    <row r="3554" customFormat="1" ht="13" x14ac:dyDescent="0.15"/>
    <row r="3555" customFormat="1" ht="13" x14ac:dyDescent="0.15"/>
    <row r="3556" customFormat="1" ht="13" x14ac:dyDescent="0.15"/>
    <row r="3557" customFormat="1" ht="13" x14ac:dyDescent="0.15"/>
    <row r="3558" customFormat="1" ht="13" x14ac:dyDescent="0.15"/>
    <row r="3559" customFormat="1" ht="13" x14ac:dyDescent="0.15"/>
    <row r="3560" customFormat="1" ht="13" x14ac:dyDescent="0.15"/>
    <row r="3561" customFormat="1" ht="13" x14ac:dyDescent="0.15"/>
    <row r="3562" customFormat="1" ht="13" x14ac:dyDescent="0.15"/>
    <row r="3563" customFormat="1" ht="13" x14ac:dyDescent="0.15"/>
    <row r="3564" customFormat="1" ht="13" x14ac:dyDescent="0.15"/>
    <row r="3565" customFormat="1" ht="13" x14ac:dyDescent="0.15"/>
    <row r="3566" customFormat="1" ht="13" x14ac:dyDescent="0.15"/>
    <row r="3567" customFormat="1" ht="13" x14ac:dyDescent="0.15"/>
    <row r="3568" customFormat="1" ht="13" x14ac:dyDescent="0.15"/>
    <row r="3569" customFormat="1" ht="13" x14ac:dyDescent="0.15"/>
    <row r="3570" customFormat="1" ht="13" x14ac:dyDescent="0.15"/>
    <row r="3571" customFormat="1" ht="13" x14ac:dyDescent="0.15"/>
    <row r="3572" customFormat="1" ht="13" x14ac:dyDescent="0.15"/>
    <row r="3573" customFormat="1" ht="13" x14ac:dyDescent="0.15"/>
    <row r="3574" customFormat="1" ht="13" x14ac:dyDescent="0.15"/>
    <row r="3575" customFormat="1" ht="13" x14ac:dyDescent="0.15"/>
    <row r="3576" customFormat="1" ht="13" x14ac:dyDescent="0.15"/>
    <row r="3577" customFormat="1" ht="13" x14ac:dyDescent="0.15"/>
    <row r="3578" customFormat="1" ht="13" x14ac:dyDescent="0.15"/>
    <row r="3579" customFormat="1" ht="13" x14ac:dyDescent="0.15"/>
    <row r="3580" customFormat="1" ht="13" x14ac:dyDescent="0.15"/>
    <row r="3581" customFormat="1" ht="13" x14ac:dyDescent="0.15"/>
    <row r="3582" customFormat="1" ht="13" x14ac:dyDescent="0.15"/>
    <row r="3583" customFormat="1" ht="13" x14ac:dyDescent="0.15"/>
    <row r="3584" customFormat="1" ht="13" x14ac:dyDescent="0.15"/>
    <row r="3585" customFormat="1" ht="13" x14ac:dyDescent="0.15"/>
    <row r="3586" customFormat="1" ht="13" x14ac:dyDescent="0.15"/>
    <row r="3587" customFormat="1" ht="13" x14ac:dyDescent="0.15"/>
    <row r="3588" customFormat="1" ht="13" x14ac:dyDescent="0.15"/>
    <row r="3589" customFormat="1" ht="13" x14ac:dyDescent="0.15"/>
    <row r="3590" customFormat="1" ht="13" x14ac:dyDescent="0.15"/>
    <row r="3591" customFormat="1" ht="13" x14ac:dyDescent="0.15"/>
    <row r="3592" customFormat="1" ht="13" x14ac:dyDescent="0.15"/>
    <row r="3593" customFormat="1" ht="13" x14ac:dyDescent="0.15"/>
    <row r="3594" customFormat="1" ht="13" x14ac:dyDescent="0.15"/>
    <row r="3595" customFormat="1" ht="13" x14ac:dyDescent="0.15"/>
    <row r="3596" customFormat="1" ht="13" x14ac:dyDescent="0.15"/>
    <row r="3597" customFormat="1" ht="13" x14ac:dyDescent="0.15"/>
    <row r="3598" customFormat="1" ht="13" x14ac:dyDescent="0.15"/>
    <row r="3599" customFormat="1" ht="13" x14ac:dyDescent="0.15"/>
    <row r="3600" customFormat="1" ht="13" x14ac:dyDescent="0.15"/>
    <row r="3601" customFormat="1" ht="13" x14ac:dyDescent="0.15"/>
    <row r="3602" customFormat="1" ht="13" x14ac:dyDescent="0.15"/>
    <row r="3603" customFormat="1" ht="13" x14ac:dyDescent="0.15"/>
    <row r="3604" customFormat="1" ht="13" x14ac:dyDescent="0.15"/>
    <row r="3605" customFormat="1" ht="13" x14ac:dyDescent="0.15"/>
    <row r="3606" customFormat="1" ht="13" x14ac:dyDescent="0.15"/>
    <row r="3607" customFormat="1" ht="13" x14ac:dyDescent="0.15"/>
    <row r="3608" customFormat="1" ht="13" x14ac:dyDescent="0.15"/>
    <row r="3609" customFormat="1" ht="13" x14ac:dyDescent="0.15"/>
    <row r="3610" customFormat="1" ht="13" x14ac:dyDescent="0.15"/>
    <row r="3611" customFormat="1" ht="13" x14ac:dyDescent="0.15"/>
    <row r="3612" customFormat="1" ht="13" x14ac:dyDescent="0.15"/>
    <row r="3613" customFormat="1" ht="13" x14ac:dyDescent="0.15"/>
    <row r="3614" customFormat="1" ht="13" x14ac:dyDescent="0.15"/>
    <row r="3615" customFormat="1" ht="13" x14ac:dyDescent="0.15"/>
    <row r="3616" customFormat="1" ht="13" x14ac:dyDescent="0.15"/>
    <row r="3617" customFormat="1" ht="13" x14ac:dyDescent="0.15"/>
    <row r="3618" customFormat="1" ht="13" x14ac:dyDescent="0.15"/>
    <row r="3619" customFormat="1" ht="13" x14ac:dyDescent="0.15"/>
    <row r="3620" customFormat="1" ht="13" x14ac:dyDescent="0.15"/>
    <row r="3621" customFormat="1" ht="13" x14ac:dyDescent="0.15"/>
    <row r="3622" customFormat="1" ht="13" x14ac:dyDescent="0.15"/>
    <row r="3623" customFormat="1" ht="13" x14ac:dyDescent="0.15"/>
    <row r="3624" customFormat="1" ht="13" x14ac:dyDescent="0.15"/>
    <row r="3625" customFormat="1" ht="13" x14ac:dyDescent="0.15"/>
    <row r="3626" customFormat="1" ht="13" x14ac:dyDescent="0.15"/>
    <row r="3627" customFormat="1" ht="13" x14ac:dyDescent="0.15"/>
    <row r="3628" customFormat="1" ht="13" x14ac:dyDescent="0.15"/>
    <row r="3629" customFormat="1" ht="13" x14ac:dyDescent="0.15"/>
    <row r="3630" customFormat="1" ht="13" x14ac:dyDescent="0.15"/>
    <row r="3631" customFormat="1" ht="13" x14ac:dyDescent="0.15"/>
    <row r="3632" customFormat="1" ht="13" x14ac:dyDescent="0.15"/>
    <row r="3633" customFormat="1" ht="13" x14ac:dyDescent="0.15"/>
    <row r="3634" customFormat="1" ht="13" x14ac:dyDescent="0.15"/>
    <row r="3635" customFormat="1" ht="13" x14ac:dyDescent="0.15"/>
    <row r="3636" customFormat="1" ht="13" x14ac:dyDescent="0.15"/>
    <row r="3637" customFormat="1" ht="13" x14ac:dyDescent="0.15"/>
    <row r="3638" customFormat="1" ht="13" x14ac:dyDescent="0.15"/>
    <row r="3639" customFormat="1" ht="13" x14ac:dyDescent="0.15"/>
    <row r="3640" customFormat="1" ht="13" x14ac:dyDescent="0.15"/>
    <row r="3641" customFormat="1" ht="13" x14ac:dyDescent="0.15"/>
    <row r="3642" customFormat="1" ht="13" x14ac:dyDescent="0.15"/>
    <row r="3643" customFormat="1" ht="13" x14ac:dyDescent="0.15"/>
    <row r="3644" customFormat="1" ht="13" x14ac:dyDescent="0.15"/>
    <row r="3645" customFormat="1" ht="13" x14ac:dyDescent="0.15"/>
    <row r="3646" customFormat="1" ht="13" x14ac:dyDescent="0.15"/>
    <row r="3647" customFormat="1" ht="13" x14ac:dyDescent="0.15"/>
    <row r="3648" customFormat="1" ht="13" x14ac:dyDescent="0.15"/>
    <row r="3649" customFormat="1" ht="13" x14ac:dyDescent="0.15"/>
    <row r="3650" customFormat="1" ht="13" x14ac:dyDescent="0.15"/>
    <row r="3651" customFormat="1" ht="13" x14ac:dyDescent="0.15"/>
    <row r="3652" customFormat="1" ht="13" x14ac:dyDescent="0.15"/>
    <row r="3653" customFormat="1" ht="13" x14ac:dyDescent="0.15"/>
    <row r="3654" customFormat="1" ht="13" x14ac:dyDescent="0.15"/>
    <row r="3655" customFormat="1" ht="13" x14ac:dyDescent="0.15"/>
    <row r="3656" customFormat="1" ht="13" x14ac:dyDescent="0.15"/>
    <row r="3657" customFormat="1" ht="13" x14ac:dyDescent="0.15"/>
    <row r="3658" customFormat="1" ht="13" x14ac:dyDescent="0.15"/>
    <row r="3659" customFormat="1" ht="13" x14ac:dyDescent="0.15"/>
    <row r="3660" customFormat="1" ht="13" x14ac:dyDescent="0.15"/>
    <row r="3661" customFormat="1" ht="13" x14ac:dyDescent="0.15"/>
    <row r="3662" customFormat="1" ht="13" x14ac:dyDescent="0.15"/>
    <row r="3663" customFormat="1" ht="13" x14ac:dyDescent="0.15"/>
    <row r="3664" customFormat="1" ht="13" x14ac:dyDescent="0.15"/>
    <row r="3665" customFormat="1" ht="13" x14ac:dyDescent="0.15"/>
    <row r="3666" customFormat="1" ht="13" x14ac:dyDescent="0.15"/>
    <row r="3667" customFormat="1" ht="13" x14ac:dyDescent="0.15"/>
    <row r="3668" customFormat="1" ht="13" x14ac:dyDescent="0.15"/>
    <row r="3669" customFormat="1" ht="13" x14ac:dyDescent="0.15"/>
    <row r="3670" customFormat="1" ht="13" x14ac:dyDescent="0.15"/>
    <row r="3671" customFormat="1" ht="13" x14ac:dyDescent="0.15"/>
    <row r="3672" customFormat="1" ht="13" x14ac:dyDescent="0.15"/>
    <row r="3673" customFormat="1" ht="13" x14ac:dyDescent="0.15"/>
    <row r="3674" customFormat="1" ht="13" x14ac:dyDescent="0.15"/>
    <row r="3675" customFormat="1" ht="13" x14ac:dyDescent="0.15"/>
    <row r="3676" customFormat="1" ht="13" x14ac:dyDescent="0.15"/>
    <row r="3677" customFormat="1" ht="13" x14ac:dyDescent="0.15"/>
    <row r="3678" customFormat="1" ht="13" x14ac:dyDescent="0.15"/>
    <row r="3679" customFormat="1" ht="13" x14ac:dyDescent="0.15"/>
    <row r="3680" customFormat="1" ht="13" x14ac:dyDescent="0.15"/>
    <row r="3681" customFormat="1" ht="13" x14ac:dyDescent="0.15"/>
    <row r="3682" customFormat="1" ht="13" x14ac:dyDescent="0.15"/>
    <row r="3683" customFormat="1" ht="13" x14ac:dyDescent="0.15"/>
    <row r="3684" customFormat="1" ht="13" x14ac:dyDescent="0.15"/>
    <row r="3685" customFormat="1" ht="13" x14ac:dyDescent="0.15"/>
    <row r="3686" customFormat="1" ht="13" x14ac:dyDescent="0.15"/>
    <row r="3687" customFormat="1" ht="13" x14ac:dyDescent="0.15"/>
    <row r="3688" customFormat="1" ht="13" x14ac:dyDescent="0.15"/>
    <row r="3689" customFormat="1" ht="13" x14ac:dyDescent="0.15"/>
    <row r="3690" customFormat="1" ht="13" x14ac:dyDescent="0.15"/>
    <row r="3691" customFormat="1" ht="13" x14ac:dyDescent="0.15"/>
    <row r="3692" customFormat="1" ht="13" x14ac:dyDescent="0.15"/>
    <row r="3693" customFormat="1" ht="13" x14ac:dyDescent="0.15"/>
    <row r="3694" customFormat="1" ht="13" x14ac:dyDescent="0.15"/>
    <row r="3695" customFormat="1" ht="13" x14ac:dyDescent="0.15"/>
    <row r="3696" customFormat="1" ht="13" x14ac:dyDescent="0.15"/>
    <row r="3697" customFormat="1" ht="13" x14ac:dyDescent="0.15"/>
    <row r="3698" customFormat="1" ht="13" x14ac:dyDescent="0.15"/>
    <row r="3699" customFormat="1" ht="13" x14ac:dyDescent="0.15"/>
    <row r="3700" customFormat="1" ht="13" x14ac:dyDescent="0.15"/>
    <row r="3701" customFormat="1" ht="13" x14ac:dyDescent="0.15"/>
    <row r="3702" customFormat="1" ht="13" x14ac:dyDescent="0.15"/>
    <row r="3703" customFormat="1" ht="13" x14ac:dyDescent="0.15"/>
    <row r="3704" customFormat="1" ht="13" x14ac:dyDescent="0.15"/>
    <row r="3705" customFormat="1" ht="13" x14ac:dyDescent="0.15"/>
    <row r="3706" customFormat="1" ht="13" x14ac:dyDescent="0.15"/>
    <row r="3707" customFormat="1" ht="13" x14ac:dyDescent="0.15"/>
    <row r="3708" customFormat="1" ht="13" x14ac:dyDescent="0.15"/>
    <row r="3709" customFormat="1" ht="13" x14ac:dyDescent="0.15"/>
    <row r="3710" customFormat="1" ht="13" x14ac:dyDescent="0.15"/>
    <row r="3711" customFormat="1" ht="13" x14ac:dyDescent="0.15"/>
    <row r="3712" customFormat="1" ht="13" x14ac:dyDescent="0.15"/>
    <row r="3713" customFormat="1" ht="13" x14ac:dyDescent="0.15"/>
    <row r="3714" customFormat="1" ht="13" x14ac:dyDescent="0.15"/>
    <row r="3715" customFormat="1" ht="13" x14ac:dyDescent="0.15"/>
    <row r="3716" customFormat="1" ht="13" x14ac:dyDescent="0.15"/>
    <row r="3717" customFormat="1" ht="13" x14ac:dyDescent="0.15"/>
    <row r="3718" customFormat="1" ht="13" x14ac:dyDescent="0.15"/>
    <row r="3719" customFormat="1" ht="13" x14ac:dyDescent="0.15"/>
    <row r="3720" customFormat="1" ht="13" x14ac:dyDescent="0.15"/>
    <row r="3721" customFormat="1" ht="13" x14ac:dyDescent="0.15"/>
    <row r="3722" customFormat="1" ht="13" x14ac:dyDescent="0.15"/>
    <row r="3723" customFormat="1" ht="13" x14ac:dyDescent="0.15"/>
    <row r="3724" customFormat="1" ht="13" x14ac:dyDescent="0.15"/>
    <row r="3725" customFormat="1" ht="13" x14ac:dyDescent="0.15"/>
    <row r="3726" customFormat="1" ht="13" x14ac:dyDescent="0.15"/>
    <row r="3727" customFormat="1" ht="13" x14ac:dyDescent="0.15"/>
    <row r="3728" customFormat="1" ht="13" x14ac:dyDescent="0.15"/>
    <row r="3729" customFormat="1" ht="13" x14ac:dyDescent="0.15"/>
    <row r="3730" customFormat="1" ht="13" x14ac:dyDescent="0.15"/>
    <row r="3731" customFormat="1" ht="13" x14ac:dyDescent="0.15"/>
    <row r="3732" customFormat="1" ht="13" x14ac:dyDescent="0.15"/>
    <row r="3733" customFormat="1" ht="13" x14ac:dyDescent="0.15"/>
    <row r="3734" customFormat="1" ht="13" x14ac:dyDescent="0.15"/>
    <row r="3735" customFormat="1" ht="13" x14ac:dyDescent="0.15"/>
    <row r="3736" customFormat="1" ht="13" x14ac:dyDescent="0.15"/>
    <row r="3737" customFormat="1" ht="13" x14ac:dyDescent="0.15"/>
    <row r="3738" customFormat="1" ht="13" x14ac:dyDescent="0.15"/>
    <row r="3739" customFormat="1" ht="13" x14ac:dyDescent="0.15"/>
    <row r="3740" customFormat="1" ht="13" x14ac:dyDescent="0.15"/>
    <row r="3741" customFormat="1" ht="13" x14ac:dyDescent="0.15"/>
    <row r="3742" customFormat="1" ht="13" x14ac:dyDescent="0.15"/>
    <row r="3743" customFormat="1" ht="13" x14ac:dyDescent="0.15"/>
    <row r="3744" customFormat="1" ht="13" x14ac:dyDescent="0.15"/>
    <row r="3745" customFormat="1" ht="13" x14ac:dyDescent="0.15"/>
    <row r="3746" customFormat="1" ht="13" x14ac:dyDescent="0.15"/>
    <row r="3747" customFormat="1" ht="13" x14ac:dyDescent="0.15"/>
    <row r="3748" customFormat="1" ht="13" x14ac:dyDescent="0.15"/>
    <row r="3749" customFormat="1" ht="13" x14ac:dyDescent="0.15"/>
    <row r="3750" customFormat="1" ht="13" x14ac:dyDescent="0.15"/>
    <row r="3751" customFormat="1" ht="13" x14ac:dyDescent="0.15"/>
    <row r="3752" customFormat="1" ht="13" x14ac:dyDescent="0.15"/>
    <row r="3753" customFormat="1" ht="13" x14ac:dyDescent="0.15"/>
    <row r="3754" customFormat="1" ht="13" x14ac:dyDescent="0.15"/>
    <row r="3755" customFormat="1" ht="13" x14ac:dyDescent="0.15"/>
    <row r="3756" customFormat="1" ht="13" x14ac:dyDescent="0.15"/>
    <row r="3757" customFormat="1" ht="13" x14ac:dyDescent="0.15"/>
    <row r="3758" customFormat="1" ht="13" x14ac:dyDescent="0.15"/>
    <row r="3759" customFormat="1" ht="13" x14ac:dyDescent="0.15"/>
    <row r="3760" customFormat="1" ht="13" x14ac:dyDescent="0.15"/>
    <row r="3761" customFormat="1" ht="13" x14ac:dyDescent="0.15"/>
    <row r="3762" customFormat="1" ht="13" x14ac:dyDescent="0.15"/>
    <row r="3763" customFormat="1" ht="13" x14ac:dyDescent="0.15"/>
    <row r="3764" customFormat="1" ht="13" x14ac:dyDescent="0.15"/>
    <row r="3765" customFormat="1" ht="13" x14ac:dyDescent="0.15"/>
    <row r="3766" customFormat="1" ht="13" x14ac:dyDescent="0.15"/>
    <row r="3767" customFormat="1" ht="13" x14ac:dyDescent="0.15"/>
    <row r="3768" customFormat="1" ht="13" x14ac:dyDescent="0.15"/>
    <row r="3769" customFormat="1" ht="13" x14ac:dyDescent="0.15"/>
    <row r="3770" customFormat="1" ht="13" x14ac:dyDescent="0.15"/>
    <row r="3771" customFormat="1" ht="13" x14ac:dyDescent="0.15"/>
    <row r="3772" customFormat="1" ht="13" x14ac:dyDescent="0.15"/>
    <row r="3773" customFormat="1" ht="13" x14ac:dyDescent="0.15"/>
    <row r="3774" customFormat="1" ht="13" x14ac:dyDescent="0.15"/>
    <row r="3775" customFormat="1" ht="13" x14ac:dyDescent="0.15"/>
    <row r="3776" customFormat="1" ht="13" x14ac:dyDescent="0.15"/>
    <row r="3777" customFormat="1" ht="13" x14ac:dyDescent="0.15"/>
    <row r="3778" customFormat="1" ht="13" x14ac:dyDescent="0.15"/>
    <row r="3779" customFormat="1" ht="13" x14ac:dyDescent="0.15"/>
    <row r="3780" customFormat="1" ht="13" x14ac:dyDescent="0.15"/>
    <row r="3781" customFormat="1" ht="13" x14ac:dyDescent="0.15"/>
    <row r="3782" customFormat="1" ht="13" x14ac:dyDescent="0.15"/>
    <row r="3783" customFormat="1" ht="13" x14ac:dyDescent="0.15"/>
    <row r="3784" customFormat="1" ht="13" x14ac:dyDescent="0.15"/>
    <row r="3785" customFormat="1" ht="13" x14ac:dyDescent="0.15"/>
    <row r="3786" customFormat="1" ht="13" x14ac:dyDescent="0.15"/>
    <row r="3787" customFormat="1" ht="13" x14ac:dyDescent="0.15"/>
    <row r="3788" customFormat="1" ht="13" x14ac:dyDescent="0.15"/>
    <row r="3789" customFormat="1" ht="13" x14ac:dyDescent="0.15"/>
    <row r="3790" customFormat="1" ht="13" x14ac:dyDescent="0.15"/>
    <row r="3791" customFormat="1" ht="13" x14ac:dyDescent="0.15"/>
    <row r="3792" customFormat="1" ht="13" x14ac:dyDescent="0.15"/>
    <row r="3793" customFormat="1" ht="13" x14ac:dyDescent="0.15"/>
    <row r="3794" customFormat="1" ht="13" x14ac:dyDescent="0.15"/>
    <row r="3795" customFormat="1" ht="13" x14ac:dyDescent="0.15"/>
    <row r="3796" customFormat="1" ht="13" x14ac:dyDescent="0.15"/>
    <row r="3797" customFormat="1" ht="13" x14ac:dyDescent="0.15"/>
    <row r="3798" customFormat="1" ht="13" x14ac:dyDescent="0.15"/>
    <row r="3799" customFormat="1" ht="13" x14ac:dyDescent="0.15"/>
    <row r="3800" customFormat="1" ht="13" x14ac:dyDescent="0.15"/>
    <row r="3801" customFormat="1" ht="13" x14ac:dyDescent="0.15"/>
    <row r="3802" customFormat="1" ht="13" x14ac:dyDescent="0.15"/>
    <row r="3803" customFormat="1" ht="13" x14ac:dyDescent="0.15"/>
    <row r="3804" customFormat="1" ht="13" x14ac:dyDescent="0.15"/>
    <row r="3805" customFormat="1" ht="13" x14ac:dyDescent="0.15"/>
    <row r="3806" customFormat="1" ht="13" x14ac:dyDescent="0.15"/>
    <row r="3807" customFormat="1" ht="13" x14ac:dyDescent="0.15"/>
    <row r="3808" customFormat="1" ht="13" x14ac:dyDescent="0.15"/>
    <row r="3809" customFormat="1" ht="13" x14ac:dyDescent="0.15"/>
    <row r="3810" customFormat="1" ht="13" x14ac:dyDescent="0.15"/>
    <row r="3811" customFormat="1" ht="13" x14ac:dyDescent="0.15"/>
    <row r="3812" customFormat="1" ht="13" x14ac:dyDescent="0.15"/>
    <row r="3813" customFormat="1" ht="13" x14ac:dyDescent="0.15"/>
    <row r="3814" customFormat="1" ht="13" x14ac:dyDescent="0.15"/>
    <row r="3815" customFormat="1" ht="13" x14ac:dyDescent="0.15"/>
    <row r="3816" customFormat="1" ht="13" x14ac:dyDescent="0.15"/>
    <row r="3817" customFormat="1" ht="13" x14ac:dyDescent="0.15"/>
    <row r="3818" customFormat="1" ht="13" x14ac:dyDescent="0.15"/>
    <row r="3819" customFormat="1" ht="13" x14ac:dyDescent="0.15"/>
    <row r="3820" customFormat="1" ht="13" x14ac:dyDescent="0.15"/>
    <row r="3821" customFormat="1" ht="13" x14ac:dyDescent="0.15"/>
    <row r="3822" customFormat="1" ht="13" x14ac:dyDescent="0.15"/>
    <row r="3823" customFormat="1" ht="13" x14ac:dyDescent="0.15"/>
    <row r="3824" customFormat="1" ht="13" x14ac:dyDescent="0.15"/>
    <row r="3825" customFormat="1" ht="13" x14ac:dyDescent="0.15"/>
    <row r="3826" customFormat="1" ht="13" x14ac:dyDescent="0.15"/>
    <row r="3827" customFormat="1" ht="13" x14ac:dyDescent="0.15"/>
    <row r="3828" customFormat="1" ht="13" x14ac:dyDescent="0.15"/>
    <row r="3829" customFormat="1" ht="13" x14ac:dyDescent="0.15"/>
    <row r="3830" customFormat="1" ht="13" x14ac:dyDescent="0.15"/>
    <row r="3831" customFormat="1" ht="13" x14ac:dyDescent="0.15"/>
    <row r="3832" customFormat="1" ht="13" x14ac:dyDescent="0.15"/>
    <row r="3833" customFormat="1" ht="13" x14ac:dyDescent="0.15"/>
    <row r="3834" customFormat="1" ht="13" x14ac:dyDescent="0.15"/>
    <row r="3835" customFormat="1" ht="13" x14ac:dyDescent="0.15"/>
    <row r="3836" customFormat="1" ht="13" x14ac:dyDescent="0.15"/>
    <row r="3837" customFormat="1" ht="13" x14ac:dyDescent="0.15"/>
    <row r="3838" customFormat="1" ht="13" x14ac:dyDescent="0.15"/>
    <row r="3839" customFormat="1" ht="13" x14ac:dyDescent="0.15"/>
    <row r="3840" customFormat="1" ht="13" x14ac:dyDescent="0.15"/>
    <row r="3841" customFormat="1" ht="13" x14ac:dyDescent="0.15"/>
    <row r="3842" customFormat="1" ht="13" x14ac:dyDescent="0.15"/>
    <row r="3843" customFormat="1" ht="13" x14ac:dyDescent="0.15"/>
    <row r="3844" customFormat="1" ht="13" x14ac:dyDescent="0.15"/>
    <row r="3845" customFormat="1" ht="13" x14ac:dyDescent="0.15"/>
    <row r="3846" customFormat="1" ht="13" x14ac:dyDescent="0.15"/>
    <row r="3847" customFormat="1" ht="13" x14ac:dyDescent="0.15"/>
    <row r="3848" customFormat="1" ht="13" x14ac:dyDescent="0.15"/>
    <row r="3849" customFormat="1" ht="13" x14ac:dyDescent="0.15"/>
    <row r="3850" customFormat="1" ht="13" x14ac:dyDescent="0.15"/>
    <row r="3851" customFormat="1" ht="13" x14ac:dyDescent="0.15"/>
    <row r="3852" customFormat="1" ht="13" x14ac:dyDescent="0.15"/>
    <row r="3853" customFormat="1" ht="13" x14ac:dyDescent="0.15"/>
    <row r="3854" customFormat="1" ht="13" x14ac:dyDescent="0.15"/>
    <row r="3855" customFormat="1" ht="13" x14ac:dyDescent="0.15"/>
    <row r="3856" customFormat="1" ht="13" x14ac:dyDescent="0.15"/>
    <row r="3857" customFormat="1" ht="13" x14ac:dyDescent="0.15"/>
    <row r="3858" customFormat="1" ht="13" x14ac:dyDescent="0.15"/>
    <row r="3859" customFormat="1" ht="13" x14ac:dyDescent="0.15"/>
    <row r="3860" customFormat="1" ht="13" x14ac:dyDescent="0.15"/>
    <row r="3861" customFormat="1" ht="13" x14ac:dyDescent="0.15"/>
    <row r="3862" customFormat="1" ht="13" x14ac:dyDescent="0.15"/>
    <row r="3863" customFormat="1" ht="13" x14ac:dyDescent="0.15"/>
    <row r="3864" customFormat="1" ht="13" x14ac:dyDescent="0.15"/>
    <row r="3865" customFormat="1" ht="13" x14ac:dyDescent="0.15"/>
    <row r="3866" customFormat="1" ht="13" x14ac:dyDescent="0.15"/>
    <row r="3867" customFormat="1" ht="13" x14ac:dyDescent="0.15"/>
    <row r="3868" customFormat="1" ht="13" x14ac:dyDescent="0.15"/>
    <row r="3869" customFormat="1" ht="13" x14ac:dyDescent="0.15"/>
    <row r="3870" customFormat="1" ht="13" x14ac:dyDescent="0.15"/>
    <row r="3871" customFormat="1" ht="13" x14ac:dyDescent="0.15"/>
    <row r="3872" customFormat="1" ht="13" x14ac:dyDescent="0.15"/>
    <row r="3873" customFormat="1" ht="13" x14ac:dyDescent="0.15"/>
    <row r="3874" customFormat="1" ht="13" x14ac:dyDescent="0.15"/>
    <row r="3875" customFormat="1" ht="13" x14ac:dyDescent="0.15"/>
    <row r="3876" customFormat="1" ht="13" x14ac:dyDescent="0.15"/>
    <row r="3877" customFormat="1" ht="13" x14ac:dyDescent="0.15"/>
    <row r="3878" customFormat="1" ht="13" x14ac:dyDescent="0.15"/>
    <row r="3879" customFormat="1" ht="13" x14ac:dyDescent="0.15"/>
    <row r="3880" customFormat="1" ht="13" x14ac:dyDescent="0.15"/>
    <row r="3881" customFormat="1" ht="13" x14ac:dyDescent="0.15"/>
    <row r="3882" customFormat="1" ht="13" x14ac:dyDescent="0.15"/>
    <row r="3883" customFormat="1" ht="13" x14ac:dyDescent="0.15"/>
    <row r="3884" customFormat="1" ht="13" x14ac:dyDescent="0.15"/>
    <row r="3885" customFormat="1" ht="13" x14ac:dyDescent="0.15"/>
    <row r="3886" customFormat="1" ht="13" x14ac:dyDescent="0.15"/>
    <row r="3887" customFormat="1" ht="13" x14ac:dyDescent="0.15"/>
    <row r="3888" customFormat="1" ht="13" x14ac:dyDescent="0.15"/>
    <row r="3889" customFormat="1" ht="13" x14ac:dyDescent="0.15"/>
    <row r="3890" customFormat="1" ht="13" x14ac:dyDescent="0.15"/>
    <row r="3891" customFormat="1" ht="13" x14ac:dyDescent="0.15"/>
    <row r="3892" customFormat="1" ht="13" x14ac:dyDescent="0.15"/>
    <row r="3893" customFormat="1" ht="13" x14ac:dyDescent="0.15"/>
    <row r="3894" customFormat="1" ht="13" x14ac:dyDescent="0.15"/>
    <row r="3895" customFormat="1" ht="13" x14ac:dyDescent="0.15"/>
    <row r="3896" customFormat="1" ht="13" x14ac:dyDescent="0.15"/>
    <row r="3897" customFormat="1" ht="13" x14ac:dyDescent="0.15"/>
    <row r="3898" customFormat="1" ht="13" x14ac:dyDescent="0.15"/>
    <row r="3899" customFormat="1" ht="13" x14ac:dyDescent="0.15"/>
    <row r="3900" customFormat="1" ht="13" x14ac:dyDescent="0.15"/>
    <row r="3901" customFormat="1" ht="13" x14ac:dyDescent="0.15"/>
    <row r="3902" customFormat="1" ht="13" x14ac:dyDescent="0.15"/>
    <row r="3903" customFormat="1" ht="13" x14ac:dyDescent="0.15"/>
    <row r="3904" customFormat="1" ht="13" x14ac:dyDescent="0.15"/>
    <row r="3905" customFormat="1" ht="13" x14ac:dyDescent="0.15"/>
    <row r="3906" customFormat="1" ht="13" x14ac:dyDescent="0.15"/>
    <row r="3907" customFormat="1" ht="13" x14ac:dyDescent="0.15"/>
    <row r="3908" customFormat="1" ht="13" x14ac:dyDescent="0.15"/>
    <row r="3909" customFormat="1" ht="13" x14ac:dyDescent="0.15"/>
    <row r="3910" customFormat="1" ht="13" x14ac:dyDescent="0.15"/>
    <row r="3911" customFormat="1" ht="13" x14ac:dyDescent="0.15"/>
    <row r="3912" customFormat="1" ht="13" x14ac:dyDescent="0.15"/>
    <row r="3913" customFormat="1" ht="13" x14ac:dyDescent="0.15"/>
    <row r="3914" customFormat="1" ht="13" x14ac:dyDescent="0.15"/>
    <row r="3915" customFormat="1" ht="13" x14ac:dyDescent="0.15"/>
    <row r="3916" customFormat="1" ht="13" x14ac:dyDescent="0.15"/>
    <row r="3917" customFormat="1" ht="13" x14ac:dyDescent="0.15"/>
    <row r="3918" customFormat="1" ht="13" x14ac:dyDescent="0.15"/>
    <row r="3919" customFormat="1" ht="13" x14ac:dyDescent="0.15"/>
    <row r="3920" customFormat="1" ht="13" x14ac:dyDescent="0.15"/>
    <row r="3921" customFormat="1" ht="13" x14ac:dyDescent="0.15"/>
    <row r="3922" customFormat="1" ht="13" x14ac:dyDescent="0.15"/>
    <row r="3923" customFormat="1" ht="13" x14ac:dyDescent="0.15"/>
    <row r="3924" customFormat="1" ht="13" x14ac:dyDescent="0.15"/>
    <row r="3925" customFormat="1" ht="13" x14ac:dyDescent="0.15"/>
    <row r="3926" customFormat="1" ht="13" x14ac:dyDescent="0.15"/>
    <row r="3927" customFormat="1" ht="13" x14ac:dyDescent="0.15"/>
    <row r="3928" customFormat="1" ht="13" x14ac:dyDescent="0.15"/>
    <row r="3929" customFormat="1" ht="13" x14ac:dyDescent="0.15"/>
    <row r="3930" customFormat="1" ht="13" x14ac:dyDescent="0.15"/>
    <row r="3931" customFormat="1" ht="13" x14ac:dyDescent="0.15"/>
    <row r="3932" customFormat="1" ht="13" x14ac:dyDescent="0.15"/>
    <row r="3933" customFormat="1" ht="13" x14ac:dyDescent="0.15"/>
    <row r="3934" customFormat="1" ht="13" x14ac:dyDescent="0.15"/>
    <row r="3935" customFormat="1" ht="13" x14ac:dyDescent="0.15"/>
    <row r="3936" customFormat="1" ht="13" x14ac:dyDescent="0.15"/>
    <row r="3937" customFormat="1" ht="13" x14ac:dyDescent="0.15"/>
    <row r="3938" customFormat="1" ht="13" x14ac:dyDescent="0.15"/>
    <row r="3939" customFormat="1" ht="13" x14ac:dyDescent="0.15"/>
    <row r="3940" customFormat="1" ht="13" x14ac:dyDescent="0.15"/>
    <row r="3941" customFormat="1" ht="13" x14ac:dyDescent="0.15"/>
    <row r="3942" customFormat="1" ht="13" x14ac:dyDescent="0.15"/>
    <row r="3943" customFormat="1" ht="13" x14ac:dyDescent="0.15"/>
    <row r="3944" customFormat="1" ht="13" x14ac:dyDescent="0.15"/>
    <row r="3945" customFormat="1" ht="13" x14ac:dyDescent="0.15"/>
    <row r="3946" customFormat="1" ht="13" x14ac:dyDescent="0.15"/>
    <row r="3947" customFormat="1" ht="13" x14ac:dyDescent="0.15"/>
    <row r="3948" customFormat="1" ht="13" x14ac:dyDescent="0.15"/>
    <row r="3949" customFormat="1" ht="13" x14ac:dyDescent="0.15"/>
    <row r="3950" customFormat="1" ht="13" x14ac:dyDescent="0.15"/>
    <row r="3951" customFormat="1" ht="13" x14ac:dyDescent="0.15"/>
    <row r="3952" customFormat="1" ht="13" x14ac:dyDescent="0.15"/>
    <row r="3953" customFormat="1" ht="13" x14ac:dyDescent="0.15"/>
    <row r="3954" customFormat="1" ht="13" x14ac:dyDescent="0.15"/>
    <row r="3955" customFormat="1" ht="13" x14ac:dyDescent="0.15"/>
    <row r="3956" customFormat="1" ht="13" x14ac:dyDescent="0.15"/>
    <row r="3957" customFormat="1" ht="13" x14ac:dyDescent="0.15"/>
    <row r="3958" customFormat="1" ht="13" x14ac:dyDescent="0.15"/>
    <row r="3959" customFormat="1" ht="13" x14ac:dyDescent="0.15"/>
    <row r="3960" customFormat="1" ht="13" x14ac:dyDescent="0.15"/>
    <row r="3961" customFormat="1" ht="13" x14ac:dyDescent="0.15"/>
    <row r="3962" customFormat="1" ht="13" x14ac:dyDescent="0.15"/>
    <row r="3963" customFormat="1" ht="13" x14ac:dyDescent="0.15"/>
    <row r="3964" customFormat="1" ht="13" x14ac:dyDescent="0.15"/>
    <row r="3965" customFormat="1" ht="13" x14ac:dyDescent="0.15"/>
    <row r="3966" customFormat="1" ht="13" x14ac:dyDescent="0.15"/>
    <row r="3967" customFormat="1" ht="13" x14ac:dyDescent="0.15"/>
    <row r="3968" customFormat="1" ht="13" x14ac:dyDescent="0.15"/>
    <row r="3969" customFormat="1" ht="13" x14ac:dyDescent="0.15"/>
    <row r="3970" customFormat="1" ht="13" x14ac:dyDescent="0.15"/>
    <row r="3971" customFormat="1" ht="13" x14ac:dyDescent="0.15"/>
    <row r="3972" customFormat="1" ht="13" x14ac:dyDescent="0.15"/>
    <row r="3973" customFormat="1" ht="13" x14ac:dyDescent="0.15"/>
    <row r="3974" customFormat="1" ht="13" x14ac:dyDescent="0.15"/>
    <row r="3975" customFormat="1" ht="13" x14ac:dyDescent="0.15"/>
    <row r="3976" customFormat="1" ht="13" x14ac:dyDescent="0.15"/>
    <row r="3977" customFormat="1" ht="13" x14ac:dyDescent="0.15"/>
    <row r="3978" customFormat="1" ht="13" x14ac:dyDescent="0.15"/>
    <row r="3979" customFormat="1" ht="13" x14ac:dyDescent="0.15"/>
    <row r="3980" customFormat="1" ht="13" x14ac:dyDescent="0.15"/>
    <row r="3981" customFormat="1" ht="13" x14ac:dyDescent="0.15"/>
    <row r="3982" customFormat="1" ht="13" x14ac:dyDescent="0.15"/>
    <row r="3983" customFormat="1" ht="13" x14ac:dyDescent="0.15"/>
    <row r="3984" customFormat="1" ht="13" x14ac:dyDescent="0.15"/>
    <row r="3985" customFormat="1" ht="13" x14ac:dyDescent="0.15"/>
    <row r="3986" customFormat="1" ht="13" x14ac:dyDescent="0.15"/>
    <row r="3987" customFormat="1" ht="13" x14ac:dyDescent="0.15"/>
    <row r="3988" customFormat="1" ht="13" x14ac:dyDescent="0.15"/>
    <row r="3989" customFormat="1" ht="13" x14ac:dyDescent="0.15"/>
    <row r="3990" customFormat="1" ht="13" x14ac:dyDescent="0.15"/>
    <row r="3991" customFormat="1" ht="13" x14ac:dyDescent="0.15"/>
    <row r="3992" customFormat="1" ht="13" x14ac:dyDescent="0.15"/>
    <row r="3993" customFormat="1" ht="13" x14ac:dyDescent="0.15"/>
    <row r="3994" customFormat="1" ht="13" x14ac:dyDescent="0.15"/>
    <row r="3995" customFormat="1" ht="13" x14ac:dyDescent="0.15"/>
    <row r="3996" customFormat="1" ht="13" x14ac:dyDescent="0.15"/>
    <row r="3997" customFormat="1" ht="13" x14ac:dyDescent="0.15"/>
    <row r="3998" customFormat="1" ht="13" x14ac:dyDescent="0.15"/>
    <row r="3999" customFormat="1" ht="13" x14ac:dyDescent="0.15"/>
    <row r="4000" customFormat="1" ht="13" x14ac:dyDescent="0.15"/>
    <row r="4001" customFormat="1" ht="13" x14ac:dyDescent="0.15"/>
    <row r="4002" customFormat="1" ht="13" x14ac:dyDescent="0.15"/>
    <row r="4003" customFormat="1" ht="13" x14ac:dyDescent="0.15"/>
    <row r="4004" customFormat="1" ht="13" x14ac:dyDescent="0.15"/>
    <row r="4005" customFormat="1" ht="13" x14ac:dyDescent="0.15"/>
    <row r="4006" customFormat="1" ht="13" x14ac:dyDescent="0.15"/>
    <row r="4007" customFormat="1" ht="13" x14ac:dyDescent="0.15"/>
    <row r="4008" customFormat="1" ht="13" x14ac:dyDescent="0.15"/>
    <row r="4009" customFormat="1" ht="13" x14ac:dyDescent="0.15"/>
    <row r="4010" customFormat="1" ht="13" x14ac:dyDescent="0.15"/>
    <row r="4011" customFormat="1" ht="13" x14ac:dyDescent="0.15"/>
    <row r="4012" customFormat="1" ht="13" x14ac:dyDescent="0.15"/>
    <row r="4013" customFormat="1" ht="13" x14ac:dyDescent="0.15"/>
    <row r="4014" customFormat="1" ht="13" x14ac:dyDescent="0.15"/>
    <row r="4015" customFormat="1" ht="13" x14ac:dyDescent="0.15"/>
    <row r="4016" customFormat="1" ht="13" x14ac:dyDescent="0.15"/>
    <row r="4017" customFormat="1" ht="13" x14ac:dyDescent="0.15"/>
    <row r="4018" customFormat="1" ht="13" x14ac:dyDescent="0.15"/>
    <row r="4019" customFormat="1" ht="13" x14ac:dyDescent="0.15"/>
    <row r="4020" customFormat="1" ht="13" x14ac:dyDescent="0.15"/>
    <row r="4021" customFormat="1" ht="13" x14ac:dyDescent="0.15"/>
    <row r="4022" customFormat="1" ht="13" x14ac:dyDescent="0.15"/>
    <row r="4023" customFormat="1" ht="13" x14ac:dyDescent="0.15"/>
    <row r="4024" customFormat="1" ht="13" x14ac:dyDescent="0.15"/>
    <row r="4025" customFormat="1" ht="13" x14ac:dyDescent="0.15"/>
    <row r="4026" customFormat="1" ht="13" x14ac:dyDescent="0.15"/>
    <row r="4027" customFormat="1" ht="13" x14ac:dyDescent="0.15"/>
    <row r="4028" customFormat="1" ht="13" x14ac:dyDescent="0.15"/>
    <row r="4029" customFormat="1" ht="13" x14ac:dyDescent="0.15"/>
    <row r="4030" customFormat="1" ht="13" x14ac:dyDescent="0.15"/>
    <row r="4031" customFormat="1" ht="13" x14ac:dyDescent="0.15"/>
    <row r="4032" customFormat="1" ht="13" x14ac:dyDescent="0.15"/>
    <row r="4033" customFormat="1" ht="13" x14ac:dyDescent="0.15"/>
    <row r="4034" customFormat="1" ht="13" x14ac:dyDescent="0.15"/>
    <row r="4035" customFormat="1" ht="13" x14ac:dyDescent="0.15"/>
    <row r="4036" customFormat="1" ht="13" x14ac:dyDescent="0.15"/>
    <row r="4037" customFormat="1" ht="13" x14ac:dyDescent="0.15"/>
    <row r="4038" customFormat="1" ht="13" x14ac:dyDescent="0.15"/>
    <row r="4039" customFormat="1" ht="13" x14ac:dyDescent="0.15"/>
    <row r="4040" customFormat="1" ht="13" x14ac:dyDescent="0.15"/>
    <row r="4041" customFormat="1" ht="13" x14ac:dyDescent="0.15"/>
    <row r="4042" customFormat="1" ht="13" x14ac:dyDescent="0.15"/>
    <row r="4043" customFormat="1" ht="13" x14ac:dyDescent="0.15"/>
    <row r="4044" customFormat="1" ht="13" x14ac:dyDescent="0.15"/>
    <row r="4045" customFormat="1" ht="13" x14ac:dyDescent="0.15"/>
    <row r="4046" customFormat="1" ht="13" x14ac:dyDescent="0.15"/>
    <row r="4047" customFormat="1" ht="13" x14ac:dyDescent="0.15"/>
    <row r="4048" customFormat="1" ht="13" x14ac:dyDescent="0.15"/>
    <row r="4049" customFormat="1" ht="13" x14ac:dyDescent="0.15"/>
    <row r="4050" customFormat="1" ht="13" x14ac:dyDescent="0.15"/>
    <row r="4051" customFormat="1" ht="13" x14ac:dyDescent="0.15"/>
    <row r="4052" customFormat="1" ht="13" x14ac:dyDescent="0.15"/>
    <row r="4053" customFormat="1" ht="13" x14ac:dyDescent="0.15"/>
    <row r="4054" customFormat="1" ht="13" x14ac:dyDescent="0.15"/>
    <row r="4055" customFormat="1" ht="13" x14ac:dyDescent="0.15"/>
    <row r="4056" customFormat="1" ht="13" x14ac:dyDescent="0.15"/>
    <row r="4057" customFormat="1" ht="13" x14ac:dyDescent="0.15"/>
    <row r="4058" customFormat="1" ht="13" x14ac:dyDescent="0.15"/>
    <row r="4059" customFormat="1" ht="13" x14ac:dyDescent="0.15"/>
    <row r="4060" customFormat="1" ht="13" x14ac:dyDescent="0.15"/>
    <row r="4061" customFormat="1" ht="13" x14ac:dyDescent="0.15"/>
    <row r="4062" customFormat="1" ht="13" x14ac:dyDescent="0.15"/>
    <row r="4063" customFormat="1" ht="13" x14ac:dyDescent="0.15"/>
    <row r="4064" customFormat="1" ht="13" x14ac:dyDescent="0.15"/>
    <row r="4065" customFormat="1" ht="13" x14ac:dyDescent="0.15"/>
    <row r="4066" customFormat="1" ht="13" x14ac:dyDescent="0.15"/>
    <row r="4067" customFormat="1" ht="13" x14ac:dyDescent="0.15"/>
    <row r="4068" customFormat="1" ht="13" x14ac:dyDescent="0.15"/>
    <row r="4069" customFormat="1" ht="13" x14ac:dyDescent="0.15"/>
    <row r="4070" customFormat="1" ht="13" x14ac:dyDescent="0.15"/>
    <row r="4071" customFormat="1" ht="13" x14ac:dyDescent="0.15"/>
    <row r="4072" customFormat="1" ht="13" x14ac:dyDescent="0.15"/>
    <row r="4073" customFormat="1" ht="13" x14ac:dyDescent="0.15"/>
    <row r="4074" customFormat="1" ht="13" x14ac:dyDescent="0.15"/>
    <row r="4075" customFormat="1" ht="13" x14ac:dyDescent="0.15"/>
    <row r="4076" customFormat="1" ht="13" x14ac:dyDescent="0.15"/>
    <row r="4077" customFormat="1" ht="13" x14ac:dyDescent="0.15"/>
    <row r="4078" customFormat="1" ht="13" x14ac:dyDescent="0.15"/>
    <row r="4079" customFormat="1" ht="13" x14ac:dyDescent="0.15"/>
    <row r="4080" customFormat="1" ht="13" x14ac:dyDescent="0.15"/>
    <row r="4081" customFormat="1" ht="13" x14ac:dyDescent="0.15"/>
    <row r="4082" customFormat="1" ht="13" x14ac:dyDescent="0.15"/>
    <row r="4083" customFormat="1" ht="13" x14ac:dyDescent="0.15"/>
    <row r="4084" customFormat="1" ht="13" x14ac:dyDescent="0.15"/>
    <row r="4085" customFormat="1" ht="13" x14ac:dyDescent="0.15"/>
    <row r="4086" customFormat="1" ht="13" x14ac:dyDescent="0.15"/>
    <row r="4087" customFormat="1" ht="13" x14ac:dyDescent="0.15"/>
    <row r="4088" customFormat="1" ht="13" x14ac:dyDescent="0.15"/>
    <row r="4089" customFormat="1" ht="13" x14ac:dyDescent="0.15"/>
    <row r="4090" customFormat="1" ht="13" x14ac:dyDescent="0.15"/>
    <row r="4091" customFormat="1" ht="13" x14ac:dyDescent="0.15"/>
    <row r="4092" customFormat="1" ht="13" x14ac:dyDescent="0.15"/>
    <row r="4093" customFormat="1" ht="13" x14ac:dyDescent="0.15"/>
    <row r="4094" customFormat="1" ht="13" x14ac:dyDescent="0.15"/>
    <row r="4095" customFormat="1" ht="13" x14ac:dyDescent="0.15"/>
    <row r="4096" customFormat="1" ht="13" x14ac:dyDescent="0.15"/>
    <row r="4097" customFormat="1" ht="13" x14ac:dyDescent="0.15"/>
    <row r="4098" customFormat="1" ht="13" x14ac:dyDescent="0.15"/>
    <row r="4099" customFormat="1" ht="13" x14ac:dyDescent="0.15"/>
    <row r="4100" customFormat="1" ht="13" x14ac:dyDescent="0.15"/>
    <row r="4101" customFormat="1" ht="13" x14ac:dyDescent="0.15"/>
    <row r="4102" customFormat="1" ht="13" x14ac:dyDescent="0.15"/>
    <row r="4103" customFormat="1" ht="13" x14ac:dyDescent="0.15"/>
    <row r="4104" customFormat="1" ht="13" x14ac:dyDescent="0.15"/>
    <row r="4105" customFormat="1" ht="13" x14ac:dyDescent="0.15"/>
    <row r="4106" customFormat="1" ht="13" x14ac:dyDescent="0.15"/>
    <row r="4107" customFormat="1" ht="13" x14ac:dyDescent="0.15"/>
    <row r="4108" customFormat="1" ht="13" x14ac:dyDescent="0.15"/>
    <row r="4109" customFormat="1" ht="13" x14ac:dyDescent="0.15"/>
    <row r="4110" customFormat="1" ht="13" x14ac:dyDescent="0.15"/>
    <row r="4111" customFormat="1" ht="13" x14ac:dyDescent="0.15"/>
    <row r="4112" customFormat="1" ht="13" x14ac:dyDescent="0.15"/>
    <row r="4113" customFormat="1" ht="13" x14ac:dyDescent="0.15"/>
    <row r="4114" customFormat="1" ht="13" x14ac:dyDescent="0.15"/>
    <row r="4115" customFormat="1" ht="13" x14ac:dyDescent="0.15"/>
    <row r="4116" customFormat="1" ht="13" x14ac:dyDescent="0.15"/>
    <row r="4117" customFormat="1" ht="13" x14ac:dyDescent="0.15"/>
    <row r="4118" customFormat="1" ht="13" x14ac:dyDescent="0.15"/>
    <row r="4119" customFormat="1" ht="13" x14ac:dyDescent="0.15"/>
    <row r="4120" customFormat="1" ht="13" x14ac:dyDescent="0.15"/>
    <row r="4121" customFormat="1" ht="13" x14ac:dyDescent="0.15"/>
    <row r="4122" customFormat="1" ht="13" x14ac:dyDescent="0.15"/>
    <row r="4123" customFormat="1" ht="13" x14ac:dyDescent="0.15"/>
    <row r="4124" customFormat="1" ht="13" x14ac:dyDescent="0.15"/>
    <row r="4125" customFormat="1" ht="13" x14ac:dyDescent="0.15"/>
    <row r="4126" customFormat="1" ht="13" x14ac:dyDescent="0.15"/>
    <row r="4127" customFormat="1" ht="13" x14ac:dyDescent="0.15"/>
    <row r="4128" customFormat="1" ht="13" x14ac:dyDescent="0.15"/>
    <row r="4129" customFormat="1" ht="13" x14ac:dyDescent="0.15"/>
    <row r="4130" customFormat="1" ht="13" x14ac:dyDescent="0.15"/>
    <row r="4131" customFormat="1" ht="13" x14ac:dyDescent="0.15"/>
    <row r="4132" customFormat="1" ht="13" x14ac:dyDescent="0.15"/>
    <row r="4133" customFormat="1" ht="13" x14ac:dyDescent="0.15"/>
    <row r="4134" customFormat="1" ht="13" x14ac:dyDescent="0.15"/>
    <row r="4135" customFormat="1" ht="13" x14ac:dyDescent="0.15"/>
    <row r="4136" customFormat="1" ht="13" x14ac:dyDescent="0.15"/>
    <row r="4137" customFormat="1" ht="13" x14ac:dyDescent="0.15"/>
    <row r="4138" customFormat="1" ht="13" x14ac:dyDescent="0.15"/>
    <row r="4139" customFormat="1" ht="13" x14ac:dyDescent="0.15"/>
    <row r="4140" customFormat="1" ht="13" x14ac:dyDescent="0.15"/>
    <row r="4141" customFormat="1" ht="13" x14ac:dyDescent="0.15"/>
    <row r="4142" customFormat="1" ht="13" x14ac:dyDescent="0.15"/>
    <row r="4143" customFormat="1" ht="13" x14ac:dyDescent="0.15"/>
    <row r="4144" customFormat="1" ht="13" x14ac:dyDescent="0.15"/>
    <row r="4145" customFormat="1" ht="13" x14ac:dyDescent="0.15"/>
    <row r="4146" customFormat="1" ht="13" x14ac:dyDescent="0.15"/>
    <row r="4147" customFormat="1" ht="13" x14ac:dyDescent="0.15"/>
    <row r="4148" customFormat="1" ht="13" x14ac:dyDescent="0.15"/>
    <row r="4149" customFormat="1" ht="13" x14ac:dyDescent="0.15"/>
    <row r="4150" customFormat="1" ht="13" x14ac:dyDescent="0.15"/>
    <row r="4151" customFormat="1" ht="13" x14ac:dyDescent="0.15"/>
    <row r="4152" customFormat="1" ht="13" x14ac:dyDescent="0.15"/>
    <row r="4153" customFormat="1" ht="13" x14ac:dyDescent="0.15"/>
    <row r="4154" customFormat="1" ht="13" x14ac:dyDescent="0.15"/>
    <row r="4155" customFormat="1" ht="13" x14ac:dyDescent="0.15"/>
    <row r="4156" customFormat="1" ht="13" x14ac:dyDescent="0.15"/>
    <row r="4157" customFormat="1" ht="13" x14ac:dyDescent="0.15"/>
    <row r="4158" customFormat="1" ht="13" x14ac:dyDescent="0.15"/>
    <row r="4159" customFormat="1" ht="13" x14ac:dyDescent="0.15"/>
    <row r="4160" customFormat="1" ht="13" x14ac:dyDescent="0.15"/>
    <row r="4161" customFormat="1" ht="13" x14ac:dyDescent="0.15"/>
    <row r="4162" customFormat="1" ht="13" x14ac:dyDescent="0.15"/>
    <row r="4163" customFormat="1" ht="13" x14ac:dyDescent="0.15"/>
    <row r="4164" customFormat="1" ht="13" x14ac:dyDescent="0.15"/>
    <row r="4165" customFormat="1" ht="13" x14ac:dyDescent="0.15"/>
    <row r="4166" customFormat="1" ht="13" x14ac:dyDescent="0.15"/>
    <row r="4167" customFormat="1" ht="13" x14ac:dyDescent="0.15"/>
    <row r="4168" customFormat="1" ht="13" x14ac:dyDescent="0.15"/>
    <row r="4169" customFormat="1" ht="13" x14ac:dyDescent="0.15"/>
    <row r="4170" customFormat="1" ht="13" x14ac:dyDescent="0.15"/>
    <row r="4171" customFormat="1" ht="13" x14ac:dyDescent="0.15"/>
    <row r="4172" customFormat="1" ht="13" x14ac:dyDescent="0.15"/>
    <row r="4173" customFormat="1" ht="13" x14ac:dyDescent="0.15"/>
    <row r="4174" customFormat="1" ht="13" x14ac:dyDescent="0.15"/>
    <row r="4175" customFormat="1" ht="13" x14ac:dyDescent="0.15"/>
    <row r="4176" customFormat="1" ht="13" x14ac:dyDescent="0.15"/>
    <row r="4177" customFormat="1" ht="13" x14ac:dyDescent="0.15"/>
    <row r="4178" customFormat="1" ht="13" x14ac:dyDescent="0.15"/>
    <row r="4179" customFormat="1" ht="13" x14ac:dyDescent="0.15"/>
    <row r="4180" customFormat="1" ht="13" x14ac:dyDescent="0.15"/>
    <row r="4181" customFormat="1" ht="13" x14ac:dyDescent="0.15"/>
    <row r="4182" customFormat="1" ht="13" x14ac:dyDescent="0.15"/>
    <row r="4183" customFormat="1" ht="13" x14ac:dyDescent="0.15"/>
    <row r="4184" customFormat="1" ht="13" x14ac:dyDescent="0.15"/>
    <row r="4185" customFormat="1" ht="13" x14ac:dyDescent="0.15"/>
    <row r="4186" customFormat="1" ht="13" x14ac:dyDescent="0.15"/>
    <row r="4187" customFormat="1" ht="13" x14ac:dyDescent="0.15"/>
    <row r="4188" customFormat="1" ht="13" x14ac:dyDescent="0.15"/>
    <row r="4189" customFormat="1" ht="13" x14ac:dyDescent="0.15"/>
    <row r="4190" customFormat="1" ht="13" x14ac:dyDescent="0.15"/>
    <row r="4191" customFormat="1" ht="13" x14ac:dyDescent="0.15"/>
    <row r="4192" customFormat="1" ht="13" x14ac:dyDescent="0.15"/>
    <row r="4193" customFormat="1" ht="13" x14ac:dyDescent="0.15"/>
    <row r="4194" customFormat="1" ht="13" x14ac:dyDescent="0.15"/>
    <row r="4195" customFormat="1" ht="13" x14ac:dyDescent="0.15"/>
    <row r="4196" customFormat="1" ht="13" x14ac:dyDescent="0.15"/>
    <row r="4197" customFormat="1" ht="13" x14ac:dyDescent="0.15"/>
    <row r="4198" customFormat="1" ht="13" x14ac:dyDescent="0.15"/>
    <row r="4199" customFormat="1" ht="13" x14ac:dyDescent="0.15"/>
    <row r="4200" customFormat="1" ht="13" x14ac:dyDescent="0.15"/>
    <row r="4201" customFormat="1" ht="13" x14ac:dyDescent="0.15"/>
    <row r="4202" customFormat="1" ht="13" x14ac:dyDescent="0.15"/>
    <row r="4203" customFormat="1" ht="13" x14ac:dyDescent="0.15"/>
    <row r="4204" customFormat="1" ht="13" x14ac:dyDescent="0.15"/>
    <row r="4205" customFormat="1" ht="13" x14ac:dyDescent="0.15"/>
    <row r="4206" customFormat="1" ht="13" x14ac:dyDescent="0.15"/>
    <row r="4207" customFormat="1" ht="13" x14ac:dyDescent="0.15"/>
    <row r="4208" customFormat="1" ht="13" x14ac:dyDescent="0.15"/>
    <row r="4209" customFormat="1" ht="13" x14ac:dyDescent="0.15"/>
    <row r="4210" customFormat="1" ht="13" x14ac:dyDescent="0.15"/>
    <row r="4211" customFormat="1" ht="13" x14ac:dyDescent="0.15"/>
    <row r="4212" customFormat="1" ht="13" x14ac:dyDescent="0.15"/>
    <row r="4213" customFormat="1" ht="13" x14ac:dyDescent="0.15"/>
    <row r="4214" customFormat="1" ht="13" x14ac:dyDescent="0.15"/>
    <row r="4215" customFormat="1" ht="13" x14ac:dyDescent="0.15"/>
    <row r="4216" customFormat="1" ht="13" x14ac:dyDescent="0.15"/>
    <row r="4217" customFormat="1" ht="13" x14ac:dyDescent="0.15"/>
    <row r="4218" customFormat="1" ht="13" x14ac:dyDescent="0.15"/>
    <row r="4219" customFormat="1" ht="13" x14ac:dyDescent="0.15"/>
    <row r="4220" customFormat="1" ht="13" x14ac:dyDescent="0.15"/>
    <row r="4221" customFormat="1" ht="13" x14ac:dyDescent="0.15"/>
    <row r="4222" customFormat="1" ht="13" x14ac:dyDescent="0.15"/>
    <row r="4223" customFormat="1" ht="13" x14ac:dyDescent="0.15"/>
    <row r="4224" customFormat="1" ht="13" x14ac:dyDescent="0.15"/>
    <row r="4225" customFormat="1" ht="13" x14ac:dyDescent="0.15"/>
    <row r="4226" customFormat="1" ht="13" x14ac:dyDescent="0.15"/>
    <row r="4227" customFormat="1" ht="13" x14ac:dyDescent="0.15"/>
    <row r="4228" customFormat="1" ht="13" x14ac:dyDescent="0.15"/>
    <row r="4229" customFormat="1" ht="13" x14ac:dyDescent="0.15"/>
    <row r="4230" customFormat="1" ht="13" x14ac:dyDescent="0.15"/>
    <row r="4231" customFormat="1" ht="13" x14ac:dyDescent="0.15"/>
    <row r="4232" customFormat="1" ht="13" x14ac:dyDescent="0.15"/>
    <row r="4233" customFormat="1" ht="13" x14ac:dyDescent="0.15"/>
    <row r="4234" customFormat="1" ht="13" x14ac:dyDescent="0.15"/>
    <row r="4235" customFormat="1" ht="13" x14ac:dyDescent="0.15"/>
    <row r="4236" customFormat="1" ht="13" x14ac:dyDescent="0.15"/>
    <row r="4237" customFormat="1" ht="13" x14ac:dyDescent="0.15"/>
    <row r="4238" customFormat="1" ht="13" x14ac:dyDescent="0.15"/>
    <row r="4239" customFormat="1" ht="13" x14ac:dyDescent="0.15"/>
    <row r="4240" customFormat="1" ht="13" x14ac:dyDescent="0.15"/>
    <row r="4241" customFormat="1" ht="13" x14ac:dyDescent="0.15"/>
    <row r="4242" customFormat="1" ht="13" x14ac:dyDescent="0.15"/>
    <row r="4243" customFormat="1" ht="13" x14ac:dyDescent="0.15"/>
    <row r="4244" customFormat="1" ht="13" x14ac:dyDescent="0.15"/>
    <row r="4245" customFormat="1" ht="13" x14ac:dyDescent="0.15"/>
    <row r="4246" customFormat="1" ht="13" x14ac:dyDescent="0.15"/>
    <row r="4247" customFormat="1" ht="13" x14ac:dyDescent="0.15"/>
    <row r="4248" customFormat="1" ht="13" x14ac:dyDescent="0.15"/>
    <row r="4249" customFormat="1" ht="13" x14ac:dyDescent="0.15"/>
    <row r="4250" customFormat="1" ht="13" x14ac:dyDescent="0.15"/>
    <row r="4251" customFormat="1" ht="13" x14ac:dyDescent="0.15"/>
    <row r="4252" customFormat="1" ht="13" x14ac:dyDescent="0.15"/>
    <row r="4253" customFormat="1" ht="13" x14ac:dyDescent="0.15"/>
    <row r="4254" customFormat="1" ht="13" x14ac:dyDescent="0.15"/>
    <row r="4255" customFormat="1" ht="13" x14ac:dyDescent="0.15"/>
    <row r="4256" customFormat="1" ht="13" x14ac:dyDescent="0.15"/>
    <row r="4257" customFormat="1" ht="13" x14ac:dyDescent="0.15"/>
    <row r="4258" customFormat="1" ht="13" x14ac:dyDescent="0.15"/>
    <row r="4259" customFormat="1" ht="13" x14ac:dyDescent="0.15"/>
    <row r="4260" customFormat="1" ht="13" x14ac:dyDescent="0.15"/>
    <row r="4261" customFormat="1" ht="13" x14ac:dyDescent="0.15"/>
    <row r="4262" customFormat="1" ht="13" x14ac:dyDescent="0.15"/>
    <row r="4263" customFormat="1" ht="13" x14ac:dyDescent="0.15"/>
    <row r="4264" customFormat="1" ht="13" x14ac:dyDescent="0.15"/>
    <row r="4265" customFormat="1" ht="13" x14ac:dyDescent="0.15"/>
    <row r="4266" customFormat="1" ht="13" x14ac:dyDescent="0.15"/>
    <row r="4267" customFormat="1" ht="13" x14ac:dyDescent="0.15"/>
    <row r="4268" customFormat="1" ht="13" x14ac:dyDescent="0.15"/>
    <row r="4269" customFormat="1" ht="13" x14ac:dyDescent="0.15"/>
    <row r="4270" customFormat="1" ht="13" x14ac:dyDescent="0.15"/>
    <row r="4271" customFormat="1" ht="13" x14ac:dyDescent="0.15"/>
    <row r="4272" customFormat="1" ht="13" x14ac:dyDescent="0.15"/>
    <row r="4273" customFormat="1" ht="13" x14ac:dyDescent="0.15"/>
    <row r="4274" customFormat="1" ht="13" x14ac:dyDescent="0.15"/>
    <row r="4275" customFormat="1" ht="13" x14ac:dyDescent="0.15"/>
    <row r="4276" customFormat="1" ht="13" x14ac:dyDescent="0.15"/>
    <row r="4277" customFormat="1" ht="13" x14ac:dyDescent="0.15"/>
    <row r="4278" customFormat="1" ht="13" x14ac:dyDescent="0.15"/>
    <row r="4279" customFormat="1" ht="13" x14ac:dyDescent="0.15"/>
    <row r="4280" customFormat="1" ht="13" x14ac:dyDescent="0.15"/>
    <row r="4281" customFormat="1" ht="13" x14ac:dyDescent="0.15"/>
    <row r="4282" customFormat="1" ht="13" x14ac:dyDescent="0.15"/>
    <row r="4283" customFormat="1" ht="13" x14ac:dyDescent="0.15"/>
    <row r="4284" customFormat="1" ht="13" x14ac:dyDescent="0.15"/>
    <row r="4285" customFormat="1" ht="13" x14ac:dyDescent="0.15"/>
    <row r="4286" customFormat="1" ht="13" x14ac:dyDescent="0.15"/>
    <row r="4287" customFormat="1" ht="13" x14ac:dyDescent="0.15"/>
    <row r="4288" customFormat="1" ht="13" x14ac:dyDescent="0.15"/>
    <row r="4289" customFormat="1" ht="13" x14ac:dyDescent="0.15"/>
    <row r="4290" customFormat="1" ht="13" x14ac:dyDescent="0.15"/>
    <row r="4291" customFormat="1" ht="13" x14ac:dyDescent="0.15"/>
    <row r="4292" customFormat="1" ht="13" x14ac:dyDescent="0.15"/>
    <row r="4293" customFormat="1" ht="13" x14ac:dyDescent="0.15"/>
    <row r="4294" customFormat="1" ht="13" x14ac:dyDescent="0.15"/>
    <row r="4295" customFormat="1" ht="13" x14ac:dyDescent="0.15"/>
    <row r="4296" customFormat="1" ht="13" x14ac:dyDescent="0.15"/>
    <row r="4297" customFormat="1" ht="13" x14ac:dyDescent="0.15"/>
    <row r="4298" customFormat="1" ht="13" x14ac:dyDescent="0.15"/>
    <row r="4299" customFormat="1" ht="13" x14ac:dyDescent="0.15"/>
    <row r="4300" customFormat="1" ht="13" x14ac:dyDescent="0.15"/>
    <row r="4301" customFormat="1" ht="13" x14ac:dyDescent="0.15"/>
    <row r="4302" customFormat="1" ht="13" x14ac:dyDescent="0.15"/>
    <row r="4303" customFormat="1" ht="13" x14ac:dyDescent="0.15"/>
    <row r="4304" customFormat="1" ht="13" x14ac:dyDescent="0.15"/>
    <row r="4305" customFormat="1" ht="13" x14ac:dyDescent="0.15"/>
    <row r="4306" customFormat="1" ht="13" x14ac:dyDescent="0.15"/>
    <row r="4307" customFormat="1" ht="13" x14ac:dyDescent="0.15"/>
    <row r="4308" customFormat="1" ht="13" x14ac:dyDescent="0.15"/>
    <row r="4309" customFormat="1" ht="13" x14ac:dyDescent="0.15"/>
    <row r="4310" customFormat="1" ht="13" x14ac:dyDescent="0.15"/>
    <row r="4311" customFormat="1" ht="13" x14ac:dyDescent="0.15"/>
    <row r="4312" customFormat="1" ht="13" x14ac:dyDescent="0.15"/>
    <row r="4313" customFormat="1" ht="13" x14ac:dyDescent="0.15"/>
    <row r="4314" customFormat="1" ht="13" x14ac:dyDescent="0.15"/>
    <row r="4315" customFormat="1" ht="13" x14ac:dyDescent="0.15"/>
    <row r="4316" customFormat="1" ht="13" x14ac:dyDescent="0.15"/>
    <row r="4317" customFormat="1" ht="13" x14ac:dyDescent="0.15"/>
    <row r="4318" customFormat="1" ht="13" x14ac:dyDescent="0.15"/>
    <row r="4319" customFormat="1" ht="13" x14ac:dyDescent="0.15"/>
    <row r="4320" customFormat="1" ht="13" x14ac:dyDescent="0.15"/>
    <row r="4321" customFormat="1" ht="13" x14ac:dyDescent="0.15"/>
    <row r="4322" customFormat="1" ht="13" x14ac:dyDescent="0.15"/>
    <row r="4323" customFormat="1" ht="13" x14ac:dyDescent="0.15"/>
    <row r="4324" customFormat="1" ht="13" x14ac:dyDescent="0.15"/>
    <row r="4325" customFormat="1" ht="13" x14ac:dyDescent="0.15"/>
    <row r="4326" customFormat="1" ht="13" x14ac:dyDescent="0.15"/>
    <row r="4327" customFormat="1" ht="13" x14ac:dyDescent="0.15"/>
    <row r="4328" customFormat="1" ht="13" x14ac:dyDescent="0.15"/>
    <row r="4329" customFormat="1" ht="13" x14ac:dyDescent="0.15"/>
    <row r="4330" customFormat="1" ht="13" x14ac:dyDescent="0.15"/>
    <row r="4331" customFormat="1" ht="13" x14ac:dyDescent="0.15"/>
    <row r="4332" customFormat="1" ht="13" x14ac:dyDescent="0.15"/>
    <row r="4333" customFormat="1" ht="13" x14ac:dyDescent="0.15"/>
    <row r="4334" customFormat="1" ht="13" x14ac:dyDescent="0.15"/>
    <row r="4335" customFormat="1" ht="13" x14ac:dyDescent="0.15"/>
    <row r="4336" customFormat="1" ht="13" x14ac:dyDescent="0.15"/>
    <row r="4337" customFormat="1" ht="13" x14ac:dyDescent="0.15"/>
    <row r="4338" customFormat="1" ht="13" x14ac:dyDescent="0.15"/>
    <row r="4339" customFormat="1" ht="13" x14ac:dyDescent="0.15"/>
    <row r="4340" customFormat="1" ht="13" x14ac:dyDescent="0.15"/>
    <row r="4341" customFormat="1" ht="13" x14ac:dyDescent="0.15"/>
    <row r="4342" customFormat="1" ht="13" x14ac:dyDescent="0.15"/>
    <row r="4343" customFormat="1" ht="13" x14ac:dyDescent="0.15"/>
    <row r="4344" customFormat="1" ht="13" x14ac:dyDescent="0.15"/>
    <row r="4345" customFormat="1" ht="13" x14ac:dyDescent="0.15"/>
    <row r="4346" customFormat="1" ht="13" x14ac:dyDescent="0.15"/>
    <row r="4347" customFormat="1" ht="13" x14ac:dyDescent="0.15"/>
    <row r="4348" customFormat="1" ht="13" x14ac:dyDescent="0.15"/>
    <row r="4349" customFormat="1" ht="13" x14ac:dyDescent="0.15"/>
    <row r="4350" customFormat="1" ht="13" x14ac:dyDescent="0.15"/>
    <row r="4351" customFormat="1" ht="13" x14ac:dyDescent="0.15"/>
    <row r="4352" customFormat="1" ht="13" x14ac:dyDescent="0.15"/>
    <row r="4353" customFormat="1" ht="13" x14ac:dyDescent="0.15"/>
    <row r="4354" customFormat="1" ht="13" x14ac:dyDescent="0.15"/>
    <row r="4355" customFormat="1" ht="13" x14ac:dyDescent="0.15"/>
    <row r="4356" customFormat="1" ht="13" x14ac:dyDescent="0.15"/>
    <row r="4357" customFormat="1" ht="13" x14ac:dyDescent="0.15"/>
    <row r="4358" customFormat="1" ht="13" x14ac:dyDescent="0.15"/>
    <row r="4359" customFormat="1" ht="13" x14ac:dyDescent="0.15"/>
    <row r="4360" customFormat="1" ht="13" x14ac:dyDescent="0.15"/>
    <row r="4361" customFormat="1" ht="13" x14ac:dyDescent="0.15"/>
    <row r="4362" customFormat="1" ht="13" x14ac:dyDescent="0.15"/>
    <row r="4363" customFormat="1" ht="13" x14ac:dyDescent="0.15"/>
    <row r="4364" customFormat="1" ht="13" x14ac:dyDescent="0.15"/>
    <row r="4365" customFormat="1" ht="13" x14ac:dyDescent="0.15"/>
    <row r="4366" customFormat="1" ht="13" x14ac:dyDescent="0.15"/>
    <row r="4367" customFormat="1" ht="13" x14ac:dyDescent="0.15"/>
    <row r="4368" customFormat="1" ht="13" x14ac:dyDescent="0.15"/>
    <row r="4369" customFormat="1" ht="13" x14ac:dyDescent="0.15"/>
    <row r="4370" customFormat="1" ht="13" x14ac:dyDescent="0.15"/>
    <row r="4371" customFormat="1" ht="13" x14ac:dyDescent="0.15"/>
    <row r="4372" customFormat="1" ht="13" x14ac:dyDescent="0.15"/>
    <row r="4373" customFormat="1" ht="13" x14ac:dyDescent="0.15"/>
    <row r="4374" customFormat="1" ht="13" x14ac:dyDescent="0.15"/>
    <row r="4375" customFormat="1" ht="13" x14ac:dyDescent="0.15"/>
    <row r="4376" customFormat="1" ht="13" x14ac:dyDescent="0.15"/>
    <row r="4377" customFormat="1" ht="13" x14ac:dyDescent="0.15"/>
    <row r="4378" customFormat="1" ht="13" x14ac:dyDescent="0.15"/>
    <row r="4379" customFormat="1" ht="13" x14ac:dyDescent="0.15"/>
    <row r="4380" customFormat="1" ht="13" x14ac:dyDescent="0.15"/>
    <row r="4381" customFormat="1" ht="13" x14ac:dyDescent="0.15"/>
    <row r="4382" customFormat="1" ht="13" x14ac:dyDescent="0.15"/>
    <row r="4383" customFormat="1" ht="13" x14ac:dyDescent="0.15"/>
    <row r="4384" customFormat="1" ht="13" x14ac:dyDescent="0.15"/>
    <row r="4385" customFormat="1" ht="13" x14ac:dyDescent="0.15"/>
    <row r="4386" customFormat="1" ht="13" x14ac:dyDescent="0.15"/>
    <row r="4387" customFormat="1" ht="13" x14ac:dyDescent="0.15"/>
    <row r="4388" customFormat="1" ht="13" x14ac:dyDescent="0.15"/>
    <row r="4389" customFormat="1" ht="13" x14ac:dyDescent="0.15"/>
    <row r="4390" customFormat="1" ht="13" x14ac:dyDescent="0.15"/>
    <row r="4391" customFormat="1" ht="13" x14ac:dyDescent="0.15"/>
    <row r="4392" customFormat="1" ht="13" x14ac:dyDescent="0.15"/>
    <row r="4393" customFormat="1" ht="13" x14ac:dyDescent="0.15"/>
    <row r="4394" customFormat="1" ht="13" x14ac:dyDescent="0.15"/>
    <row r="4395" customFormat="1" ht="13" x14ac:dyDescent="0.15"/>
    <row r="4396" customFormat="1" ht="13" x14ac:dyDescent="0.15"/>
    <row r="4397" customFormat="1" ht="13" x14ac:dyDescent="0.15"/>
    <row r="4398" customFormat="1" ht="13" x14ac:dyDescent="0.15"/>
    <row r="4399" customFormat="1" ht="13" x14ac:dyDescent="0.15"/>
    <row r="4400" customFormat="1" ht="13" x14ac:dyDescent="0.15"/>
    <row r="4401" customFormat="1" ht="13" x14ac:dyDescent="0.15"/>
    <row r="4402" customFormat="1" ht="13" x14ac:dyDescent="0.15"/>
    <row r="4403" customFormat="1" ht="13" x14ac:dyDescent="0.15"/>
    <row r="4404" customFormat="1" ht="13" x14ac:dyDescent="0.15"/>
    <row r="4405" customFormat="1" ht="13" x14ac:dyDescent="0.15"/>
    <row r="4406" customFormat="1" ht="13" x14ac:dyDescent="0.15"/>
    <row r="4407" customFormat="1" ht="13" x14ac:dyDescent="0.15"/>
    <row r="4408" customFormat="1" ht="13" x14ac:dyDescent="0.15"/>
    <row r="4409" customFormat="1" ht="13" x14ac:dyDescent="0.15"/>
    <row r="4410" customFormat="1" ht="13" x14ac:dyDescent="0.15"/>
    <row r="4411" customFormat="1" ht="13" x14ac:dyDescent="0.15"/>
    <row r="4412" customFormat="1" ht="13" x14ac:dyDescent="0.15"/>
    <row r="4413" customFormat="1" ht="13" x14ac:dyDescent="0.15"/>
    <row r="4414" customFormat="1" ht="13" x14ac:dyDescent="0.15"/>
    <row r="4415" customFormat="1" ht="13" x14ac:dyDescent="0.15"/>
    <row r="4416" customFormat="1" ht="13" x14ac:dyDescent="0.15"/>
    <row r="4417" customFormat="1" ht="13" x14ac:dyDescent="0.15"/>
    <row r="4418" customFormat="1" ht="13" x14ac:dyDescent="0.15"/>
    <row r="4419" customFormat="1" ht="13" x14ac:dyDescent="0.15"/>
    <row r="4420" customFormat="1" ht="13" x14ac:dyDescent="0.15"/>
    <row r="4421" customFormat="1" ht="13" x14ac:dyDescent="0.15"/>
    <row r="4422" customFormat="1" ht="13" x14ac:dyDescent="0.15"/>
    <row r="4423" customFormat="1" ht="13" x14ac:dyDescent="0.15"/>
    <row r="4424" customFormat="1" ht="13" x14ac:dyDescent="0.15"/>
    <row r="4425" customFormat="1" ht="13" x14ac:dyDescent="0.15"/>
    <row r="4426" customFormat="1" ht="13" x14ac:dyDescent="0.15"/>
    <row r="4427" customFormat="1" ht="13" x14ac:dyDescent="0.15"/>
    <row r="4428" customFormat="1" ht="13" x14ac:dyDescent="0.15"/>
    <row r="4429" customFormat="1" ht="13" x14ac:dyDescent="0.15"/>
    <row r="4430" customFormat="1" ht="13" x14ac:dyDescent="0.15"/>
    <row r="4431" customFormat="1" ht="13" x14ac:dyDescent="0.15"/>
    <row r="4432" customFormat="1" ht="13" x14ac:dyDescent="0.15"/>
    <row r="4433" customFormat="1" ht="13" x14ac:dyDescent="0.15"/>
    <row r="4434" customFormat="1" ht="13" x14ac:dyDescent="0.15"/>
    <row r="4435" customFormat="1" ht="13" x14ac:dyDescent="0.15"/>
    <row r="4436" customFormat="1" ht="13" x14ac:dyDescent="0.15"/>
    <row r="4437" customFormat="1" ht="13" x14ac:dyDescent="0.15"/>
    <row r="4438" customFormat="1" ht="13" x14ac:dyDescent="0.15"/>
    <row r="4439" customFormat="1" ht="13" x14ac:dyDescent="0.15"/>
    <row r="4440" customFormat="1" ht="13" x14ac:dyDescent="0.15"/>
    <row r="4441" customFormat="1" ht="13" x14ac:dyDescent="0.15"/>
    <row r="4442" customFormat="1" ht="13" x14ac:dyDescent="0.15"/>
    <row r="4443" customFormat="1" ht="13" x14ac:dyDescent="0.15"/>
    <row r="4444" customFormat="1" ht="13" x14ac:dyDescent="0.15"/>
    <row r="4445" customFormat="1" ht="13" x14ac:dyDescent="0.15"/>
    <row r="4446" customFormat="1" ht="13" x14ac:dyDescent="0.15"/>
    <row r="4447" customFormat="1" ht="13" x14ac:dyDescent="0.15"/>
    <row r="4448" customFormat="1" ht="13" x14ac:dyDescent="0.15"/>
    <row r="4449" customFormat="1" ht="13" x14ac:dyDescent="0.15"/>
    <row r="4450" customFormat="1" ht="13" x14ac:dyDescent="0.15"/>
    <row r="4451" customFormat="1" ht="13" x14ac:dyDescent="0.15"/>
    <row r="4452" customFormat="1" ht="13" x14ac:dyDescent="0.15"/>
    <row r="4453" customFormat="1" ht="13" x14ac:dyDescent="0.15"/>
    <row r="4454" customFormat="1" ht="13" x14ac:dyDescent="0.15"/>
    <row r="4455" customFormat="1" ht="13" x14ac:dyDescent="0.15"/>
    <row r="4456" customFormat="1" ht="13" x14ac:dyDescent="0.15"/>
    <row r="4457" customFormat="1" ht="13" x14ac:dyDescent="0.15"/>
    <row r="4458" customFormat="1" ht="13" x14ac:dyDescent="0.15"/>
    <row r="4459" customFormat="1" ht="13" x14ac:dyDescent="0.15"/>
    <row r="4460" customFormat="1" ht="13" x14ac:dyDescent="0.15"/>
    <row r="4461" customFormat="1" ht="13" x14ac:dyDescent="0.15"/>
    <row r="4462" customFormat="1" ht="13" x14ac:dyDescent="0.15"/>
    <row r="4463" customFormat="1" ht="13" x14ac:dyDescent="0.15"/>
    <row r="4464" customFormat="1" ht="13" x14ac:dyDescent="0.15"/>
    <row r="4465" customFormat="1" ht="13" x14ac:dyDescent="0.15"/>
    <row r="4466" customFormat="1" ht="13" x14ac:dyDescent="0.15"/>
    <row r="4467" customFormat="1" ht="13" x14ac:dyDescent="0.15"/>
    <row r="4468" customFormat="1" ht="13" x14ac:dyDescent="0.15"/>
    <row r="4469" customFormat="1" ht="13" x14ac:dyDescent="0.15"/>
    <row r="4470" customFormat="1" ht="13" x14ac:dyDescent="0.15"/>
    <row r="4471" customFormat="1" ht="13" x14ac:dyDescent="0.15"/>
    <row r="4472" customFormat="1" ht="13" x14ac:dyDescent="0.15"/>
    <row r="4473" customFormat="1" ht="13" x14ac:dyDescent="0.15"/>
    <row r="4474" customFormat="1" ht="13" x14ac:dyDescent="0.15"/>
    <row r="4475" customFormat="1" ht="13" x14ac:dyDescent="0.15"/>
    <row r="4476" customFormat="1" ht="13" x14ac:dyDescent="0.15"/>
    <row r="4477" customFormat="1" ht="13" x14ac:dyDescent="0.15"/>
    <row r="4478" customFormat="1" ht="13" x14ac:dyDescent="0.15"/>
    <row r="4479" customFormat="1" ht="13" x14ac:dyDescent="0.15"/>
    <row r="4480" customFormat="1" ht="13" x14ac:dyDescent="0.15"/>
    <row r="4481" customFormat="1" ht="13" x14ac:dyDescent="0.15"/>
    <row r="4482" customFormat="1" ht="13" x14ac:dyDescent="0.15"/>
    <row r="4483" customFormat="1" ht="13" x14ac:dyDescent="0.15"/>
    <row r="4484" customFormat="1" ht="13" x14ac:dyDescent="0.15"/>
    <row r="4485" customFormat="1" ht="13" x14ac:dyDescent="0.15"/>
    <row r="4486" customFormat="1" ht="13" x14ac:dyDescent="0.15"/>
    <row r="4487" customFormat="1" ht="13" x14ac:dyDescent="0.15"/>
    <row r="4488" customFormat="1" ht="13" x14ac:dyDescent="0.15"/>
    <row r="4489" customFormat="1" ht="13" x14ac:dyDescent="0.15"/>
    <row r="4490" customFormat="1" ht="13" x14ac:dyDescent="0.15"/>
    <row r="4491" customFormat="1" ht="13" x14ac:dyDescent="0.15"/>
    <row r="4492" customFormat="1" ht="13" x14ac:dyDescent="0.15"/>
    <row r="4493" customFormat="1" ht="13" x14ac:dyDescent="0.15"/>
    <row r="4494" customFormat="1" ht="13" x14ac:dyDescent="0.15"/>
    <row r="4495" customFormat="1" ht="13" x14ac:dyDescent="0.15"/>
    <row r="4496" customFormat="1" ht="13" x14ac:dyDescent="0.15"/>
    <row r="4497" customFormat="1" ht="13" x14ac:dyDescent="0.15"/>
    <row r="4498" customFormat="1" ht="13" x14ac:dyDescent="0.15"/>
    <row r="4499" customFormat="1" ht="13" x14ac:dyDescent="0.15"/>
    <row r="4500" customFormat="1" ht="13" x14ac:dyDescent="0.15"/>
    <row r="4501" customFormat="1" ht="13" x14ac:dyDescent="0.15"/>
    <row r="4502" customFormat="1" ht="13" x14ac:dyDescent="0.15"/>
    <row r="4503" customFormat="1" ht="13" x14ac:dyDescent="0.15"/>
    <row r="4504" customFormat="1" ht="13" x14ac:dyDescent="0.15"/>
    <row r="4505" customFormat="1" ht="13" x14ac:dyDescent="0.15"/>
    <row r="4506" customFormat="1" ht="13" x14ac:dyDescent="0.15"/>
    <row r="4507" customFormat="1" ht="13" x14ac:dyDescent="0.15"/>
    <row r="4508" customFormat="1" ht="13" x14ac:dyDescent="0.15"/>
    <row r="4509" customFormat="1" ht="13" x14ac:dyDescent="0.15"/>
    <row r="4510" customFormat="1" ht="13" x14ac:dyDescent="0.15"/>
    <row r="4511" customFormat="1" ht="13" x14ac:dyDescent="0.15"/>
    <row r="4512" customFormat="1" ht="13" x14ac:dyDescent="0.15"/>
    <row r="4513" customFormat="1" ht="13" x14ac:dyDescent="0.15"/>
    <row r="4514" customFormat="1" ht="13" x14ac:dyDescent="0.15"/>
    <row r="4515" customFormat="1" ht="13" x14ac:dyDescent="0.15"/>
    <row r="4516" customFormat="1" ht="13" x14ac:dyDescent="0.15"/>
    <row r="4517" customFormat="1" ht="13" x14ac:dyDescent="0.15"/>
    <row r="4518" customFormat="1" ht="13" x14ac:dyDescent="0.15"/>
    <row r="4519" customFormat="1" ht="13" x14ac:dyDescent="0.15"/>
    <row r="4520" customFormat="1" ht="13" x14ac:dyDescent="0.15"/>
    <row r="4521" customFormat="1" ht="13" x14ac:dyDescent="0.15"/>
    <row r="4522" customFormat="1" ht="13" x14ac:dyDescent="0.15"/>
    <row r="4523" customFormat="1" ht="13" x14ac:dyDescent="0.15"/>
    <row r="4524" customFormat="1" ht="13" x14ac:dyDescent="0.15"/>
    <row r="4525" customFormat="1" ht="13" x14ac:dyDescent="0.15"/>
    <row r="4526" customFormat="1" ht="13" x14ac:dyDescent="0.15"/>
    <row r="4527" customFormat="1" ht="13" x14ac:dyDescent="0.15"/>
    <row r="4528" customFormat="1" ht="13" x14ac:dyDescent="0.15"/>
    <row r="4529" customFormat="1" ht="13" x14ac:dyDescent="0.15"/>
    <row r="4530" customFormat="1" ht="13" x14ac:dyDescent="0.15"/>
    <row r="4531" customFormat="1" ht="13" x14ac:dyDescent="0.15"/>
    <row r="4532" customFormat="1" ht="13" x14ac:dyDescent="0.15"/>
    <row r="4533" customFormat="1" ht="13" x14ac:dyDescent="0.15"/>
    <row r="4534" customFormat="1" ht="13" x14ac:dyDescent="0.15"/>
    <row r="4535" customFormat="1" ht="13" x14ac:dyDescent="0.15"/>
    <row r="4536" customFormat="1" ht="13" x14ac:dyDescent="0.15"/>
    <row r="4537" customFormat="1" ht="13" x14ac:dyDescent="0.15"/>
    <row r="4538" customFormat="1" ht="13" x14ac:dyDescent="0.15"/>
    <row r="4539" customFormat="1" ht="13" x14ac:dyDescent="0.15"/>
    <row r="4540" customFormat="1" ht="13" x14ac:dyDescent="0.15"/>
    <row r="4541" customFormat="1" ht="13" x14ac:dyDescent="0.15"/>
    <row r="4542" customFormat="1" ht="13" x14ac:dyDescent="0.15"/>
    <row r="4543" customFormat="1" ht="13" x14ac:dyDescent="0.15"/>
    <row r="4544" customFormat="1" ht="13" x14ac:dyDescent="0.15"/>
    <row r="4545" customFormat="1" ht="13" x14ac:dyDescent="0.15"/>
    <row r="4546" customFormat="1" ht="13" x14ac:dyDescent="0.15"/>
    <row r="4547" customFormat="1" ht="13" x14ac:dyDescent="0.15"/>
    <row r="4548" customFormat="1" ht="13" x14ac:dyDescent="0.15"/>
    <row r="4549" customFormat="1" ht="13" x14ac:dyDescent="0.15"/>
    <row r="4550" customFormat="1" ht="13" x14ac:dyDescent="0.15"/>
    <row r="4551" customFormat="1" ht="13" x14ac:dyDescent="0.15"/>
    <row r="4552" customFormat="1" ht="13" x14ac:dyDescent="0.15"/>
    <row r="4553" customFormat="1" ht="13" x14ac:dyDescent="0.15"/>
    <row r="4554" customFormat="1" ht="13" x14ac:dyDescent="0.15"/>
    <row r="4555" customFormat="1" ht="13" x14ac:dyDescent="0.15"/>
    <row r="4556" customFormat="1" ht="13" x14ac:dyDescent="0.15"/>
    <row r="4557" customFormat="1" ht="13" x14ac:dyDescent="0.15"/>
    <row r="4558" customFormat="1" ht="13" x14ac:dyDescent="0.15"/>
    <row r="4559" customFormat="1" ht="13" x14ac:dyDescent="0.15"/>
    <row r="4560" customFormat="1" ht="13" x14ac:dyDescent="0.15"/>
    <row r="4561" customFormat="1" ht="13" x14ac:dyDescent="0.15"/>
    <row r="4562" customFormat="1" ht="13" x14ac:dyDescent="0.15"/>
    <row r="4563" customFormat="1" ht="13" x14ac:dyDescent="0.15"/>
    <row r="4564" customFormat="1" ht="13" x14ac:dyDescent="0.15"/>
    <row r="4565" customFormat="1" ht="13" x14ac:dyDescent="0.15"/>
    <row r="4566" customFormat="1" ht="13" x14ac:dyDescent="0.15"/>
    <row r="4567" customFormat="1" ht="13" x14ac:dyDescent="0.15"/>
    <row r="4568" customFormat="1" ht="13" x14ac:dyDescent="0.15"/>
    <row r="4569" customFormat="1" ht="13" x14ac:dyDescent="0.15"/>
    <row r="4570" customFormat="1" ht="13" x14ac:dyDescent="0.15"/>
    <row r="4571" customFormat="1" ht="13" x14ac:dyDescent="0.15"/>
    <row r="4572" customFormat="1" ht="13" x14ac:dyDescent="0.15"/>
    <row r="4573" customFormat="1" ht="13" x14ac:dyDescent="0.15"/>
    <row r="4574" customFormat="1" ht="13" x14ac:dyDescent="0.15"/>
    <row r="4575" customFormat="1" ht="13" x14ac:dyDescent="0.15"/>
    <row r="4576" customFormat="1" ht="13" x14ac:dyDescent="0.15"/>
    <row r="4577" customFormat="1" ht="13" x14ac:dyDescent="0.15"/>
    <row r="4578" customFormat="1" ht="13" x14ac:dyDescent="0.15"/>
    <row r="4579" customFormat="1" ht="13" x14ac:dyDescent="0.15"/>
    <row r="4580" customFormat="1" ht="13" x14ac:dyDescent="0.15"/>
    <row r="4581" customFormat="1" ht="13" x14ac:dyDescent="0.15"/>
    <row r="4582" customFormat="1" ht="13" x14ac:dyDescent="0.15"/>
    <row r="4583" customFormat="1" ht="13" x14ac:dyDescent="0.15"/>
    <row r="4584" customFormat="1" ht="13" x14ac:dyDescent="0.15"/>
    <row r="4585" customFormat="1" ht="13" x14ac:dyDescent="0.15"/>
    <row r="4586" customFormat="1" ht="13" x14ac:dyDescent="0.15"/>
    <row r="4587" customFormat="1" ht="13" x14ac:dyDescent="0.15"/>
    <row r="4588" customFormat="1" ht="13" x14ac:dyDescent="0.15"/>
    <row r="4589" customFormat="1" ht="13" x14ac:dyDescent="0.15"/>
    <row r="4590" customFormat="1" ht="13" x14ac:dyDescent="0.15"/>
    <row r="4591" customFormat="1" ht="13" x14ac:dyDescent="0.15"/>
    <row r="4592" customFormat="1" ht="13" x14ac:dyDescent="0.15"/>
    <row r="4593" customFormat="1" ht="13" x14ac:dyDescent="0.15"/>
    <row r="4594" customFormat="1" ht="13" x14ac:dyDescent="0.15"/>
    <row r="4595" customFormat="1" ht="13" x14ac:dyDescent="0.15"/>
    <row r="4596" customFormat="1" ht="13" x14ac:dyDescent="0.15"/>
    <row r="4597" customFormat="1" ht="13" x14ac:dyDescent="0.15"/>
    <row r="4598" customFormat="1" ht="13" x14ac:dyDescent="0.15"/>
    <row r="4599" customFormat="1" ht="13" x14ac:dyDescent="0.15"/>
    <row r="4600" customFormat="1" ht="13" x14ac:dyDescent="0.15"/>
    <row r="4601" customFormat="1" ht="13" x14ac:dyDescent="0.15"/>
    <row r="4602" customFormat="1" ht="13" x14ac:dyDescent="0.15"/>
    <row r="4603" customFormat="1" ht="13" x14ac:dyDescent="0.15"/>
    <row r="4604" customFormat="1" ht="13" x14ac:dyDescent="0.15"/>
    <row r="4605" customFormat="1" ht="13" x14ac:dyDescent="0.15"/>
    <row r="4606" customFormat="1" ht="13" x14ac:dyDescent="0.15"/>
    <row r="4607" customFormat="1" ht="13" x14ac:dyDescent="0.15"/>
    <row r="4608" customFormat="1" ht="13" x14ac:dyDescent="0.15"/>
    <row r="4609" customFormat="1" ht="13" x14ac:dyDescent="0.15"/>
    <row r="4610" customFormat="1" ht="13" x14ac:dyDescent="0.15"/>
    <row r="4611" customFormat="1" ht="13" x14ac:dyDescent="0.15"/>
    <row r="4612" customFormat="1" ht="13" x14ac:dyDescent="0.15"/>
    <row r="4613" customFormat="1" ht="13" x14ac:dyDescent="0.15"/>
    <row r="4614" customFormat="1" ht="13" x14ac:dyDescent="0.15"/>
    <row r="4615" customFormat="1" ht="13" x14ac:dyDescent="0.15"/>
    <row r="4616" customFormat="1" ht="13" x14ac:dyDescent="0.15"/>
    <row r="4617" customFormat="1" ht="13" x14ac:dyDescent="0.15"/>
    <row r="4618" customFormat="1" ht="13" x14ac:dyDescent="0.15"/>
    <row r="4619" customFormat="1" ht="13" x14ac:dyDescent="0.15"/>
    <row r="4620" customFormat="1" ht="13" x14ac:dyDescent="0.15"/>
    <row r="4621" customFormat="1" ht="13" x14ac:dyDescent="0.15"/>
    <row r="4622" customFormat="1" ht="13" x14ac:dyDescent="0.15"/>
    <row r="4623" customFormat="1" ht="13" x14ac:dyDescent="0.15"/>
    <row r="4624" customFormat="1" ht="13" x14ac:dyDescent="0.15"/>
    <row r="4625" customFormat="1" ht="13" x14ac:dyDescent="0.15"/>
    <row r="4626" customFormat="1" ht="13" x14ac:dyDescent="0.15"/>
    <row r="4627" customFormat="1" ht="13" x14ac:dyDescent="0.15"/>
    <row r="4628" customFormat="1" ht="13" x14ac:dyDescent="0.15"/>
    <row r="4629" customFormat="1" ht="13" x14ac:dyDescent="0.15"/>
    <row r="4630" customFormat="1" ht="13" x14ac:dyDescent="0.15"/>
    <row r="4631" customFormat="1" ht="13" x14ac:dyDescent="0.15"/>
    <row r="4632" customFormat="1" ht="13" x14ac:dyDescent="0.15"/>
    <row r="4633" customFormat="1" ht="13" x14ac:dyDescent="0.15"/>
    <row r="4634" customFormat="1" ht="13" x14ac:dyDescent="0.15"/>
    <row r="4635" customFormat="1" ht="13" x14ac:dyDescent="0.15"/>
    <row r="4636" customFormat="1" ht="13" x14ac:dyDescent="0.15"/>
    <row r="4637" customFormat="1" ht="13" x14ac:dyDescent="0.15"/>
    <row r="4638" customFormat="1" ht="13" x14ac:dyDescent="0.15"/>
    <row r="4639" customFormat="1" ht="13" x14ac:dyDescent="0.15"/>
    <row r="4640" customFormat="1" ht="13" x14ac:dyDescent="0.15"/>
    <row r="4641" customFormat="1" ht="13" x14ac:dyDescent="0.15"/>
    <row r="4642" customFormat="1" ht="13" x14ac:dyDescent="0.15"/>
    <row r="4643" customFormat="1" ht="13" x14ac:dyDescent="0.15"/>
    <row r="4644" customFormat="1" ht="13" x14ac:dyDescent="0.15"/>
    <row r="4645" customFormat="1" ht="13" x14ac:dyDescent="0.15"/>
    <row r="4646" customFormat="1" ht="13" x14ac:dyDescent="0.15"/>
    <row r="4647" customFormat="1" ht="13" x14ac:dyDescent="0.15"/>
    <row r="4648" customFormat="1" ht="13" x14ac:dyDescent="0.15"/>
    <row r="4649" customFormat="1" ht="13" x14ac:dyDescent="0.15"/>
    <row r="4650" customFormat="1" ht="13" x14ac:dyDescent="0.15"/>
    <row r="4651" customFormat="1" ht="13" x14ac:dyDescent="0.15"/>
    <row r="4652" customFormat="1" ht="13" x14ac:dyDescent="0.15"/>
    <row r="4653" customFormat="1" ht="13" x14ac:dyDescent="0.15"/>
    <row r="4654" customFormat="1" ht="13" x14ac:dyDescent="0.15"/>
    <row r="4655" customFormat="1" ht="13" x14ac:dyDescent="0.15"/>
    <row r="4656" customFormat="1" ht="13" x14ac:dyDescent="0.15"/>
    <row r="4657" customFormat="1" ht="13" x14ac:dyDescent="0.15"/>
    <row r="4658" customFormat="1" ht="13" x14ac:dyDescent="0.15"/>
    <row r="4659" customFormat="1" ht="13" x14ac:dyDescent="0.15"/>
    <row r="4660" customFormat="1" ht="13" x14ac:dyDescent="0.15"/>
    <row r="4661" customFormat="1" ht="13" x14ac:dyDescent="0.15"/>
    <row r="4662" customFormat="1" ht="13" x14ac:dyDescent="0.15"/>
    <row r="4663" customFormat="1" ht="13" x14ac:dyDescent="0.15"/>
    <row r="4664" customFormat="1" ht="13" x14ac:dyDescent="0.15"/>
    <row r="4665" customFormat="1" ht="13" x14ac:dyDescent="0.15"/>
    <row r="4666" customFormat="1" ht="13" x14ac:dyDescent="0.15"/>
    <row r="4667" customFormat="1" ht="13" x14ac:dyDescent="0.15"/>
    <row r="4668" customFormat="1" ht="13" x14ac:dyDescent="0.15"/>
    <row r="4669" customFormat="1" ht="13" x14ac:dyDescent="0.15"/>
    <row r="4670" customFormat="1" ht="13" x14ac:dyDescent="0.15"/>
    <row r="4671" customFormat="1" ht="13" x14ac:dyDescent="0.15"/>
    <row r="4672" customFormat="1" ht="13" x14ac:dyDescent="0.15"/>
    <row r="4673" customFormat="1" ht="13" x14ac:dyDescent="0.15"/>
    <row r="4674" customFormat="1" ht="13" x14ac:dyDescent="0.15"/>
    <row r="4675" customFormat="1" ht="13" x14ac:dyDescent="0.15"/>
    <row r="4676" customFormat="1" ht="13" x14ac:dyDescent="0.15"/>
    <row r="4677" customFormat="1" ht="13" x14ac:dyDescent="0.15"/>
    <row r="4678" customFormat="1" ht="13" x14ac:dyDescent="0.15"/>
    <row r="4679" customFormat="1" ht="13" x14ac:dyDescent="0.15"/>
    <row r="4680" customFormat="1" ht="13" x14ac:dyDescent="0.15"/>
    <row r="4681" customFormat="1" ht="13" x14ac:dyDescent="0.15"/>
    <row r="4682" customFormat="1" ht="13" x14ac:dyDescent="0.15"/>
    <row r="4683" customFormat="1" ht="13" x14ac:dyDescent="0.15"/>
    <row r="4684" customFormat="1" ht="13" x14ac:dyDescent="0.15"/>
    <row r="4685" customFormat="1" ht="13" x14ac:dyDescent="0.15"/>
    <row r="4686" customFormat="1" ht="13" x14ac:dyDescent="0.15"/>
    <row r="4687" customFormat="1" ht="13" x14ac:dyDescent="0.15"/>
    <row r="4688" customFormat="1" ht="13" x14ac:dyDescent="0.15"/>
    <row r="4689" customFormat="1" ht="13" x14ac:dyDescent="0.15"/>
    <row r="4690" customFormat="1" ht="13" x14ac:dyDescent="0.15"/>
    <row r="4691" customFormat="1" ht="13" x14ac:dyDescent="0.15"/>
    <row r="4692" customFormat="1" ht="13" x14ac:dyDescent="0.15"/>
    <row r="4693" customFormat="1" ht="13" x14ac:dyDescent="0.15"/>
    <row r="4694" customFormat="1" ht="13" x14ac:dyDescent="0.15"/>
    <row r="4695" customFormat="1" ht="13" x14ac:dyDescent="0.15"/>
    <row r="4696" customFormat="1" ht="13" x14ac:dyDescent="0.15"/>
    <row r="4697" customFormat="1" ht="13" x14ac:dyDescent="0.15"/>
    <row r="4698" customFormat="1" ht="13" x14ac:dyDescent="0.15"/>
    <row r="4699" customFormat="1" ht="13" x14ac:dyDescent="0.15"/>
    <row r="4700" customFormat="1" ht="13" x14ac:dyDescent="0.15"/>
    <row r="4701" customFormat="1" ht="13" x14ac:dyDescent="0.15"/>
    <row r="4702" customFormat="1" ht="13" x14ac:dyDescent="0.15"/>
    <row r="4703" customFormat="1" ht="13" x14ac:dyDescent="0.15"/>
    <row r="4704" customFormat="1" ht="13" x14ac:dyDescent="0.15"/>
    <row r="4705" customFormat="1" ht="13" x14ac:dyDescent="0.15"/>
    <row r="4706" customFormat="1" ht="13" x14ac:dyDescent="0.15"/>
    <row r="4707" customFormat="1" ht="13" x14ac:dyDescent="0.15"/>
    <row r="4708" customFormat="1" ht="13" x14ac:dyDescent="0.15"/>
    <row r="4709" customFormat="1" ht="13" x14ac:dyDescent="0.15"/>
    <row r="4710" customFormat="1" ht="13" x14ac:dyDescent="0.15"/>
    <row r="4711" customFormat="1" ht="13" x14ac:dyDescent="0.15"/>
    <row r="4712" customFormat="1" ht="13" x14ac:dyDescent="0.15"/>
    <row r="4713" customFormat="1" ht="13" x14ac:dyDescent="0.15"/>
    <row r="4714" customFormat="1" ht="13" x14ac:dyDescent="0.15"/>
    <row r="4715" customFormat="1" ht="13" x14ac:dyDescent="0.15"/>
    <row r="4716" customFormat="1" ht="13" x14ac:dyDescent="0.15"/>
    <row r="4717" customFormat="1" ht="13" x14ac:dyDescent="0.15"/>
    <row r="4718" customFormat="1" ht="13" x14ac:dyDescent="0.15"/>
    <row r="4719" customFormat="1" ht="13" x14ac:dyDescent="0.15"/>
    <row r="4720" customFormat="1" ht="13" x14ac:dyDescent="0.15"/>
    <row r="4721" customFormat="1" ht="13" x14ac:dyDescent="0.15"/>
    <row r="4722" customFormat="1" ht="13" x14ac:dyDescent="0.15"/>
    <row r="4723" customFormat="1" ht="13" x14ac:dyDescent="0.15"/>
    <row r="4724" customFormat="1" ht="13" x14ac:dyDescent="0.15"/>
    <row r="4725" customFormat="1" ht="13" x14ac:dyDescent="0.15"/>
    <row r="4726" customFormat="1" ht="13" x14ac:dyDescent="0.15"/>
    <row r="4727" customFormat="1" ht="13" x14ac:dyDescent="0.15"/>
    <row r="4728" customFormat="1" ht="13" x14ac:dyDescent="0.15"/>
    <row r="4729" customFormat="1" ht="13" x14ac:dyDescent="0.15"/>
    <row r="4730" customFormat="1" ht="13" x14ac:dyDescent="0.15"/>
    <row r="4731" customFormat="1" ht="13" x14ac:dyDescent="0.15"/>
    <row r="4732" customFormat="1" ht="13" x14ac:dyDescent="0.15"/>
    <row r="4733" customFormat="1" ht="13" x14ac:dyDescent="0.15"/>
    <row r="4734" customFormat="1" ht="13" x14ac:dyDescent="0.15"/>
    <row r="4735" customFormat="1" ht="13" x14ac:dyDescent="0.15"/>
    <row r="4736" customFormat="1" ht="13" x14ac:dyDescent="0.15"/>
    <row r="4737" customFormat="1" ht="13" x14ac:dyDescent="0.15"/>
    <row r="4738" customFormat="1" ht="13" x14ac:dyDescent="0.15"/>
    <row r="4739" customFormat="1" ht="13" x14ac:dyDescent="0.15"/>
    <row r="4740" customFormat="1" ht="13" x14ac:dyDescent="0.15"/>
    <row r="4741" customFormat="1" ht="13" x14ac:dyDescent="0.15"/>
    <row r="4742" customFormat="1" ht="13" x14ac:dyDescent="0.15"/>
    <row r="4743" customFormat="1" ht="13" x14ac:dyDescent="0.15"/>
    <row r="4744" customFormat="1" ht="13" x14ac:dyDescent="0.15"/>
    <row r="4745" customFormat="1" ht="13" x14ac:dyDescent="0.15"/>
    <row r="4746" customFormat="1" ht="13" x14ac:dyDescent="0.15"/>
    <row r="4747" customFormat="1" ht="13" x14ac:dyDescent="0.15"/>
    <row r="4748" customFormat="1" ht="13" x14ac:dyDescent="0.15"/>
    <row r="4749" customFormat="1" ht="13" x14ac:dyDescent="0.15"/>
    <row r="4750" customFormat="1" ht="13" x14ac:dyDescent="0.15"/>
    <row r="4751" customFormat="1" ht="13" x14ac:dyDescent="0.15"/>
    <row r="4752" customFormat="1" ht="13" x14ac:dyDescent="0.15"/>
    <row r="4753" customFormat="1" ht="13" x14ac:dyDescent="0.15"/>
    <row r="4754" customFormat="1" ht="13" x14ac:dyDescent="0.15"/>
    <row r="4755" customFormat="1" ht="13" x14ac:dyDescent="0.15"/>
    <row r="4756" customFormat="1" ht="13" x14ac:dyDescent="0.15"/>
    <row r="4757" customFormat="1" ht="13" x14ac:dyDescent="0.15"/>
    <row r="4758" customFormat="1" ht="13" x14ac:dyDescent="0.15"/>
    <row r="4759" customFormat="1" ht="13" x14ac:dyDescent="0.15"/>
    <row r="4760" customFormat="1" ht="13" x14ac:dyDescent="0.15"/>
    <row r="4761" customFormat="1" ht="13" x14ac:dyDescent="0.15"/>
    <row r="4762" customFormat="1" ht="13" x14ac:dyDescent="0.15"/>
    <row r="4763" customFormat="1" ht="13" x14ac:dyDescent="0.15"/>
    <row r="4764" customFormat="1" ht="13" x14ac:dyDescent="0.15"/>
    <row r="4765" customFormat="1" ht="13" x14ac:dyDescent="0.15"/>
    <row r="4766" customFormat="1" ht="13" x14ac:dyDescent="0.15"/>
    <row r="4767" customFormat="1" ht="13" x14ac:dyDescent="0.15"/>
    <row r="4768" customFormat="1" ht="13" x14ac:dyDescent="0.15"/>
    <row r="4769" customFormat="1" ht="13" x14ac:dyDescent="0.15"/>
    <row r="4770" customFormat="1" ht="13" x14ac:dyDescent="0.15"/>
    <row r="4771" customFormat="1" ht="13" x14ac:dyDescent="0.15"/>
    <row r="4772" customFormat="1" ht="13" x14ac:dyDescent="0.15"/>
    <row r="4773" customFormat="1" ht="13" x14ac:dyDescent="0.15"/>
    <row r="4774" customFormat="1" ht="13" x14ac:dyDescent="0.15"/>
    <row r="4775" customFormat="1" ht="13" x14ac:dyDescent="0.15"/>
    <row r="4776" customFormat="1" ht="13" x14ac:dyDescent="0.15"/>
    <row r="4777" customFormat="1" ht="13" x14ac:dyDescent="0.15"/>
    <row r="4778" customFormat="1" ht="13" x14ac:dyDescent="0.15"/>
    <row r="4779" customFormat="1" ht="13" x14ac:dyDescent="0.15"/>
    <row r="4780" customFormat="1" ht="13" x14ac:dyDescent="0.15"/>
    <row r="4781" customFormat="1" ht="13" x14ac:dyDescent="0.15"/>
    <row r="4782" customFormat="1" ht="13" x14ac:dyDescent="0.15"/>
    <row r="4783" customFormat="1" ht="13" x14ac:dyDescent="0.15"/>
    <row r="4784" customFormat="1" ht="13" x14ac:dyDescent="0.15"/>
    <row r="4785" customFormat="1" ht="13" x14ac:dyDescent="0.15"/>
    <row r="4786" customFormat="1" ht="13" x14ac:dyDescent="0.15"/>
    <row r="4787" customFormat="1" ht="13" x14ac:dyDescent="0.15"/>
    <row r="4788" customFormat="1" ht="13" x14ac:dyDescent="0.15"/>
    <row r="4789" customFormat="1" ht="13" x14ac:dyDescent="0.15"/>
    <row r="4790" customFormat="1" ht="13" x14ac:dyDescent="0.15"/>
    <row r="4791" customFormat="1" ht="13" x14ac:dyDescent="0.15"/>
    <row r="4792" customFormat="1" ht="13" x14ac:dyDescent="0.15"/>
    <row r="4793" customFormat="1" ht="13" x14ac:dyDescent="0.15"/>
    <row r="4794" customFormat="1" ht="13" x14ac:dyDescent="0.15"/>
    <row r="4795" customFormat="1" ht="13" x14ac:dyDescent="0.15"/>
    <row r="4796" customFormat="1" ht="13" x14ac:dyDescent="0.15"/>
    <row r="4797" customFormat="1" ht="13" x14ac:dyDescent="0.15"/>
    <row r="4798" customFormat="1" ht="13" x14ac:dyDescent="0.15"/>
    <row r="4799" customFormat="1" ht="13" x14ac:dyDescent="0.15"/>
    <row r="4800" customFormat="1" ht="13" x14ac:dyDescent="0.15"/>
    <row r="4801" customFormat="1" ht="13" x14ac:dyDescent="0.15"/>
    <row r="4802" customFormat="1" ht="13" x14ac:dyDescent="0.15"/>
    <row r="4803" customFormat="1" ht="13" x14ac:dyDescent="0.15"/>
    <row r="4804" customFormat="1" ht="13" x14ac:dyDescent="0.15"/>
    <row r="4805" customFormat="1" ht="13" x14ac:dyDescent="0.15"/>
    <row r="4806" customFormat="1" ht="13" x14ac:dyDescent="0.15"/>
    <row r="4807" customFormat="1" ht="13" x14ac:dyDescent="0.15"/>
    <row r="4808" customFormat="1" ht="13" x14ac:dyDescent="0.15"/>
    <row r="4809" customFormat="1" ht="13" x14ac:dyDescent="0.15"/>
    <row r="4810" customFormat="1" ht="13" x14ac:dyDescent="0.15"/>
    <row r="4811" customFormat="1" ht="13" x14ac:dyDescent="0.15"/>
    <row r="4812" customFormat="1" ht="13" x14ac:dyDescent="0.15"/>
    <row r="4813" customFormat="1" ht="13" x14ac:dyDescent="0.15"/>
    <row r="4814" customFormat="1" ht="13" x14ac:dyDescent="0.15"/>
    <row r="4815" customFormat="1" ht="13" x14ac:dyDescent="0.15"/>
    <row r="4816" customFormat="1" ht="13" x14ac:dyDescent="0.15"/>
    <row r="4817" customFormat="1" ht="13" x14ac:dyDescent="0.15"/>
    <row r="4818" customFormat="1" ht="13" x14ac:dyDescent="0.15"/>
    <row r="4819" customFormat="1" ht="13" x14ac:dyDescent="0.15"/>
    <row r="4820" customFormat="1" ht="13" x14ac:dyDescent="0.15"/>
    <row r="4821" customFormat="1" ht="13" x14ac:dyDescent="0.15"/>
    <row r="4822" customFormat="1" ht="13" x14ac:dyDescent="0.15"/>
    <row r="4823" customFormat="1" ht="13" x14ac:dyDescent="0.15"/>
    <row r="4824" customFormat="1" ht="13" x14ac:dyDescent="0.15"/>
    <row r="4825" customFormat="1" ht="13" x14ac:dyDescent="0.15"/>
    <row r="4826" customFormat="1" ht="13" x14ac:dyDescent="0.15"/>
    <row r="4827" customFormat="1" ht="13" x14ac:dyDescent="0.15"/>
    <row r="4828" customFormat="1" ht="13" x14ac:dyDescent="0.15"/>
    <row r="4829" customFormat="1" ht="13" x14ac:dyDescent="0.15"/>
    <row r="4830" customFormat="1" ht="13" x14ac:dyDescent="0.15"/>
    <row r="4831" customFormat="1" ht="13" x14ac:dyDescent="0.15"/>
    <row r="4832" customFormat="1" ht="13" x14ac:dyDescent="0.15"/>
    <row r="4833" customFormat="1" ht="13" x14ac:dyDescent="0.15"/>
    <row r="4834" customFormat="1" ht="13" x14ac:dyDescent="0.15"/>
    <row r="4835" customFormat="1" ht="13" x14ac:dyDescent="0.15"/>
    <row r="4836" customFormat="1" ht="13" x14ac:dyDescent="0.15"/>
    <row r="4837" customFormat="1" ht="13" x14ac:dyDescent="0.15"/>
    <row r="4838" customFormat="1" ht="13" x14ac:dyDescent="0.15"/>
    <row r="4839" customFormat="1" ht="13" x14ac:dyDescent="0.15"/>
    <row r="4840" customFormat="1" ht="13" x14ac:dyDescent="0.15"/>
    <row r="4841" customFormat="1" ht="13" x14ac:dyDescent="0.15"/>
    <row r="4842" customFormat="1" ht="13" x14ac:dyDescent="0.15"/>
    <row r="4843" customFormat="1" ht="13" x14ac:dyDescent="0.15"/>
    <row r="4844" customFormat="1" ht="13" x14ac:dyDescent="0.15"/>
    <row r="4845" customFormat="1" ht="13" x14ac:dyDescent="0.15"/>
    <row r="4846" customFormat="1" ht="13" x14ac:dyDescent="0.15"/>
    <row r="4847" customFormat="1" ht="13" x14ac:dyDescent="0.15"/>
    <row r="4848" customFormat="1" ht="13" x14ac:dyDescent="0.15"/>
    <row r="4849" customFormat="1" ht="13" x14ac:dyDescent="0.15"/>
    <row r="4850" customFormat="1" ht="13" x14ac:dyDescent="0.15"/>
    <row r="4851" customFormat="1" ht="13" x14ac:dyDescent="0.15"/>
    <row r="4852" customFormat="1" ht="13" x14ac:dyDescent="0.15"/>
    <row r="4853" customFormat="1" ht="13" x14ac:dyDescent="0.15"/>
    <row r="4854" customFormat="1" ht="13" x14ac:dyDescent="0.15"/>
    <row r="4855" customFormat="1" ht="13" x14ac:dyDescent="0.15"/>
    <row r="4856" customFormat="1" ht="13" x14ac:dyDescent="0.15"/>
    <row r="4857" customFormat="1" ht="13" x14ac:dyDescent="0.15"/>
    <row r="4858" customFormat="1" ht="13" x14ac:dyDescent="0.15"/>
    <row r="4859" customFormat="1" ht="13" x14ac:dyDescent="0.15"/>
    <row r="4860" customFormat="1" ht="13" x14ac:dyDescent="0.15"/>
    <row r="4861" customFormat="1" ht="13" x14ac:dyDescent="0.15"/>
    <row r="4862" customFormat="1" ht="13" x14ac:dyDescent="0.15"/>
    <row r="4863" customFormat="1" ht="13" x14ac:dyDescent="0.15"/>
    <row r="4864" customFormat="1" ht="13" x14ac:dyDescent="0.15"/>
    <row r="4865" customFormat="1" ht="13" x14ac:dyDescent="0.15"/>
    <row r="4866" customFormat="1" ht="13" x14ac:dyDescent="0.15"/>
    <row r="4867" customFormat="1" ht="13" x14ac:dyDescent="0.15"/>
    <row r="4868" customFormat="1" ht="13" x14ac:dyDescent="0.15"/>
    <row r="4869" customFormat="1" ht="13" x14ac:dyDescent="0.15"/>
    <row r="4870" customFormat="1" ht="13" x14ac:dyDescent="0.15"/>
    <row r="4871" customFormat="1" ht="13" x14ac:dyDescent="0.15"/>
    <row r="4872" customFormat="1" ht="13" x14ac:dyDescent="0.15"/>
    <row r="4873" customFormat="1" ht="13" x14ac:dyDescent="0.15"/>
    <row r="4874" customFormat="1" ht="13" x14ac:dyDescent="0.15"/>
    <row r="4875" customFormat="1" ht="13" x14ac:dyDescent="0.15"/>
    <row r="4876" customFormat="1" ht="13" x14ac:dyDescent="0.15"/>
    <row r="4877" customFormat="1" ht="13" x14ac:dyDescent="0.15"/>
    <row r="4878" customFormat="1" ht="13" x14ac:dyDescent="0.15"/>
    <row r="4879" customFormat="1" ht="13" x14ac:dyDescent="0.15"/>
    <row r="4880" customFormat="1" ht="13" x14ac:dyDescent="0.15"/>
    <row r="4881" customFormat="1" ht="13" x14ac:dyDescent="0.15"/>
    <row r="4882" customFormat="1" ht="13" x14ac:dyDescent="0.15"/>
    <row r="4883" customFormat="1" ht="13" x14ac:dyDescent="0.15"/>
    <row r="4884" customFormat="1" ht="13" x14ac:dyDescent="0.15"/>
    <row r="4885" customFormat="1" ht="13" x14ac:dyDescent="0.15"/>
    <row r="4886" customFormat="1" ht="13" x14ac:dyDescent="0.15"/>
    <row r="4887" customFormat="1" ht="13" x14ac:dyDescent="0.15"/>
    <row r="4888" customFormat="1" ht="13" x14ac:dyDescent="0.15"/>
    <row r="4889" customFormat="1" ht="13" x14ac:dyDescent="0.15"/>
    <row r="4890" customFormat="1" ht="13" x14ac:dyDescent="0.15"/>
    <row r="4891" customFormat="1" ht="13" x14ac:dyDescent="0.15"/>
    <row r="4892" customFormat="1" ht="13" x14ac:dyDescent="0.15"/>
    <row r="4893" customFormat="1" ht="13" x14ac:dyDescent="0.15"/>
    <row r="4894" customFormat="1" ht="13" x14ac:dyDescent="0.15"/>
    <row r="4895" customFormat="1" ht="13" x14ac:dyDescent="0.15"/>
    <row r="4896" customFormat="1" ht="13" x14ac:dyDescent="0.15"/>
    <row r="4897" customFormat="1" ht="13" x14ac:dyDescent="0.15"/>
    <row r="4898" customFormat="1" ht="13" x14ac:dyDescent="0.15"/>
    <row r="4899" customFormat="1" ht="13" x14ac:dyDescent="0.15"/>
    <row r="4900" customFormat="1" ht="13" x14ac:dyDescent="0.15"/>
    <row r="4901" customFormat="1" ht="13" x14ac:dyDescent="0.15"/>
    <row r="4902" customFormat="1" ht="13" x14ac:dyDescent="0.15"/>
    <row r="4903" customFormat="1" ht="13" x14ac:dyDescent="0.15"/>
    <row r="4904" customFormat="1" ht="13" x14ac:dyDescent="0.15"/>
    <row r="4905" customFormat="1" ht="13" x14ac:dyDescent="0.15"/>
    <row r="4906" customFormat="1" ht="13" x14ac:dyDescent="0.15"/>
    <row r="4907" customFormat="1" ht="13" x14ac:dyDescent="0.15"/>
    <row r="4908" customFormat="1" ht="13" x14ac:dyDescent="0.15"/>
    <row r="4909" customFormat="1" ht="13" x14ac:dyDescent="0.15"/>
    <row r="4910" customFormat="1" ht="13" x14ac:dyDescent="0.15"/>
    <row r="4911" customFormat="1" ht="13" x14ac:dyDescent="0.15"/>
    <row r="4912" customFormat="1" ht="13" x14ac:dyDescent="0.15"/>
    <row r="4913" customFormat="1" ht="13" x14ac:dyDescent="0.15"/>
    <row r="4914" customFormat="1" ht="13" x14ac:dyDescent="0.15"/>
    <row r="4915" customFormat="1" ht="13" x14ac:dyDescent="0.15"/>
    <row r="4916" customFormat="1" ht="13" x14ac:dyDescent="0.15"/>
    <row r="4917" customFormat="1" ht="13" x14ac:dyDescent="0.15"/>
    <row r="4918" customFormat="1" ht="13" x14ac:dyDescent="0.15"/>
    <row r="4919" customFormat="1" ht="13" x14ac:dyDescent="0.15"/>
    <row r="4920" customFormat="1" ht="13" x14ac:dyDescent="0.15"/>
    <row r="4921" customFormat="1" ht="13" x14ac:dyDescent="0.15"/>
    <row r="4922" customFormat="1" ht="13" x14ac:dyDescent="0.15"/>
    <row r="4923" customFormat="1" ht="13" x14ac:dyDescent="0.15"/>
    <row r="4924" customFormat="1" ht="13" x14ac:dyDescent="0.15"/>
    <row r="4925" customFormat="1" ht="13" x14ac:dyDescent="0.15"/>
    <row r="4926" customFormat="1" ht="13" x14ac:dyDescent="0.15"/>
    <row r="4927" customFormat="1" ht="13" x14ac:dyDescent="0.15"/>
    <row r="4928" customFormat="1" ht="13" x14ac:dyDescent="0.15"/>
    <row r="4929" customFormat="1" ht="13" x14ac:dyDescent="0.15"/>
    <row r="4930" customFormat="1" ht="13" x14ac:dyDescent="0.15"/>
    <row r="4931" customFormat="1" ht="13" x14ac:dyDescent="0.15"/>
    <row r="4932" customFormat="1" ht="13" x14ac:dyDescent="0.15"/>
    <row r="4933" customFormat="1" ht="13" x14ac:dyDescent="0.15"/>
    <row r="4934" customFormat="1" ht="13" x14ac:dyDescent="0.15"/>
    <row r="4935" customFormat="1" ht="13" x14ac:dyDescent="0.15"/>
    <row r="4936" customFormat="1" ht="13" x14ac:dyDescent="0.15"/>
    <row r="4937" customFormat="1" ht="13" x14ac:dyDescent="0.15"/>
    <row r="4938" customFormat="1" ht="13" x14ac:dyDescent="0.15"/>
    <row r="4939" customFormat="1" ht="13" x14ac:dyDescent="0.15"/>
    <row r="4940" customFormat="1" ht="13" x14ac:dyDescent="0.15"/>
    <row r="4941" customFormat="1" ht="13" x14ac:dyDescent="0.15"/>
    <row r="4942" customFormat="1" ht="13" x14ac:dyDescent="0.15"/>
    <row r="4943" customFormat="1" ht="13" x14ac:dyDescent="0.15"/>
    <row r="4944" customFormat="1" ht="13" x14ac:dyDescent="0.15"/>
    <row r="4945" customFormat="1" ht="13" x14ac:dyDescent="0.15"/>
    <row r="4946" customFormat="1" ht="13" x14ac:dyDescent="0.15"/>
    <row r="4947" customFormat="1" ht="13" x14ac:dyDescent="0.15"/>
    <row r="4948" customFormat="1" ht="13" x14ac:dyDescent="0.15"/>
    <row r="4949" customFormat="1" ht="13" x14ac:dyDescent="0.15"/>
    <row r="4950" customFormat="1" ht="13" x14ac:dyDescent="0.15"/>
    <row r="4951" customFormat="1" ht="13" x14ac:dyDescent="0.15"/>
    <row r="4952" customFormat="1" ht="13" x14ac:dyDescent="0.15"/>
    <row r="4953" customFormat="1" ht="13" x14ac:dyDescent="0.15"/>
    <row r="4954" customFormat="1" ht="13" x14ac:dyDescent="0.15"/>
    <row r="4955" customFormat="1" ht="13" x14ac:dyDescent="0.15"/>
    <row r="4956" customFormat="1" ht="13" x14ac:dyDescent="0.15"/>
    <row r="4957" customFormat="1" ht="13" x14ac:dyDescent="0.15"/>
    <row r="4958" customFormat="1" ht="13" x14ac:dyDescent="0.15"/>
    <row r="4959" customFormat="1" ht="13" x14ac:dyDescent="0.15"/>
    <row r="4960" customFormat="1" ht="13" x14ac:dyDescent="0.15"/>
    <row r="4961" customFormat="1" ht="13" x14ac:dyDescent="0.15"/>
    <row r="4962" customFormat="1" ht="13" x14ac:dyDescent="0.15"/>
    <row r="4963" customFormat="1" ht="13" x14ac:dyDescent="0.15"/>
    <row r="4964" customFormat="1" ht="13" x14ac:dyDescent="0.15"/>
    <row r="4965" customFormat="1" ht="13" x14ac:dyDescent="0.15"/>
    <row r="4966" customFormat="1" ht="13" x14ac:dyDescent="0.15"/>
    <row r="4967" customFormat="1" ht="13" x14ac:dyDescent="0.15"/>
    <row r="4968" customFormat="1" ht="13" x14ac:dyDescent="0.15"/>
    <row r="4969" customFormat="1" ht="13" x14ac:dyDescent="0.15"/>
    <row r="4970" customFormat="1" ht="13" x14ac:dyDescent="0.15"/>
    <row r="4971" customFormat="1" ht="13" x14ac:dyDescent="0.15"/>
    <row r="4972" customFormat="1" ht="13" x14ac:dyDescent="0.15"/>
    <row r="4973" customFormat="1" ht="13" x14ac:dyDescent="0.15"/>
    <row r="4974" customFormat="1" ht="13" x14ac:dyDescent="0.15"/>
    <row r="4975" customFormat="1" ht="13" x14ac:dyDescent="0.15"/>
    <row r="4976" customFormat="1" ht="13" x14ac:dyDescent="0.15"/>
    <row r="4977" customFormat="1" ht="13" x14ac:dyDescent="0.15"/>
    <row r="4978" customFormat="1" ht="13" x14ac:dyDescent="0.15"/>
    <row r="4979" customFormat="1" ht="13" x14ac:dyDescent="0.15"/>
    <row r="4980" customFormat="1" ht="13" x14ac:dyDescent="0.15"/>
    <row r="4981" customFormat="1" ht="13" x14ac:dyDescent="0.15"/>
    <row r="4982" customFormat="1" ht="13" x14ac:dyDescent="0.15"/>
    <row r="4983" customFormat="1" ht="13" x14ac:dyDescent="0.15"/>
    <row r="4984" customFormat="1" ht="13" x14ac:dyDescent="0.15"/>
    <row r="4985" customFormat="1" ht="13" x14ac:dyDescent="0.15"/>
    <row r="4986" customFormat="1" ht="13" x14ac:dyDescent="0.15"/>
    <row r="4987" customFormat="1" ht="13" x14ac:dyDescent="0.15"/>
    <row r="4988" customFormat="1" ht="13" x14ac:dyDescent="0.15"/>
    <row r="4989" customFormat="1" ht="13" x14ac:dyDescent="0.15"/>
    <row r="4990" customFormat="1" ht="13" x14ac:dyDescent="0.15"/>
    <row r="4991" customFormat="1" ht="13" x14ac:dyDescent="0.15"/>
    <row r="4992" customFormat="1" ht="13" x14ac:dyDescent="0.15"/>
    <row r="4993" customFormat="1" ht="13" x14ac:dyDescent="0.15"/>
    <row r="4994" customFormat="1" ht="13" x14ac:dyDescent="0.15"/>
    <row r="4995" customFormat="1" ht="13" x14ac:dyDescent="0.15"/>
    <row r="4996" customFormat="1" ht="13" x14ac:dyDescent="0.15"/>
    <row r="4997" customFormat="1" ht="13" x14ac:dyDescent="0.15"/>
    <row r="4998" customFormat="1" ht="13" x14ac:dyDescent="0.15"/>
    <row r="4999" customFormat="1" ht="13" x14ac:dyDescent="0.15"/>
    <row r="5000" customFormat="1" ht="13" x14ac:dyDescent="0.15"/>
    <row r="5001" customFormat="1" ht="13" x14ac:dyDescent="0.15"/>
    <row r="5002" customFormat="1" ht="13" x14ac:dyDescent="0.15"/>
    <row r="5003" customFormat="1" ht="13" x14ac:dyDescent="0.15"/>
    <row r="5004" customFormat="1" ht="13" x14ac:dyDescent="0.15"/>
    <row r="5005" customFormat="1" ht="13" x14ac:dyDescent="0.15"/>
    <row r="5006" customFormat="1" ht="13" x14ac:dyDescent="0.15"/>
    <row r="5007" customFormat="1" ht="13" x14ac:dyDescent="0.15"/>
    <row r="5008" customFormat="1" ht="13" x14ac:dyDescent="0.15"/>
    <row r="5009" customFormat="1" ht="13" x14ac:dyDescent="0.15"/>
    <row r="5010" customFormat="1" ht="13" x14ac:dyDescent="0.15"/>
    <row r="5011" customFormat="1" ht="13" x14ac:dyDescent="0.15"/>
    <row r="5012" customFormat="1" ht="13" x14ac:dyDescent="0.15"/>
    <row r="5013" customFormat="1" ht="13" x14ac:dyDescent="0.15"/>
    <row r="5014" customFormat="1" ht="13" x14ac:dyDescent="0.15"/>
    <row r="5015" customFormat="1" ht="13" x14ac:dyDescent="0.15"/>
    <row r="5016" customFormat="1" ht="13" x14ac:dyDescent="0.15"/>
    <row r="5017" customFormat="1" ht="13" x14ac:dyDescent="0.15"/>
    <row r="5018" customFormat="1" ht="13" x14ac:dyDescent="0.15"/>
    <row r="5019" customFormat="1" ht="13" x14ac:dyDescent="0.15"/>
    <row r="5020" customFormat="1" ht="13" x14ac:dyDescent="0.15"/>
    <row r="5021" customFormat="1" ht="13" x14ac:dyDescent="0.15"/>
    <row r="5022" customFormat="1" ht="13" x14ac:dyDescent="0.15"/>
    <row r="5023" customFormat="1" ht="13" x14ac:dyDescent="0.15"/>
    <row r="5024" customFormat="1" ht="13" x14ac:dyDescent="0.15"/>
    <row r="5025" customFormat="1" ht="13" x14ac:dyDescent="0.15"/>
    <row r="5026" customFormat="1" ht="13" x14ac:dyDescent="0.15"/>
    <row r="5027" customFormat="1" ht="13" x14ac:dyDescent="0.15"/>
    <row r="5028" customFormat="1" ht="13" x14ac:dyDescent="0.15"/>
    <row r="5029" customFormat="1" ht="13" x14ac:dyDescent="0.15"/>
    <row r="5030" customFormat="1" ht="13" x14ac:dyDescent="0.15"/>
    <row r="5031" customFormat="1" ht="13" x14ac:dyDescent="0.15"/>
    <row r="5032" customFormat="1" ht="13" x14ac:dyDescent="0.15"/>
    <row r="5033" customFormat="1" ht="13" x14ac:dyDescent="0.15"/>
    <row r="5034" customFormat="1" ht="13" x14ac:dyDescent="0.15"/>
    <row r="5035" customFormat="1" ht="13" x14ac:dyDescent="0.15"/>
    <row r="5036" customFormat="1" ht="13" x14ac:dyDescent="0.15"/>
    <row r="5037" customFormat="1" ht="13" x14ac:dyDescent="0.15"/>
    <row r="5038" customFormat="1" ht="13" x14ac:dyDescent="0.15"/>
    <row r="5039" customFormat="1" ht="13" x14ac:dyDescent="0.15"/>
    <row r="5040" customFormat="1" ht="13" x14ac:dyDescent="0.15"/>
    <row r="5041" customFormat="1" ht="13" x14ac:dyDescent="0.15"/>
    <row r="5042" customFormat="1" ht="13" x14ac:dyDescent="0.15"/>
    <row r="5043" customFormat="1" ht="13" x14ac:dyDescent="0.15"/>
    <row r="5044" customFormat="1" ht="13" x14ac:dyDescent="0.15"/>
    <row r="5045" customFormat="1" ht="13" x14ac:dyDescent="0.15"/>
    <row r="5046" customFormat="1" ht="13" x14ac:dyDescent="0.15"/>
    <row r="5047" customFormat="1" ht="13" x14ac:dyDescent="0.15"/>
    <row r="5048" customFormat="1" ht="13" x14ac:dyDescent="0.15"/>
    <row r="5049" customFormat="1" ht="13" x14ac:dyDescent="0.15"/>
    <row r="5050" customFormat="1" ht="13" x14ac:dyDescent="0.15"/>
    <row r="5051" customFormat="1" ht="13" x14ac:dyDescent="0.15"/>
    <row r="5052" customFormat="1" ht="13" x14ac:dyDescent="0.15"/>
    <row r="5053" customFormat="1" ht="13" x14ac:dyDescent="0.15"/>
    <row r="5054" customFormat="1" ht="13" x14ac:dyDescent="0.15"/>
    <row r="5055" customFormat="1" ht="13" x14ac:dyDescent="0.15"/>
    <row r="5056" customFormat="1" ht="13" x14ac:dyDescent="0.15"/>
    <row r="5057" customFormat="1" ht="13" x14ac:dyDescent="0.15"/>
    <row r="5058" customFormat="1" ht="13" x14ac:dyDescent="0.15"/>
    <row r="5059" customFormat="1" ht="13" x14ac:dyDescent="0.15"/>
    <row r="5060" customFormat="1" ht="13" x14ac:dyDescent="0.15"/>
    <row r="5061" customFormat="1" ht="13" x14ac:dyDescent="0.15"/>
    <row r="5062" customFormat="1" ht="13" x14ac:dyDescent="0.15"/>
    <row r="5063" customFormat="1" ht="13" x14ac:dyDescent="0.15"/>
    <row r="5064" customFormat="1" ht="13" x14ac:dyDescent="0.15"/>
    <row r="5065" customFormat="1" ht="13" x14ac:dyDescent="0.15"/>
    <row r="5066" customFormat="1" ht="13" x14ac:dyDescent="0.15"/>
    <row r="5067" customFormat="1" ht="13" x14ac:dyDescent="0.15"/>
    <row r="5068" customFormat="1" ht="13" x14ac:dyDescent="0.15"/>
    <row r="5069" customFormat="1" ht="13" x14ac:dyDescent="0.15"/>
    <row r="5070" customFormat="1" ht="13" x14ac:dyDescent="0.15"/>
    <row r="5071" customFormat="1" ht="13" x14ac:dyDescent="0.15"/>
    <row r="5072" customFormat="1" ht="13" x14ac:dyDescent="0.15"/>
    <row r="5073" customFormat="1" ht="13" x14ac:dyDescent="0.15"/>
    <row r="5074" customFormat="1" ht="13" x14ac:dyDescent="0.15"/>
    <row r="5075" customFormat="1" ht="13" x14ac:dyDescent="0.15"/>
    <row r="5076" customFormat="1" ht="13" x14ac:dyDescent="0.15"/>
    <row r="5077" customFormat="1" ht="13" x14ac:dyDescent="0.15"/>
    <row r="5078" customFormat="1" ht="13" x14ac:dyDescent="0.15"/>
    <row r="5079" customFormat="1" ht="13" x14ac:dyDescent="0.15"/>
    <row r="5080" customFormat="1" ht="13" x14ac:dyDescent="0.15"/>
    <row r="5081" customFormat="1" ht="13" x14ac:dyDescent="0.15"/>
    <row r="5082" customFormat="1" ht="13" x14ac:dyDescent="0.15"/>
    <row r="5083" customFormat="1" ht="13" x14ac:dyDescent="0.15"/>
    <row r="5084" customFormat="1" ht="13" x14ac:dyDescent="0.15"/>
    <row r="5085" customFormat="1" ht="13" x14ac:dyDescent="0.15"/>
    <row r="5086" customFormat="1" ht="13" x14ac:dyDescent="0.15"/>
    <row r="5087" customFormat="1" ht="13" x14ac:dyDescent="0.15"/>
    <row r="5088" customFormat="1" ht="13" x14ac:dyDescent="0.15"/>
    <row r="5089" customFormat="1" ht="13" x14ac:dyDescent="0.15"/>
    <row r="5090" customFormat="1" ht="13" x14ac:dyDescent="0.15"/>
    <row r="5091" customFormat="1" ht="13" x14ac:dyDescent="0.15"/>
    <row r="5092" customFormat="1" ht="13" x14ac:dyDescent="0.15"/>
    <row r="5093" customFormat="1" ht="13" x14ac:dyDescent="0.15"/>
    <row r="5094" customFormat="1" ht="13" x14ac:dyDescent="0.15"/>
    <row r="5095" customFormat="1" ht="13" x14ac:dyDescent="0.15"/>
    <row r="5096" customFormat="1" ht="13" x14ac:dyDescent="0.15"/>
    <row r="5097" customFormat="1" ht="13" x14ac:dyDescent="0.15"/>
    <row r="5098" customFormat="1" ht="13" x14ac:dyDescent="0.15"/>
    <row r="5099" customFormat="1" ht="13" x14ac:dyDescent="0.15"/>
    <row r="5100" customFormat="1" ht="13" x14ac:dyDescent="0.15"/>
    <row r="5101" customFormat="1" ht="13" x14ac:dyDescent="0.15"/>
    <row r="5102" customFormat="1" ht="13" x14ac:dyDescent="0.15"/>
    <row r="5103" customFormat="1" ht="13" x14ac:dyDescent="0.15"/>
    <row r="5104" customFormat="1" ht="13" x14ac:dyDescent="0.15"/>
    <row r="5105" customFormat="1" ht="13" x14ac:dyDescent="0.15"/>
    <row r="5106" customFormat="1" ht="13" x14ac:dyDescent="0.15"/>
    <row r="5107" customFormat="1" ht="13" x14ac:dyDescent="0.15"/>
    <row r="5108" customFormat="1" ht="13" x14ac:dyDescent="0.15"/>
    <row r="5109" customFormat="1" ht="13" x14ac:dyDescent="0.15"/>
    <row r="5110" customFormat="1" ht="13" x14ac:dyDescent="0.15"/>
    <row r="5111" customFormat="1" ht="13" x14ac:dyDescent="0.15"/>
    <row r="5112" customFormat="1" ht="13" x14ac:dyDescent="0.15"/>
    <row r="5113" customFormat="1" ht="13" x14ac:dyDescent="0.15"/>
    <row r="5114" customFormat="1" ht="13" x14ac:dyDescent="0.15"/>
    <row r="5115" customFormat="1" ht="13" x14ac:dyDescent="0.15"/>
    <row r="5116" customFormat="1" ht="13" x14ac:dyDescent="0.15"/>
    <row r="5117" customFormat="1" ht="13" x14ac:dyDescent="0.15"/>
    <row r="5118" customFormat="1" ht="13" x14ac:dyDescent="0.15"/>
    <row r="5119" customFormat="1" ht="13" x14ac:dyDescent="0.15"/>
    <row r="5120" customFormat="1" ht="13" x14ac:dyDescent="0.15"/>
    <row r="5121" customFormat="1" ht="13" x14ac:dyDescent="0.15"/>
    <row r="5122" customFormat="1" ht="13" x14ac:dyDescent="0.15"/>
    <row r="5123" customFormat="1" ht="13" x14ac:dyDescent="0.15"/>
    <row r="5124" customFormat="1" ht="13" x14ac:dyDescent="0.15"/>
    <row r="5125" customFormat="1" ht="13" x14ac:dyDescent="0.15"/>
    <row r="5126" customFormat="1" ht="13" x14ac:dyDescent="0.15"/>
    <row r="5127" customFormat="1" ht="13" x14ac:dyDescent="0.15"/>
    <row r="5128" customFormat="1" ht="13" x14ac:dyDescent="0.15"/>
    <row r="5129" customFormat="1" ht="13" x14ac:dyDescent="0.15"/>
    <row r="5130" customFormat="1" ht="13" x14ac:dyDescent="0.15"/>
    <row r="5131" customFormat="1" ht="13" x14ac:dyDescent="0.15"/>
    <row r="5132" customFormat="1" ht="13" x14ac:dyDescent="0.15"/>
    <row r="5133" customFormat="1" ht="13" x14ac:dyDescent="0.15"/>
    <row r="5134" customFormat="1" ht="13" x14ac:dyDescent="0.15"/>
    <row r="5135" customFormat="1" ht="13" x14ac:dyDescent="0.15"/>
    <row r="5136" customFormat="1" ht="13" x14ac:dyDescent="0.15"/>
    <row r="5137" customFormat="1" ht="13" x14ac:dyDescent="0.15"/>
    <row r="5138" customFormat="1" ht="13" x14ac:dyDescent="0.15"/>
    <row r="5139" customFormat="1" ht="13" x14ac:dyDescent="0.15"/>
    <row r="5140" customFormat="1" ht="13" x14ac:dyDescent="0.15"/>
    <row r="5141" customFormat="1" ht="13" x14ac:dyDescent="0.15"/>
    <row r="5142" customFormat="1" ht="13" x14ac:dyDescent="0.15"/>
    <row r="5143" customFormat="1" ht="13" x14ac:dyDescent="0.15"/>
    <row r="5144" customFormat="1" ht="13" x14ac:dyDescent="0.15"/>
    <row r="5145" customFormat="1" ht="13" x14ac:dyDescent="0.15"/>
    <row r="5146" customFormat="1" ht="13" x14ac:dyDescent="0.15"/>
    <row r="5147" customFormat="1" ht="13" x14ac:dyDescent="0.15"/>
    <row r="5148" customFormat="1" ht="13" x14ac:dyDescent="0.15"/>
    <row r="5149" customFormat="1" ht="13" x14ac:dyDescent="0.15"/>
    <row r="5150" customFormat="1" ht="13" x14ac:dyDescent="0.15"/>
    <row r="5151" customFormat="1" ht="13" x14ac:dyDescent="0.15"/>
    <row r="5152" customFormat="1" ht="13" x14ac:dyDescent="0.15"/>
    <row r="5153" customFormat="1" ht="13" x14ac:dyDescent="0.15"/>
    <row r="5154" customFormat="1" ht="13" x14ac:dyDescent="0.15"/>
    <row r="5155" customFormat="1" ht="13" x14ac:dyDescent="0.15"/>
    <row r="5156" customFormat="1" ht="13" x14ac:dyDescent="0.15"/>
    <row r="5157" customFormat="1" ht="13" x14ac:dyDescent="0.15"/>
    <row r="5158" customFormat="1" ht="13" x14ac:dyDescent="0.15"/>
    <row r="5159" customFormat="1" ht="13" x14ac:dyDescent="0.15"/>
    <row r="5160" customFormat="1" ht="13" x14ac:dyDescent="0.15"/>
    <row r="5161" customFormat="1" ht="13" x14ac:dyDescent="0.15"/>
    <row r="5162" customFormat="1" ht="13" x14ac:dyDescent="0.15"/>
    <row r="5163" customFormat="1" ht="13" x14ac:dyDescent="0.15"/>
    <row r="5164" customFormat="1" ht="13" x14ac:dyDescent="0.15"/>
    <row r="5165" customFormat="1" ht="13" x14ac:dyDescent="0.15"/>
    <row r="5166" customFormat="1" ht="13" x14ac:dyDescent="0.15"/>
    <row r="5167" customFormat="1" ht="13" x14ac:dyDescent="0.15"/>
    <row r="5168" customFormat="1" ht="13" x14ac:dyDescent="0.15"/>
    <row r="5169" customFormat="1" ht="13" x14ac:dyDescent="0.15"/>
    <row r="5170" customFormat="1" ht="13" x14ac:dyDescent="0.15"/>
    <row r="5171" customFormat="1" ht="13" x14ac:dyDescent="0.15"/>
    <row r="5172" customFormat="1" ht="13" x14ac:dyDescent="0.15"/>
    <row r="5173" customFormat="1" ht="13" x14ac:dyDescent="0.15"/>
    <row r="5174" customFormat="1" ht="13" x14ac:dyDescent="0.15"/>
    <row r="5175" customFormat="1" ht="13" x14ac:dyDescent="0.15"/>
    <row r="5176" customFormat="1" ht="13" x14ac:dyDescent="0.15"/>
    <row r="5177" customFormat="1" ht="13" x14ac:dyDescent="0.15"/>
    <row r="5178" customFormat="1" ht="13" x14ac:dyDescent="0.15"/>
    <row r="5179" customFormat="1" ht="13" x14ac:dyDescent="0.15"/>
    <row r="5180" customFormat="1" ht="13" x14ac:dyDescent="0.15"/>
    <row r="5181" customFormat="1" ht="13" x14ac:dyDescent="0.15"/>
    <row r="5182" customFormat="1" ht="13" x14ac:dyDescent="0.15"/>
    <row r="5183" customFormat="1" ht="13" x14ac:dyDescent="0.15"/>
    <row r="5184" customFormat="1" ht="13" x14ac:dyDescent="0.15"/>
    <row r="5185" customFormat="1" ht="13" x14ac:dyDescent="0.15"/>
    <row r="5186" customFormat="1" ht="13" x14ac:dyDescent="0.15"/>
    <row r="5187" customFormat="1" ht="13" x14ac:dyDescent="0.15"/>
    <row r="5188" customFormat="1" ht="13" x14ac:dyDescent="0.15"/>
    <row r="5189" customFormat="1" ht="13" x14ac:dyDescent="0.15"/>
    <row r="5190" customFormat="1" ht="13" x14ac:dyDescent="0.15"/>
    <row r="5191" customFormat="1" ht="13" x14ac:dyDescent="0.15"/>
    <row r="5192" customFormat="1" ht="13" x14ac:dyDescent="0.15"/>
    <row r="5193" customFormat="1" ht="13" x14ac:dyDescent="0.15"/>
    <row r="5194" customFormat="1" ht="13" x14ac:dyDescent="0.15"/>
    <row r="5195" customFormat="1" ht="13" x14ac:dyDescent="0.15"/>
    <row r="5196" customFormat="1" ht="13" x14ac:dyDescent="0.15"/>
    <row r="5197" customFormat="1" ht="13" x14ac:dyDescent="0.15"/>
    <row r="5198" customFormat="1" ht="13" x14ac:dyDescent="0.15"/>
    <row r="5199" customFormat="1" ht="13" x14ac:dyDescent="0.15"/>
    <row r="5200" customFormat="1" ht="13" x14ac:dyDescent="0.15"/>
    <row r="5201" customFormat="1" ht="13" x14ac:dyDescent="0.15"/>
    <row r="5202" customFormat="1" ht="13" x14ac:dyDescent="0.15"/>
    <row r="5203" customFormat="1" ht="13" x14ac:dyDescent="0.15"/>
    <row r="5204" customFormat="1" ht="13" x14ac:dyDescent="0.15"/>
    <row r="5205" customFormat="1" ht="13" x14ac:dyDescent="0.15"/>
    <row r="5206" customFormat="1" ht="13" x14ac:dyDescent="0.15"/>
    <row r="5207" customFormat="1" ht="13" x14ac:dyDescent="0.15"/>
    <row r="5208" customFormat="1" ht="13" x14ac:dyDescent="0.15"/>
    <row r="5209" customFormat="1" ht="13" x14ac:dyDescent="0.15"/>
    <row r="5210" customFormat="1" ht="13" x14ac:dyDescent="0.15"/>
    <row r="5211" customFormat="1" ht="13" x14ac:dyDescent="0.15"/>
    <row r="5212" customFormat="1" ht="13" x14ac:dyDescent="0.15"/>
    <row r="5213" customFormat="1" ht="13" x14ac:dyDescent="0.15"/>
    <row r="5214" customFormat="1" ht="13" x14ac:dyDescent="0.15"/>
    <row r="5215" customFormat="1" ht="13" x14ac:dyDescent="0.15"/>
    <row r="5216" customFormat="1" ht="13" x14ac:dyDescent="0.15"/>
    <row r="5217" customFormat="1" ht="13" x14ac:dyDescent="0.15"/>
    <row r="5218" customFormat="1" ht="13" x14ac:dyDescent="0.15"/>
    <row r="5219" customFormat="1" ht="13" x14ac:dyDescent="0.15"/>
    <row r="5220" customFormat="1" ht="13" x14ac:dyDescent="0.15"/>
    <row r="5221" customFormat="1" ht="13" x14ac:dyDescent="0.15"/>
    <row r="5222" customFormat="1" ht="13" x14ac:dyDescent="0.15"/>
    <row r="5223" customFormat="1" ht="13" x14ac:dyDescent="0.15"/>
    <row r="5224" customFormat="1" ht="13" x14ac:dyDescent="0.15"/>
    <row r="5225" customFormat="1" ht="13" x14ac:dyDescent="0.15"/>
    <row r="5226" customFormat="1" ht="13" x14ac:dyDescent="0.15"/>
    <row r="5227" customFormat="1" ht="13" x14ac:dyDescent="0.15"/>
    <row r="5228" customFormat="1" ht="13" x14ac:dyDescent="0.15"/>
    <row r="5229" customFormat="1" ht="13" x14ac:dyDescent="0.15"/>
    <row r="5230" customFormat="1" ht="13" x14ac:dyDescent="0.15"/>
    <row r="5231" customFormat="1" ht="13" x14ac:dyDescent="0.15"/>
    <row r="5232" customFormat="1" ht="13" x14ac:dyDescent="0.15"/>
    <row r="5233" customFormat="1" ht="13" x14ac:dyDescent="0.15"/>
    <row r="5234" customFormat="1" ht="13" x14ac:dyDescent="0.15"/>
    <row r="5235" customFormat="1" ht="13" x14ac:dyDescent="0.15"/>
    <row r="5236" customFormat="1" ht="13" x14ac:dyDescent="0.15"/>
    <row r="5237" customFormat="1" ht="13" x14ac:dyDescent="0.15"/>
    <row r="5238" customFormat="1" ht="13" x14ac:dyDescent="0.15"/>
    <row r="5239" customFormat="1" ht="13" x14ac:dyDescent="0.15"/>
    <row r="5240" customFormat="1" ht="13" x14ac:dyDescent="0.15"/>
    <row r="5241" customFormat="1" ht="13" x14ac:dyDescent="0.15"/>
    <row r="5242" customFormat="1" ht="13" x14ac:dyDescent="0.15"/>
    <row r="5243" customFormat="1" ht="13" x14ac:dyDescent="0.15"/>
    <row r="5244" customFormat="1" ht="13" x14ac:dyDescent="0.15"/>
    <row r="5245" customFormat="1" ht="13" x14ac:dyDescent="0.15"/>
    <row r="5246" customFormat="1" ht="13" x14ac:dyDescent="0.15"/>
    <row r="5247" customFormat="1" ht="13" x14ac:dyDescent="0.15"/>
    <row r="5248" customFormat="1" ht="13" x14ac:dyDescent="0.15"/>
    <row r="5249" customFormat="1" ht="13" x14ac:dyDescent="0.15"/>
    <row r="5250" customFormat="1" ht="13" x14ac:dyDescent="0.15"/>
    <row r="5251" customFormat="1" ht="13" x14ac:dyDescent="0.15"/>
    <row r="5252" customFormat="1" ht="13" x14ac:dyDescent="0.15"/>
    <row r="5253" customFormat="1" ht="13" x14ac:dyDescent="0.15"/>
    <row r="5254" customFormat="1" ht="13" x14ac:dyDescent="0.15"/>
    <row r="5255" customFormat="1" ht="13" x14ac:dyDescent="0.15"/>
    <row r="5256" customFormat="1" ht="13" x14ac:dyDescent="0.15"/>
    <row r="5257" customFormat="1" ht="13" x14ac:dyDescent="0.15"/>
    <row r="5258" customFormat="1" ht="13" x14ac:dyDescent="0.15"/>
    <row r="5259" customFormat="1" ht="13" x14ac:dyDescent="0.15"/>
    <row r="5260" customFormat="1" ht="13" x14ac:dyDescent="0.15"/>
    <row r="5261" customFormat="1" ht="13" x14ac:dyDescent="0.15"/>
    <row r="5262" customFormat="1" ht="13" x14ac:dyDescent="0.15"/>
    <row r="5263" customFormat="1" ht="13" x14ac:dyDescent="0.15"/>
    <row r="5264" customFormat="1" ht="13" x14ac:dyDescent="0.15"/>
    <row r="5265" customFormat="1" ht="13" x14ac:dyDescent="0.15"/>
    <row r="5266" customFormat="1" ht="13" x14ac:dyDescent="0.15"/>
    <row r="5267" customFormat="1" ht="13" x14ac:dyDescent="0.15"/>
    <row r="5268" customFormat="1" ht="13" x14ac:dyDescent="0.15"/>
    <row r="5269" customFormat="1" ht="13" x14ac:dyDescent="0.15"/>
    <row r="5270" customFormat="1" ht="13" x14ac:dyDescent="0.15"/>
    <row r="5271" customFormat="1" ht="13" x14ac:dyDescent="0.15"/>
    <row r="5272" customFormat="1" ht="13" x14ac:dyDescent="0.15"/>
    <row r="5273" customFormat="1" ht="13" x14ac:dyDescent="0.15"/>
    <row r="5274" customFormat="1" ht="13" x14ac:dyDescent="0.15"/>
    <row r="5275" customFormat="1" ht="13" x14ac:dyDescent="0.15"/>
    <row r="5276" customFormat="1" ht="13" x14ac:dyDescent="0.15"/>
    <row r="5277" customFormat="1" ht="13" x14ac:dyDescent="0.15"/>
    <row r="5278" customFormat="1" ht="13" x14ac:dyDescent="0.15"/>
    <row r="5279" customFormat="1" ht="13" x14ac:dyDescent="0.15"/>
    <row r="5280" customFormat="1" ht="13" x14ac:dyDescent="0.15"/>
    <row r="5281" customFormat="1" ht="13" x14ac:dyDescent="0.15"/>
    <row r="5282" customFormat="1" ht="13" x14ac:dyDescent="0.15"/>
    <row r="5283" customFormat="1" ht="13" x14ac:dyDescent="0.15"/>
    <row r="5284" customFormat="1" ht="13" x14ac:dyDescent="0.15"/>
    <row r="5285" customFormat="1" ht="13" x14ac:dyDescent="0.15"/>
    <row r="5286" customFormat="1" ht="13" x14ac:dyDescent="0.15"/>
    <row r="5287" customFormat="1" ht="13" x14ac:dyDescent="0.15"/>
    <row r="5288" customFormat="1" ht="13" x14ac:dyDescent="0.15"/>
    <row r="5289" customFormat="1" ht="13" x14ac:dyDescent="0.15"/>
    <row r="5290" customFormat="1" ht="13" x14ac:dyDescent="0.15"/>
    <row r="5291" customFormat="1" ht="13" x14ac:dyDescent="0.15"/>
    <row r="5292" customFormat="1" ht="13" x14ac:dyDescent="0.15"/>
    <row r="5293" customFormat="1" ht="13" x14ac:dyDescent="0.15"/>
    <row r="5294" customFormat="1" ht="13" x14ac:dyDescent="0.15"/>
    <row r="5295" customFormat="1" ht="13" x14ac:dyDescent="0.15"/>
    <row r="5296" customFormat="1" ht="13" x14ac:dyDescent="0.15"/>
    <row r="5297" customFormat="1" ht="13" x14ac:dyDescent="0.15"/>
    <row r="5298" customFormat="1" ht="13" x14ac:dyDescent="0.15"/>
    <row r="5299" customFormat="1" ht="13" x14ac:dyDescent="0.15"/>
    <row r="5300" customFormat="1" ht="13" x14ac:dyDescent="0.15"/>
    <row r="5301" customFormat="1" ht="13" x14ac:dyDescent="0.15"/>
    <row r="5302" customFormat="1" ht="13" x14ac:dyDescent="0.15"/>
    <row r="5303" customFormat="1" ht="13" x14ac:dyDescent="0.15"/>
    <row r="5304" customFormat="1" ht="13" x14ac:dyDescent="0.15"/>
    <row r="5305" customFormat="1" ht="13" x14ac:dyDescent="0.15"/>
    <row r="5306" customFormat="1" ht="13" x14ac:dyDescent="0.15"/>
    <row r="5307" customFormat="1" ht="13" x14ac:dyDescent="0.15"/>
    <row r="5308" customFormat="1" ht="13" x14ac:dyDescent="0.15"/>
    <row r="5309" customFormat="1" ht="13" x14ac:dyDescent="0.15"/>
    <row r="5310" customFormat="1" ht="13" x14ac:dyDescent="0.15"/>
    <row r="5311" customFormat="1" ht="13" x14ac:dyDescent="0.15"/>
    <row r="5312" customFormat="1" ht="13" x14ac:dyDescent="0.15"/>
    <row r="5313" customFormat="1" ht="13" x14ac:dyDescent="0.15"/>
    <row r="5314" customFormat="1" ht="13" x14ac:dyDescent="0.15"/>
    <row r="5315" customFormat="1" ht="13" x14ac:dyDescent="0.15"/>
    <row r="5316" customFormat="1" ht="13" x14ac:dyDescent="0.15"/>
    <row r="5317" customFormat="1" ht="13" x14ac:dyDescent="0.15"/>
    <row r="5318" customFormat="1" ht="13" x14ac:dyDescent="0.15"/>
    <row r="5319" customFormat="1" ht="13" x14ac:dyDescent="0.15"/>
    <row r="5320" customFormat="1" ht="13" x14ac:dyDescent="0.15"/>
    <row r="5321" customFormat="1" ht="13" x14ac:dyDescent="0.15"/>
    <row r="5322" customFormat="1" ht="13" x14ac:dyDescent="0.15"/>
    <row r="5323" customFormat="1" ht="13" x14ac:dyDescent="0.15"/>
    <row r="5324" customFormat="1" ht="13" x14ac:dyDescent="0.15"/>
    <row r="5325" customFormat="1" ht="13" x14ac:dyDescent="0.15"/>
    <row r="5326" customFormat="1" ht="13" x14ac:dyDescent="0.15"/>
    <row r="5327" customFormat="1" ht="13" x14ac:dyDescent="0.15"/>
    <row r="5328" customFormat="1" ht="13" x14ac:dyDescent="0.15"/>
    <row r="5329" customFormat="1" ht="13" x14ac:dyDescent="0.15"/>
    <row r="5330" customFormat="1" ht="13" x14ac:dyDescent="0.15"/>
    <row r="5331" customFormat="1" ht="13" x14ac:dyDescent="0.15"/>
    <row r="5332" customFormat="1" ht="13" x14ac:dyDescent="0.15"/>
    <row r="5333" customFormat="1" ht="13" x14ac:dyDescent="0.15"/>
    <row r="5334" customFormat="1" ht="13" x14ac:dyDescent="0.15"/>
    <row r="5335" customFormat="1" ht="13" x14ac:dyDescent="0.15"/>
    <row r="5336" customFormat="1" ht="13" x14ac:dyDescent="0.15"/>
    <row r="5337" customFormat="1" ht="13" x14ac:dyDescent="0.15"/>
    <row r="5338" customFormat="1" ht="13" x14ac:dyDescent="0.15"/>
    <row r="5339" customFormat="1" ht="13" x14ac:dyDescent="0.15"/>
    <row r="5340" customFormat="1" ht="13" x14ac:dyDescent="0.15"/>
    <row r="5341" customFormat="1" ht="13" x14ac:dyDescent="0.15"/>
    <row r="5342" customFormat="1" ht="13" x14ac:dyDescent="0.15"/>
    <row r="5343" customFormat="1" ht="13" x14ac:dyDescent="0.15"/>
    <row r="5344" customFormat="1" ht="13" x14ac:dyDescent="0.15"/>
    <row r="5345" customFormat="1" ht="13" x14ac:dyDescent="0.15"/>
    <row r="5346" customFormat="1" ht="13" x14ac:dyDescent="0.15"/>
    <row r="5347" customFormat="1" ht="13" x14ac:dyDescent="0.15"/>
    <row r="5348" customFormat="1" ht="13" x14ac:dyDescent="0.15"/>
    <row r="5349" customFormat="1" ht="13" x14ac:dyDescent="0.15"/>
    <row r="5350" customFormat="1" ht="13" x14ac:dyDescent="0.15"/>
    <row r="5351" customFormat="1" ht="13" x14ac:dyDescent="0.15"/>
    <row r="5352" customFormat="1" ht="13" x14ac:dyDescent="0.15"/>
    <row r="5353" customFormat="1" ht="13" x14ac:dyDescent="0.15"/>
    <row r="5354" customFormat="1" ht="13" x14ac:dyDescent="0.15"/>
    <row r="5355" customFormat="1" ht="13" x14ac:dyDescent="0.15"/>
    <row r="5356" customFormat="1" ht="13" x14ac:dyDescent="0.15"/>
    <row r="5357" customFormat="1" ht="13" x14ac:dyDescent="0.15"/>
    <row r="5358" customFormat="1" ht="13" x14ac:dyDescent="0.15"/>
    <row r="5359" customFormat="1" ht="13" x14ac:dyDescent="0.15"/>
    <row r="5360" customFormat="1" ht="13" x14ac:dyDescent="0.15"/>
    <row r="5361" customFormat="1" ht="13" x14ac:dyDescent="0.15"/>
    <row r="5362" customFormat="1" ht="13" x14ac:dyDescent="0.15"/>
    <row r="5363" customFormat="1" ht="13" x14ac:dyDescent="0.15"/>
    <row r="5364" customFormat="1" ht="13" x14ac:dyDescent="0.15"/>
    <row r="5365" customFormat="1" ht="13" x14ac:dyDescent="0.15"/>
    <row r="5366" customFormat="1" ht="13" x14ac:dyDescent="0.15"/>
    <row r="5367" customFormat="1" ht="13" x14ac:dyDescent="0.15"/>
    <row r="5368" customFormat="1" ht="13" x14ac:dyDescent="0.15"/>
    <row r="5369" customFormat="1" ht="13" x14ac:dyDescent="0.15"/>
    <row r="5370" customFormat="1" ht="13" x14ac:dyDescent="0.15"/>
    <row r="5371" customFormat="1" ht="13" x14ac:dyDescent="0.15"/>
    <row r="5372" customFormat="1" ht="13" x14ac:dyDescent="0.15"/>
    <row r="5373" customFormat="1" ht="13" x14ac:dyDescent="0.15"/>
    <row r="5374" customFormat="1" ht="13" x14ac:dyDescent="0.15"/>
    <row r="5375" customFormat="1" ht="13" x14ac:dyDescent="0.15"/>
    <row r="5376" customFormat="1" ht="13" x14ac:dyDescent="0.15"/>
    <row r="5377" customFormat="1" ht="13" x14ac:dyDescent="0.15"/>
    <row r="5378" customFormat="1" ht="13" x14ac:dyDescent="0.15"/>
    <row r="5379" customFormat="1" ht="13" x14ac:dyDescent="0.15"/>
    <row r="5380" customFormat="1" ht="13" x14ac:dyDescent="0.15"/>
    <row r="5381" customFormat="1" ht="13" x14ac:dyDescent="0.15"/>
    <row r="5382" customFormat="1" ht="13" x14ac:dyDescent="0.15"/>
    <row r="5383" customFormat="1" ht="13" x14ac:dyDescent="0.15"/>
    <row r="5384" customFormat="1" ht="13" x14ac:dyDescent="0.15"/>
    <row r="5385" customFormat="1" ht="13" x14ac:dyDescent="0.15"/>
    <row r="5386" customFormat="1" ht="13" x14ac:dyDescent="0.15"/>
    <row r="5387" customFormat="1" ht="13" x14ac:dyDescent="0.15"/>
    <row r="5388" customFormat="1" ht="13" x14ac:dyDescent="0.15"/>
    <row r="5389" customFormat="1" ht="13" x14ac:dyDescent="0.15"/>
    <row r="5390" customFormat="1" ht="13" x14ac:dyDescent="0.15"/>
    <row r="5391" customFormat="1" ht="13" x14ac:dyDescent="0.15"/>
    <row r="5392" customFormat="1" ht="13" x14ac:dyDescent="0.15"/>
    <row r="5393" customFormat="1" ht="13" x14ac:dyDescent="0.15"/>
    <row r="5394" customFormat="1" ht="13" x14ac:dyDescent="0.15"/>
    <row r="5395" customFormat="1" ht="13" x14ac:dyDescent="0.15"/>
    <row r="5396" customFormat="1" ht="13" x14ac:dyDescent="0.15"/>
    <row r="5397" customFormat="1" ht="13" x14ac:dyDescent="0.15"/>
    <row r="5398" customFormat="1" ht="13" x14ac:dyDescent="0.15"/>
    <row r="5399" customFormat="1" ht="13" x14ac:dyDescent="0.15"/>
    <row r="5400" customFormat="1" ht="13" x14ac:dyDescent="0.15"/>
    <row r="5401" customFormat="1" ht="13" x14ac:dyDescent="0.15"/>
    <row r="5402" customFormat="1" ht="13" x14ac:dyDescent="0.15"/>
    <row r="5403" customFormat="1" ht="13" x14ac:dyDescent="0.15"/>
    <row r="5404" customFormat="1" ht="13" x14ac:dyDescent="0.15"/>
    <row r="5405" customFormat="1" ht="13" x14ac:dyDescent="0.15"/>
    <row r="5406" customFormat="1" ht="13" x14ac:dyDescent="0.15"/>
    <row r="5407" customFormat="1" ht="13" x14ac:dyDescent="0.15"/>
    <row r="5408" customFormat="1" ht="13" x14ac:dyDescent="0.15"/>
    <row r="5409" customFormat="1" ht="13" x14ac:dyDescent="0.15"/>
    <row r="5410" customFormat="1" ht="13" x14ac:dyDescent="0.15"/>
    <row r="5411" customFormat="1" ht="13" x14ac:dyDescent="0.15"/>
    <row r="5412" customFormat="1" ht="13" x14ac:dyDescent="0.15"/>
    <row r="5413" customFormat="1" ht="13" x14ac:dyDescent="0.15"/>
    <row r="5414" customFormat="1" ht="13" x14ac:dyDescent="0.15"/>
    <row r="5415" customFormat="1" ht="13" x14ac:dyDescent="0.15"/>
    <row r="5416" customFormat="1" ht="13" x14ac:dyDescent="0.15"/>
    <row r="5417" customFormat="1" ht="13" x14ac:dyDescent="0.15"/>
    <row r="5418" customFormat="1" ht="13" x14ac:dyDescent="0.15"/>
    <row r="5419" customFormat="1" ht="13" x14ac:dyDescent="0.15"/>
    <row r="5420" customFormat="1" ht="13" x14ac:dyDescent="0.15"/>
    <row r="5421" customFormat="1" ht="13" x14ac:dyDescent="0.15"/>
    <row r="5422" customFormat="1" ht="13" x14ac:dyDescent="0.15"/>
    <row r="5423" customFormat="1" ht="13" x14ac:dyDescent="0.15"/>
    <row r="5424" customFormat="1" ht="13" x14ac:dyDescent="0.15"/>
    <row r="5425" customFormat="1" ht="13" x14ac:dyDescent="0.15"/>
    <row r="5426" customFormat="1" ht="13" x14ac:dyDescent="0.15"/>
    <row r="5427" customFormat="1" ht="13" x14ac:dyDescent="0.15"/>
    <row r="5428" customFormat="1" ht="13" x14ac:dyDescent="0.15"/>
    <row r="5429" customFormat="1" ht="13" x14ac:dyDescent="0.15"/>
    <row r="5430" customFormat="1" ht="13" x14ac:dyDescent="0.15"/>
    <row r="5431" customFormat="1" ht="13" x14ac:dyDescent="0.15"/>
    <row r="5432" customFormat="1" ht="13" x14ac:dyDescent="0.15"/>
    <row r="5433" customFormat="1" ht="13" x14ac:dyDescent="0.15"/>
    <row r="5434" customFormat="1" ht="13" x14ac:dyDescent="0.15"/>
    <row r="5435" customFormat="1" ht="13" x14ac:dyDescent="0.15"/>
    <row r="5436" customFormat="1" ht="13" x14ac:dyDescent="0.15"/>
    <row r="5437" customFormat="1" ht="13" x14ac:dyDescent="0.15"/>
    <row r="5438" customFormat="1" ht="13" x14ac:dyDescent="0.15"/>
    <row r="5439" customFormat="1" ht="13" x14ac:dyDescent="0.15"/>
    <row r="5440" customFormat="1" ht="13" x14ac:dyDescent="0.15"/>
    <row r="5441" customFormat="1" ht="13" x14ac:dyDescent="0.15"/>
    <row r="5442" customFormat="1" ht="13" x14ac:dyDescent="0.15"/>
    <row r="5443" customFormat="1" ht="13" x14ac:dyDescent="0.15"/>
    <row r="5444" customFormat="1" ht="13" x14ac:dyDescent="0.15"/>
    <row r="5445" customFormat="1" ht="13" x14ac:dyDescent="0.15"/>
    <row r="5446" customFormat="1" ht="13" x14ac:dyDescent="0.15"/>
    <row r="5447" customFormat="1" ht="13" x14ac:dyDescent="0.15"/>
    <row r="5448" customFormat="1" ht="13" x14ac:dyDescent="0.15"/>
    <row r="5449" customFormat="1" ht="13" x14ac:dyDescent="0.15"/>
    <row r="5450" customFormat="1" ht="13" x14ac:dyDescent="0.15"/>
    <row r="5451" customFormat="1" ht="13" x14ac:dyDescent="0.15"/>
    <row r="5452" customFormat="1" ht="13" x14ac:dyDescent="0.15"/>
    <row r="5453" customFormat="1" ht="13" x14ac:dyDescent="0.15"/>
    <row r="5454" customFormat="1" ht="13" x14ac:dyDescent="0.15"/>
    <row r="5455" customFormat="1" ht="13" x14ac:dyDescent="0.15"/>
    <row r="5456" customFormat="1" ht="13" x14ac:dyDescent="0.15"/>
    <row r="5457" customFormat="1" ht="13" x14ac:dyDescent="0.15"/>
    <row r="5458" customFormat="1" ht="13" x14ac:dyDescent="0.15"/>
    <row r="5459" customFormat="1" ht="13" x14ac:dyDescent="0.15"/>
    <row r="5460" customFormat="1" ht="13" x14ac:dyDescent="0.15"/>
    <row r="5461" customFormat="1" ht="13" x14ac:dyDescent="0.15"/>
    <row r="5462" customFormat="1" ht="13" x14ac:dyDescent="0.15"/>
    <row r="5463" customFormat="1" ht="13" x14ac:dyDescent="0.15"/>
    <row r="5464" customFormat="1" ht="13" x14ac:dyDescent="0.15"/>
    <row r="5465" customFormat="1" ht="13" x14ac:dyDescent="0.15"/>
    <row r="5466" customFormat="1" ht="13" x14ac:dyDescent="0.15"/>
    <row r="5467" customFormat="1" ht="13" x14ac:dyDescent="0.15"/>
    <row r="5468" customFormat="1" ht="13" x14ac:dyDescent="0.15"/>
    <row r="5469" customFormat="1" ht="13" x14ac:dyDescent="0.15"/>
    <row r="5470" customFormat="1" ht="13" x14ac:dyDescent="0.15"/>
    <row r="5471" customFormat="1" ht="13" x14ac:dyDescent="0.15"/>
    <row r="5472" customFormat="1" ht="13" x14ac:dyDescent="0.15"/>
    <row r="5473" customFormat="1" ht="13" x14ac:dyDescent="0.15"/>
    <row r="5474" customFormat="1" ht="13" x14ac:dyDescent="0.15"/>
    <row r="5475" customFormat="1" ht="13" x14ac:dyDescent="0.15"/>
    <row r="5476" customFormat="1" ht="13" x14ac:dyDescent="0.15"/>
    <row r="5477" customFormat="1" ht="13" x14ac:dyDescent="0.15"/>
    <row r="5478" customFormat="1" ht="13" x14ac:dyDescent="0.15"/>
    <row r="5479" customFormat="1" ht="13" x14ac:dyDescent="0.15"/>
    <row r="5480" customFormat="1" ht="13" x14ac:dyDescent="0.15"/>
    <row r="5481" customFormat="1" ht="13" x14ac:dyDescent="0.15"/>
    <row r="5482" customFormat="1" ht="13" x14ac:dyDescent="0.15"/>
    <row r="5483" customFormat="1" ht="13" x14ac:dyDescent="0.15"/>
    <row r="5484" customFormat="1" ht="13" x14ac:dyDescent="0.15"/>
    <row r="5485" customFormat="1" ht="13" x14ac:dyDescent="0.15"/>
    <row r="5486" customFormat="1" ht="13" x14ac:dyDescent="0.15"/>
    <row r="5487" customFormat="1" ht="13" x14ac:dyDescent="0.15"/>
    <row r="5488" customFormat="1" ht="13" x14ac:dyDescent="0.15"/>
    <row r="5489" customFormat="1" ht="13" x14ac:dyDescent="0.15"/>
    <row r="5490" customFormat="1" ht="13" x14ac:dyDescent="0.15"/>
    <row r="5491" customFormat="1" ht="13" x14ac:dyDescent="0.15"/>
    <row r="5492" customFormat="1" ht="13" x14ac:dyDescent="0.15"/>
    <row r="5493" customFormat="1" ht="13" x14ac:dyDescent="0.15"/>
    <row r="5494" customFormat="1" ht="13" x14ac:dyDescent="0.15"/>
    <row r="5495" customFormat="1" ht="13" x14ac:dyDescent="0.15"/>
    <row r="5496" customFormat="1" ht="13" x14ac:dyDescent="0.15"/>
    <row r="5497" customFormat="1" ht="13" x14ac:dyDescent="0.15"/>
    <row r="5498" customFormat="1" ht="13" x14ac:dyDescent="0.15"/>
    <row r="5499" customFormat="1" ht="13" x14ac:dyDescent="0.15"/>
    <row r="5500" customFormat="1" ht="13" x14ac:dyDescent="0.15"/>
    <row r="5501" customFormat="1" ht="13" x14ac:dyDescent="0.15"/>
    <row r="5502" customFormat="1" ht="13" x14ac:dyDescent="0.15"/>
    <row r="5503" customFormat="1" ht="13" x14ac:dyDescent="0.15"/>
    <row r="5504" customFormat="1" ht="13" x14ac:dyDescent="0.15"/>
    <row r="5505" customFormat="1" ht="13" x14ac:dyDescent="0.15"/>
    <row r="5506" customFormat="1" ht="13" x14ac:dyDescent="0.15"/>
    <row r="5507" customFormat="1" ht="13" x14ac:dyDescent="0.15"/>
    <row r="5508" customFormat="1" ht="13" x14ac:dyDescent="0.15"/>
    <row r="5509" customFormat="1" ht="13" x14ac:dyDescent="0.15"/>
    <row r="5510" customFormat="1" ht="13" x14ac:dyDescent="0.15"/>
    <row r="5511" customFormat="1" ht="13" x14ac:dyDescent="0.15"/>
    <row r="5512" customFormat="1" ht="13" x14ac:dyDescent="0.15"/>
    <row r="5513" customFormat="1" ht="13" x14ac:dyDescent="0.15"/>
    <row r="5514" customFormat="1" ht="13" x14ac:dyDescent="0.15"/>
    <row r="5515" customFormat="1" ht="13" x14ac:dyDescent="0.15"/>
    <row r="5516" customFormat="1" ht="13" x14ac:dyDescent="0.15"/>
    <row r="5517" customFormat="1" ht="13" x14ac:dyDescent="0.15"/>
    <row r="5518" customFormat="1" ht="13" x14ac:dyDescent="0.15"/>
    <row r="5519" customFormat="1" ht="13" x14ac:dyDescent="0.15"/>
    <row r="5520" customFormat="1" ht="13" x14ac:dyDescent="0.15"/>
    <row r="5521" customFormat="1" ht="13" x14ac:dyDescent="0.15"/>
    <row r="5522" customFormat="1" ht="13" x14ac:dyDescent="0.15"/>
    <row r="5523" customFormat="1" ht="13" x14ac:dyDescent="0.15"/>
    <row r="5524" customFormat="1" ht="13" x14ac:dyDescent="0.15"/>
    <row r="5525" customFormat="1" ht="13" x14ac:dyDescent="0.15"/>
    <row r="5526" customFormat="1" ht="13" x14ac:dyDescent="0.15"/>
    <row r="5527" customFormat="1" ht="13" x14ac:dyDescent="0.15"/>
    <row r="5528" customFormat="1" ht="13" x14ac:dyDescent="0.15"/>
    <row r="5529" customFormat="1" ht="13" x14ac:dyDescent="0.15"/>
    <row r="5530" customFormat="1" ht="13" x14ac:dyDescent="0.15"/>
    <row r="5531" customFormat="1" ht="13" x14ac:dyDescent="0.15"/>
    <row r="5532" customFormat="1" ht="13" x14ac:dyDescent="0.15"/>
    <row r="5533" customFormat="1" ht="13" x14ac:dyDescent="0.15"/>
    <row r="5534" customFormat="1" ht="13" x14ac:dyDescent="0.15"/>
    <row r="5535" customFormat="1" ht="13" x14ac:dyDescent="0.15"/>
    <row r="5536" customFormat="1" ht="13" x14ac:dyDescent="0.15"/>
    <row r="5537" customFormat="1" ht="13" x14ac:dyDescent="0.15"/>
    <row r="5538" customFormat="1" ht="13" x14ac:dyDescent="0.15"/>
    <row r="5539" customFormat="1" ht="13" x14ac:dyDescent="0.15"/>
    <row r="5540" customFormat="1" ht="13" x14ac:dyDescent="0.15"/>
    <row r="5541" customFormat="1" ht="13" x14ac:dyDescent="0.15"/>
    <row r="5542" customFormat="1" ht="13" x14ac:dyDescent="0.15"/>
    <row r="5543" customFormat="1" ht="13" x14ac:dyDescent="0.15"/>
    <row r="5544" customFormat="1" ht="13" x14ac:dyDescent="0.15"/>
    <row r="5545" customFormat="1" ht="13" x14ac:dyDescent="0.15"/>
    <row r="5546" customFormat="1" ht="13" x14ac:dyDescent="0.15"/>
    <row r="5547" customFormat="1" ht="13" x14ac:dyDescent="0.15"/>
    <row r="5548" customFormat="1" ht="13" x14ac:dyDescent="0.15"/>
    <row r="5549" customFormat="1" ht="13" x14ac:dyDescent="0.15"/>
    <row r="5550" customFormat="1" ht="13" x14ac:dyDescent="0.15"/>
    <row r="5551" customFormat="1" ht="13" x14ac:dyDescent="0.15"/>
    <row r="5552" customFormat="1" ht="13" x14ac:dyDescent="0.15"/>
    <row r="5553" customFormat="1" ht="13" x14ac:dyDescent="0.15"/>
    <row r="5554" customFormat="1" ht="13" x14ac:dyDescent="0.15"/>
    <row r="5555" customFormat="1" ht="13" x14ac:dyDescent="0.15"/>
    <row r="5556" customFormat="1" ht="13" x14ac:dyDescent="0.15"/>
    <row r="5557" customFormat="1" ht="13" x14ac:dyDescent="0.15"/>
    <row r="5558" customFormat="1" ht="13" x14ac:dyDescent="0.15"/>
    <row r="5559" customFormat="1" ht="13" x14ac:dyDescent="0.15"/>
    <row r="5560" customFormat="1" ht="13" x14ac:dyDescent="0.15"/>
    <row r="5561" customFormat="1" ht="13" x14ac:dyDescent="0.15"/>
    <row r="5562" customFormat="1" ht="13" x14ac:dyDescent="0.15"/>
    <row r="5563" customFormat="1" ht="13" x14ac:dyDescent="0.15"/>
    <row r="5564" customFormat="1" ht="13" x14ac:dyDescent="0.15"/>
    <row r="5565" customFormat="1" ht="13" x14ac:dyDescent="0.15"/>
    <row r="5566" customFormat="1" ht="13" x14ac:dyDescent="0.15"/>
    <row r="5567" customFormat="1" ht="13" x14ac:dyDescent="0.15"/>
    <row r="5568" customFormat="1" ht="13" x14ac:dyDescent="0.15"/>
    <row r="5569" customFormat="1" ht="13" x14ac:dyDescent="0.15"/>
    <row r="5570" customFormat="1" ht="13" x14ac:dyDescent="0.15"/>
    <row r="5571" customFormat="1" ht="13" x14ac:dyDescent="0.15"/>
    <row r="5572" customFormat="1" ht="13" x14ac:dyDescent="0.15"/>
    <row r="5573" customFormat="1" ht="13" x14ac:dyDescent="0.15"/>
    <row r="5574" customFormat="1" ht="13" x14ac:dyDescent="0.15"/>
    <row r="5575" customFormat="1" ht="13" x14ac:dyDescent="0.15"/>
    <row r="5576" customFormat="1" ht="13" x14ac:dyDescent="0.15"/>
    <row r="5577" customFormat="1" ht="13" x14ac:dyDescent="0.15"/>
    <row r="5578" customFormat="1" ht="13" x14ac:dyDescent="0.15"/>
    <row r="5579" customFormat="1" ht="13" x14ac:dyDescent="0.15"/>
    <row r="5580" customFormat="1" ht="13" x14ac:dyDescent="0.15"/>
    <row r="5581" customFormat="1" ht="13" x14ac:dyDescent="0.15"/>
    <row r="5582" customFormat="1" ht="13" x14ac:dyDescent="0.15"/>
    <row r="5583" customFormat="1" ht="13" x14ac:dyDescent="0.15"/>
    <row r="5584" customFormat="1" ht="13" x14ac:dyDescent="0.15"/>
    <row r="5585" customFormat="1" ht="13" x14ac:dyDescent="0.15"/>
    <row r="5586" customFormat="1" ht="13" x14ac:dyDescent="0.15"/>
    <row r="5587" customFormat="1" ht="13" x14ac:dyDescent="0.15"/>
    <row r="5588" customFormat="1" ht="13" x14ac:dyDescent="0.15"/>
    <row r="5589" customFormat="1" ht="13" x14ac:dyDescent="0.15"/>
    <row r="5590" customFormat="1" ht="13" x14ac:dyDescent="0.15"/>
    <row r="5591" customFormat="1" ht="13" x14ac:dyDescent="0.15"/>
    <row r="5592" customFormat="1" ht="13" x14ac:dyDescent="0.15"/>
    <row r="5593" customFormat="1" ht="13" x14ac:dyDescent="0.15"/>
    <row r="5594" customFormat="1" ht="13" x14ac:dyDescent="0.15"/>
    <row r="5595" customFormat="1" ht="13" x14ac:dyDescent="0.15"/>
    <row r="5596" customFormat="1" ht="13" x14ac:dyDescent="0.15"/>
    <row r="5597" customFormat="1" ht="13" x14ac:dyDescent="0.15"/>
    <row r="5598" customFormat="1" ht="13" x14ac:dyDescent="0.15"/>
    <row r="5599" customFormat="1" ht="13" x14ac:dyDescent="0.15"/>
    <row r="5600" customFormat="1" ht="13" x14ac:dyDescent="0.15"/>
    <row r="5601" customFormat="1" ht="13" x14ac:dyDescent="0.15"/>
    <row r="5602" customFormat="1" ht="13" x14ac:dyDescent="0.15"/>
    <row r="5603" customFormat="1" ht="13" x14ac:dyDescent="0.15"/>
    <row r="5604" customFormat="1" ht="13" x14ac:dyDescent="0.15"/>
    <row r="5605" customFormat="1" ht="13" x14ac:dyDescent="0.15"/>
    <row r="5606" customFormat="1" ht="13" x14ac:dyDescent="0.15"/>
    <row r="5607" customFormat="1" ht="13" x14ac:dyDescent="0.15"/>
    <row r="5608" customFormat="1" ht="13" x14ac:dyDescent="0.15"/>
    <row r="5609" customFormat="1" ht="13" x14ac:dyDescent="0.15"/>
    <row r="5610" customFormat="1" ht="13" x14ac:dyDescent="0.15"/>
    <row r="5611" customFormat="1" ht="13" x14ac:dyDescent="0.15"/>
    <row r="5612" customFormat="1" ht="13" x14ac:dyDescent="0.15"/>
    <row r="5613" customFormat="1" ht="13" x14ac:dyDescent="0.15"/>
    <row r="5614" customFormat="1" ht="13" x14ac:dyDescent="0.15"/>
    <row r="5615" customFormat="1" ht="13" x14ac:dyDescent="0.15"/>
    <row r="5616" customFormat="1" ht="13" x14ac:dyDescent="0.15"/>
    <row r="5617" customFormat="1" ht="13" x14ac:dyDescent="0.15"/>
    <row r="5618" customFormat="1" ht="13" x14ac:dyDescent="0.15"/>
    <row r="5619" customFormat="1" ht="13" x14ac:dyDescent="0.15"/>
    <row r="5620" customFormat="1" ht="13" x14ac:dyDescent="0.15"/>
    <row r="5621" customFormat="1" ht="13" x14ac:dyDescent="0.15"/>
    <row r="5622" customFormat="1" ht="13" x14ac:dyDescent="0.15"/>
    <row r="5623" customFormat="1" ht="13" x14ac:dyDescent="0.15"/>
    <row r="5624" customFormat="1" ht="13" x14ac:dyDescent="0.15"/>
    <row r="5625" customFormat="1" ht="13" x14ac:dyDescent="0.15"/>
    <row r="5626" customFormat="1" ht="13" x14ac:dyDescent="0.15"/>
    <row r="5627" customFormat="1" ht="13" x14ac:dyDescent="0.15"/>
    <row r="5628" customFormat="1" ht="13" x14ac:dyDescent="0.15"/>
    <row r="5629" customFormat="1" ht="13" x14ac:dyDescent="0.15"/>
    <row r="5630" customFormat="1" ht="13" x14ac:dyDescent="0.15"/>
    <row r="5631" customFormat="1" ht="13" x14ac:dyDescent="0.15"/>
    <row r="5632" customFormat="1" ht="13" x14ac:dyDescent="0.15"/>
    <row r="5633" customFormat="1" ht="13" x14ac:dyDescent="0.15"/>
    <row r="5634" customFormat="1" ht="13" x14ac:dyDescent="0.15"/>
    <row r="5635" customFormat="1" ht="13" x14ac:dyDescent="0.15"/>
    <row r="5636" customFormat="1" ht="13" x14ac:dyDescent="0.15"/>
    <row r="5637" customFormat="1" ht="13" x14ac:dyDescent="0.15"/>
    <row r="5638" customFormat="1" ht="13" x14ac:dyDescent="0.15"/>
    <row r="5639" customFormat="1" ht="13" x14ac:dyDescent="0.15"/>
    <row r="5640" customFormat="1" ht="13" x14ac:dyDescent="0.15"/>
    <row r="5641" customFormat="1" ht="13" x14ac:dyDescent="0.15"/>
    <row r="5642" customFormat="1" ht="13" x14ac:dyDescent="0.15"/>
    <row r="5643" customFormat="1" ht="13" x14ac:dyDescent="0.15"/>
    <row r="5644" customFormat="1" ht="13" x14ac:dyDescent="0.15"/>
    <row r="5645" customFormat="1" ht="13" x14ac:dyDescent="0.15"/>
    <row r="5646" customFormat="1" ht="13" x14ac:dyDescent="0.15"/>
    <row r="5647" customFormat="1" ht="13" x14ac:dyDescent="0.15"/>
    <row r="5648" customFormat="1" ht="13" x14ac:dyDescent="0.15"/>
    <row r="5649" customFormat="1" ht="13" x14ac:dyDescent="0.15"/>
    <row r="5650" customFormat="1" ht="13" x14ac:dyDescent="0.15"/>
    <row r="5651" customFormat="1" ht="13" x14ac:dyDescent="0.15"/>
    <row r="5652" customFormat="1" ht="13" x14ac:dyDescent="0.15"/>
    <row r="5653" customFormat="1" ht="13" x14ac:dyDescent="0.15"/>
    <row r="5654" customFormat="1" ht="13" x14ac:dyDescent="0.15"/>
    <row r="5655" customFormat="1" ht="13" x14ac:dyDescent="0.15"/>
    <row r="5656" customFormat="1" ht="13" x14ac:dyDescent="0.15"/>
    <row r="5657" customFormat="1" ht="13" x14ac:dyDescent="0.15"/>
    <row r="5658" customFormat="1" ht="13" x14ac:dyDescent="0.15"/>
    <row r="5659" customFormat="1" ht="13" x14ac:dyDescent="0.15"/>
    <row r="5660" customFormat="1" ht="13" x14ac:dyDescent="0.15"/>
    <row r="5661" customFormat="1" ht="13" x14ac:dyDescent="0.15"/>
    <row r="5662" customFormat="1" ht="13" x14ac:dyDescent="0.15"/>
    <row r="5663" customFormat="1" ht="13" x14ac:dyDescent="0.15"/>
    <row r="5664" customFormat="1" ht="13" x14ac:dyDescent="0.15"/>
    <row r="5665" customFormat="1" ht="13" x14ac:dyDescent="0.15"/>
    <row r="5666" customFormat="1" ht="13" x14ac:dyDescent="0.15"/>
    <row r="5667" customFormat="1" ht="13" x14ac:dyDescent="0.15"/>
    <row r="5668" customFormat="1" ht="13" x14ac:dyDescent="0.15"/>
    <row r="5669" customFormat="1" ht="13" x14ac:dyDescent="0.15"/>
    <row r="5670" customFormat="1" ht="13" x14ac:dyDescent="0.15"/>
    <row r="5671" customFormat="1" ht="13" x14ac:dyDescent="0.15"/>
    <row r="5672" customFormat="1" ht="13" x14ac:dyDescent="0.15"/>
    <row r="5673" customFormat="1" ht="13" x14ac:dyDescent="0.15"/>
    <row r="5674" customFormat="1" ht="13" x14ac:dyDescent="0.15"/>
    <row r="5675" customFormat="1" ht="13" x14ac:dyDescent="0.15"/>
    <row r="5676" customFormat="1" ht="13" x14ac:dyDescent="0.15"/>
    <row r="5677" customFormat="1" ht="13" x14ac:dyDescent="0.15"/>
    <row r="5678" customFormat="1" ht="13" x14ac:dyDescent="0.15"/>
    <row r="5679" customFormat="1" ht="13" x14ac:dyDescent="0.15"/>
    <row r="5680" customFormat="1" ht="13" x14ac:dyDescent="0.15"/>
    <row r="5681" customFormat="1" ht="13" x14ac:dyDescent="0.15"/>
    <row r="5682" customFormat="1" ht="13" x14ac:dyDescent="0.15"/>
    <row r="5683" customFormat="1" ht="13" x14ac:dyDescent="0.15"/>
    <row r="5684" customFormat="1" ht="13" x14ac:dyDescent="0.15"/>
    <row r="5685" customFormat="1" ht="13" x14ac:dyDescent="0.15"/>
    <row r="5686" customFormat="1" ht="13" x14ac:dyDescent="0.15"/>
    <row r="5687" customFormat="1" ht="13" x14ac:dyDescent="0.15"/>
    <row r="5688" customFormat="1" ht="13" x14ac:dyDescent="0.15"/>
    <row r="5689" customFormat="1" ht="13" x14ac:dyDescent="0.15"/>
    <row r="5690" customFormat="1" ht="13" x14ac:dyDescent="0.15"/>
    <row r="5691" customFormat="1" ht="13" x14ac:dyDescent="0.15"/>
    <row r="5692" customFormat="1" ht="13" x14ac:dyDescent="0.15"/>
    <row r="5693" customFormat="1" ht="13" x14ac:dyDescent="0.15"/>
    <row r="5694" customFormat="1" ht="13" x14ac:dyDescent="0.15"/>
    <row r="5695" customFormat="1" ht="13" x14ac:dyDescent="0.15"/>
    <row r="5696" customFormat="1" ht="13" x14ac:dyDescent="0.15"/>
    <row r="5697" customFormat="1" ht="13" x14ac:dyDescent="0.15"/>
    <row r="5698" customFormat="1" ht="13" x14ac:dyDescent="0.15"/>
    <row r="5699" customFormat="1" ht="13" x14ac:dyDescent="0.15"/>
    <row r="5700" customFormat="1" ht="13" x14ac:dyDescent="0.15"/>
    <row r="5701" customFormat="1" ht="13" x14ac:dyDescent="0.15"/>
    <row r="5702" customFormat="1" ht="13" x14ac:dyDescent="0.15"/>
    <row r="5703" customFormat="1" ht="13" x14ac:dyDescent="0.15"/>
    <row r="5704" customFormat="1" ht="13" x14ac:dyDescent="0.15"/>
    <row r="5705" customFormat="1" ht="13" x14ac:dyDescent="0.15"/>
    <row r="5706" customFormat="1" ht="13" x14ac:dyDescent="0.15"/>
    <row r="5707" customFormat="1" ht="13" x14ac:dyDescent="0.15"/>
    <row r="5708" customFormat="1" ht="13" x14ac:dyDescent="0.15"/>
    <row r="5709" customFormat="1" ht="13" x14ac:dyDescent="0.15"/>
    <row r="5710" customFormat="1" ht="13" x14ac:dyDescent="0.15"/>
    <row r="5711" customFormat="1" ht="13" x14ac:dyDescent="0.15"/>
    <row r="5712" customFormat="1" ht="13" x14ac:dyDescent="0.15"/>
    <row r="5713" customFormat="1" ht="13" x14ac:dyDescent="0.15"/>
    <row r="5714" customFormat="1" ht="13" x14ac:dyDescent="0.15"/>
    <row r="5715" customFormat="1" ht="13" x14ac:dyDescent="0.15"/>
    <row r="5716" customFormat="1" ht="13" x14ac:dyDescent="0.15"/>
    <row r="5717" customFormat="1" ht="13" x14ac:dyDescent="0.15"/>
    <row r="5718" customFormat="1" ht="13" x14ac:dyDescent="0.15"/>
    <row r="5719" customFormat="1" ht="13" x14ac:dyDescent="0.15"/>
    <row r="5720" customFormat="1" ht="13" x14ac:dyDescent="0.15"/>
    <row r="5721" customFormat="1" ht="13" x14ac:dyDescent="0.15"/>
    <row r="5722" customFormat="1" ht="13" x14ac:dyDescent="0.15"/>
    <row r="5723" customFormat="1" ht="13" x14ac:dyDescent="0.15"/>
    <row r="5724" customFormat="1" ht="13" x14ac:dyDescent="0.15"/>
    <row r="5725" customFormat="1" ht="13" x14ac:dyDescent="0.15"/>
    <row r="5726" customFormat="1" ht="13" x14ac:dyDescent="0.15"/>
    <row r="5727" customFormat="1" ht="13" x14ac:dyDescent="0.15"/>
    <row r="5728" customFormat="1" ht="13" x14ac:dyDescent="0.15"/>
    <row r="5729" customFormat="1" ht="13" x14ac:dyDescent="0.15"/>
    <row r="5730" customFormat="1" ht="13" x14ac:dyDescent="0.15"/>
    <row r="5731" customFormat="1" ht="13" x14ac:dyDescent="0.15"/>
    <row r="5732" customFormat="1" ht="13" x14ac:dyDescent="0.15"/>
    <row r="5733" customFormat="1" ht="13" x14ac:dyDescent="0.15"/>
    <row r="5734" customFormat="1" ht="13" x14ac:dyDescent="0.15"/>
    <row r="5735" customFormat="1" ht="13" x14ac:dyDescent="0.15"/>
    <row r="5736" customFormat="1" ht="13" x14ac:dyDescent="0.15"/>
    <row r="5737" customFormat="1" ht="13" x14ac:dyDescent="0.15"/>
    <row r="5738" customFormat="1" ht="13" x14ac:dyDescent="0.15"/>
    <row r="5739" customFormat="1" ht="13" x14ac:dyDescent="0.15"/>
    <row r="5740" customFormat="1" ht="13" x14ac:dyDescent="0.15"/>
    <row r="5741" customFormat="1" ht="13" x14ac:dyDescent="0.15"/>
    <row r="5742" customFormat="1" ht="13" x14ac:dyDescent="0.15"/>
    <row r="5743" customFormat="1" ht="13" x14ac:dyDescent="0.15"/>
    <row r="5744" customFormat="1" ht="13" x14ac:dyDescent="0.15"/>
    <row r="5745" customFormat="1" ht="13" x14ac:dyDescent="0.15"/>
    <row r="5746" customFormat="1" ht="13" x14ac:dyDescent="0.15"/>
    <row r="5747" customFormat="1" ht="13" x14ac:dyDescent="0.15"/>
    <row r="5748" customFormat="1" ht="13" x14ac:dyDescent="0.15"/>
    <row r="5749" customFormat="1" ht="13" x14ac:dyDescent="0.15"/>
    <row r="5750" customFormat="1" ht="13" x14ac:dyDescent="0.15"/>
    <row r="5751" customFormat="1" ht="13" x14ac:dyDescent="0.15"/>
    <row r="5752" customFormat="1" ht="13" x14ac:dyDescent="0.15"/>
    <row r="5753" customFormat="1" ht="13" x14ac:dyDescent="0.15"/>
    <row r="5754" customFormat="1" ht="13" x14ac:dyDescent="0.15"/>
    <row r="5755" customFormat="1" ht="13" x14ac:dyDescent="0.15"/>
    <row r="5756" customFormat="1" ht="13" x14ac:dyDescent="0.15"/>
    <row r="5757" customFormat="1" ht="13" x14ac:dyDescent="0.15"/>
    <row r="5758" customFormat="1" ht="13" x14ac:dyDescent="0.15"/>
    <row r="5759" customFormat="1" ht="13" x14ac:dyDescent="0.15"/>
    <row r="5760" customFormat="1" ht="13" x14ac:dyDescent="0.15"/>
    <row r="5761" customFormat="1" ht="13" x14ac:dyDescent="0.15"/>
    <row r="5762" customFormat="1" ht="13" x14ac:dyDescent="0.15"/>
    <row r="5763" customFormat="1" ht="13" x14ac:dyDescent="0.15"/>
    <row r="5764" customFormat="1" ht="13" x14ac:dyDescent="0.15"/>
    <row r="5765" customFormat="1" ht="13" x14ac:dyDescent="0.15"/>
    <row r="5766" customFormat="1" ht="13" x14ac:dyDescent="0.15"/>
    <row r="5767" customFormat="1" ht="13" x14ac:dyDescent="0.15"/>
    <row r="5768" customFormat="1" ht="13" x14ac:dyDescent="0.15"/>
    <row r="5769" customFormat="1" ht="13" x14ac:dyDescent="0.15"/>
    <row r="5770" customFormat="1" ht="13" x14ac:dyDescent="0.15"/>
    <row r="5771" customFormat="1" ht="13" x14ac:dyDescent="0.15"/>
    <row r="5772" customFormat="1" ht="13" x14ac:dyDescent="0.15"/>
    <row r="5773" customFormat="1" ht="13" x14ac:dyDescent="0.15"/>
    <row r="5774" customFormat="1" ht="13" x14ac:dyDescent="0.15"/>
    <row r="5775" customFormat="1" ht="13" x14ac:dyDescent="0.15"/>
    <row r="5776" customFormat="1" ht="13" x14ac:dyDescent="0.15"/>
    <row r="5777" customFormat="1" ht="13" x14ac:dyDescent="0.15"/>
    <row r="5778" customFormat="1" ht="13" x14ac:dyDescent="0.15"/>
    <row r="5779" customFormat="1" ht="13" x14ac:dyDescent="0.15"/>
    <row r="5780" customFormat="1" ht="13" x14ac:dyDescent="0.15"/>
    <row r="5781" customFormat="1" ht="13" x14ac:dyDescent="0.15"/>
    <row r="5782" customFormat="1" ht="13" x14ac:dyDescent="0.15"/>
    <row r="5783" customFormat="1" ht="13" x14ac:dyDescent="0.15"/>
    <row r="5784" customFormat="1" ht="13" x14ac:dyDescent="0.15"/>
    <row r="5785" customFormat="1" ht="13" x14ac:dyDescent="0.15"/>
    <row r="5786" customFormat="1" ht="13" x14ac:dyDescent="0.15"/>
    <row r="5787" customFormat="1" ht="13" x14ac:dyDescent="0.15"/>
    <row r="5788" customFormat="1" ht="13" x14ac:dyDescent="0.15"/>
    <row r="5789" customFormat="1" ht="13" x14ac:dyDescent="0.15"/>
    <row r="5790" customFormat="1" ht="13" x14ac:dyDescent="0.15"/>
    <row r="5791" customFormat="1" ht="13" x14ac:dyDescent="0.15"/>
    <row r="5792" customFormat="1" ht="13" x14ac:dyDescent="0.15"/>
    <row r="5793" customFormat="1" ht="13" x14ac:dyDescent="0.15"/>
    <row r="5794" customFormat="1" ht="13" x14ac:dyDescent="0.15"/>
    <row r="5795" customFormat="1" ht="13" x14ac:dyDescent="0.15"/>
    <row r="5796" customFormat="1" ht="13" x14ac:dyDescent="0.15"/>
    <row r="5797" customFormat="1" ht="13" x14ac:dyDescent="0.15"/>
    <row r="5798" customFormat="1" ht="13" x14ac:dyDescent="0.15"/>
    <row r="5799" customFormat="1" ht="13" x14ac:dyDescent="0.15"/>
    <row r="5800" customFormat="1" ht="13" x14ac:dyDescent="0.15"/>
    <row r="5801" customFormat="1" ht="13" x14ac:dyDescent="0.15"/>
    <row r="5802" customFormat="1" ht="13" x14ac:dyDescent="0.15"/>
    <row r="5803" customFormat="1" ht="13" x14ac:dyDescent="0.15"/>
    <row r="5804" customFormat="1" ht="13" x14ac:dyDescent="0.15"/>
    <row r="5805" customFormat="1" ht="13" x14ac:dyDescent="0.15"/>
    <row r="5806" customFormat="1" ht="13" x14ac:dyDescent="0.15"/>
    <row r="5807" customFormat="1" ht="13" x14ac:dyDescent="0.15"/>
    <row r="5808" customFormat="1" ht="13" x14ac:dyDescent="0.15"/>
    <row r="5809" customFormat="1" ht="13" x14ac:dyDescent="0.15"/>
    <row r="5810" customFormat="1" ht="13" x14ac:dyDescent="0.15"/>
    <row r="5811" customFormat="1" ht="13" x14ac:dyDescent="0.15"/>
    <row r="5812" customFormat="1" ht="13" x14ac:dyDescent="0.15"/>
    <row r="5813" customFormat="1" ht="13" x14ac:dyDescent="0.15"/>
    <row r="5814" customFormat="1" ht="13" x14ac:dyDescent="0.15"/>
    <row r="5815" customFormat="1" ht="13" x14ac:dyDescent="0.15"/>
    <row r="5816" customFormat="1" ht="13" x14ac:dyDescent="0.15"/>
    <row r="5817" customFormat="1" ht="13" x14ac:dyDescent="0.15"/>
    <row r="5818" customFormat="1" ht="13" x14ac:dyDescent="0.15"/>
    <row r="5819" customFormat="1" ht="13" x14ac:dyDescent="0.15"/>
    <row r="5820" customFormat="1" ht="13" x14ac:dyDescent="0.15"/>
    <row r="5821" customFormat="1" ht="13" x14ac:dyDescent="0.15"/>
    <row r="5822" customFormat="1" ht="13" x14ac:dyDescent="0.15"/>
    <row r="5823" customFormat="1" ht="13" x14ac:dyDescent="0.15"/>
    <row r="5824" customFormat="1" ht="13" x14ac:dyDescent="0.15"/>
    <row r="5825" customFormat="1" ht="13" x14ac:dyDescent="0.15"/>
    <row r="5826" customFormat="1" ht="13" x14ac:dyDescent="0.15"/>
    <row r="5827" customFormat="1" ht="13" x14ac:dyDescent="0.15"/>
    <row r="5828" customFormat="1" ht="13" x14ac:dyDescent="0.15"/>
    <row r="5829" customFormat="1" ht="13" x14ac:dyDescent="0.15"/>
    <row r="5830" customFormat="1" ht="13" x14ac:dyDescent="0.15"/>
    <row r="5831" customFormat="1" ht="13" x14ac:dyDescent="0.15"/>
    <row r="5832" customFormat="1" ht="13" x14ac:dyDescent="0.15"/>
    <row r="5833" customFormat="1" ht="13" x14ac:dyDescent="0.15"/>
    <row r="5834" customFormat="1" ht="13" x14ac:dyDescent="0.15"/>
    <row r="5835" customFormat="1" ht="13" x14ac:dyDescent="0.15"/>
    <row r="5836" customFormat="1" ht="13" x14ac:dyDescent="0.15"/>
    <row r="5837" customFormat="1" ht="13" x14ac:dyDescent="0.15"/>
    <row r="5838" customFormat="1" ht="13" x14ac:dyDescent="0.15"/>
    <row r="5839" customFormat="1" ht="13" x14ac:dyDescent="0.15"/>
    <row r="5840" customFormat="1" ht="13" x14ac:dyDescent="0.15"/>
    <row r="5841" customFormat="1" ht="13" x14ac:dyDescent="0.15"/>
    <row r="5842" customFormat="1" ht="13" x14ac:dyDescent="0.15"/>
    <row r="5843" customFormat="1" ht="13" x14ac:dyDescent="0.15"/>
    <row r="5844" customFormat="1" ht="13" x14ac:dyDescent="0.15"/>
    <row r="5845" customFormat="1" ht="13" x14ac:dyDescent="0.15"/>
    <row r="5846" customFormat="1" ht="13" x14ac:dyDescent="0.15"/>
    <row r="5847" customFormat="1" ht="13" x14ac:dyDescent="0.15"/>
    <row r="5848" customFormat="1" ht="13" x14ac:dyDescent="0.15"/>
    <row r="5849" customFormat="1" ht="13" x14ac:dyDescent="0.15"/>
    <row r="5850" customFormat="1" ht="13" x14ac:dyDescent="0.15"/>
    <row r="5851" customFormat="1" ht="13" x14ac:dyDescent="0.15"/>
    <row r="5852" customFormat="1" ht="13" x14ac:dyDescent="0.15"/>
    <row r="5853" customFormat="1" ht="13" x14ac:dyDescent="0.15"/>
    <row r="5854" customFormat="1" ht="13" x14ac:dyDescent="0.15"/>
    <row r="5855" customFormat="1" ht="13" x14ac:dyDescent="0.15"/>
    <row r="5856" customFormat="1" ht="13" x14ac:dyDescent="0.15"/>
    <row r="5857" customFormat="1" ht="13" x14ac:dyDescent="0.15"/>
    <row r="5858" customFormat="1" ht="13" x14ac:dyDescent="0.15"/>
    <row r="5859" customFormat="1" ht="13" x14ac:dyDescent="0.15"/>
    <row r="5860" customFormat="1" ht="13" x14ac:dyDescent="0.15"/>
    <row r="5861" customFormat="1" ht="13" x14ac:dyDescent="0.15"/>
    <row r="5862" customFormat="1" ht="13" x14ac:dyDescent="0.15"/>
    <row r="5863" customFormat="1" ht="13" x14ac:dyDescent="0.15"/>
    <row r="5864" customFormat="1" ht="13" x14ac:dyDescent="0.15"/>
    <row r="5865" customFormat="1" ht="13" x14ac:dyDescent="0.15"/>
    <row r="5866" customFormat="1" ht="13" x14ac:dyDescent="0.15"/>
    <row r="5867" customFormat="1" ht="13" x14ac:dyDescent="0.15"/>
    <row r="5868" customFormat="1" ht="13" x14ac:dyDescent="0.15"/>
    <row r="5869" customFormat="1" ht="13" x14ac:dyDescent="0.15"/>
    <row r="5870" customFormat="1" ht="13" x14ac:dyDescent="0.15"/>
    <row r="5871" customFormat="1" ht="13" x14ac:dyDescent="0.15"/>
    <row r="5872" customFormat="1" ht="13" x14ac:dyDescent="0.15"/>
    <row r="5873" customFormat="1" ht="13" x14ac:dyDescent="0.15"/>
    <row r="5874" customFormat="1" ht="13" x14ac:dyDescent="0.15"/>
    <row r="5875" customFormat="1" ht="13" x14ac:dyDescent="0.15"/>
    <row r="5876" customFormat="1" ht="13" x14ac:dyDescent="0.15"/>
    <row r="5877" customFormat="1" ht="13" x14ac:dyDescent="0.15"/>
    <row r="5878" customFormat="1" ht="13" x14ac:dyDescent="0.15"/>
    <row r="5879" customFormat="1" ht="13" x14ac:dyDescent="0.15"/>
    <row r="5880" customFormat="1" ht="13" x14ac:dyDescent="0.15"/>
    <row r="5881" customFormat="1" ht="13" x14ac:dyDescent="0.15"/>
    <row r="5882" customFormat="1" ht="13" x14ac:dyDescent="0.15"/>
    <row r="5883" customFormat="1" ht="13" x14ac:dyDescent="0.15"/>
    <row r="5884" customFormat="1" ht="13" x14ac:dyDescent="0.15"/>
    <row r="5885" customFormat="1" ht="13" x14ac:dyDescent="0.15"/>
    <row r="5886" customFormat="1" ht="13" x14ac:dyDescent="0.15"/>
    <row r="5887" customFormat="1" ht="13" x14ac:dyDescent="0.15"/>
    <row r="5888" customFormat="1" ht="13" x14ac:dyDescent="0.15"/>
    <row r="5889" customFormat="1" ht="13" x14ac:dyDescent="0.15"/>
    <row r="5890" customFormat="1" ht="13" x14ac:dyDescent="0.15"/>
    <row r="5891" customFormat="1" ht="13" x14ac:dyDescent="0.15"/>
    <row r="5892" customFormat="1" ht="13" x14ac:dyDescent="0.15"/>
    <row r="5893" customFormat="1" ht="13" x14ac:dyDescent="0.15"/>
    <row r="5894" customFormat="1" ht="13" x14ac:dyDescent="0.15"/>
    <row r="5895" customFormat="1" ht="13" x14ac:dyDescent="0.15"/>
    <row r="5896" customFormat="1" ht="13" x14ac:dyDescent="0.15"/>
    <row r="5897" customFormat="1" ht="13" x14ac:dyDescent="0.15"/>
    <row r="5898" customFormat="1" ht="13" x14ac:dyDescent="0.15"/>
    <row r="5899" customFormat="1" ht="13" x14ac:dyDescent="0.15"/>
    <row r="5900" customFormat="1" ht="13" x14ac:dyDescent="0.15"/>
    <row r="5901" customFormat="1" ht="13" x14ac:dyDescent="0.15"/>
    <row r="5902" customFormat="1" ht="13" x14ac:dyDescent="0.15"/>
    <row r="5903" customFormat="1" ht="13" x14ac:dyDescent="0.15"/>
    <row r="5904" customFormat="1" ht="13" x14ac:dyDescent="0.15"/>
    <row r="5905" customFormat="1" ht="13" x14ac:dyDescent="0.15"/>
    <row r="5906" customFormat="1" ht="13" x14ac:dyDescent="0.15"/>
    <row r="5907" customFormat="1" ht="13" x14ac:dyDescent="0.15"/>
    <row r="5908" customFormat="1" ht="13" x14ac:dyDescent="0.15"/>
    <row r="5909" customFormat="1" ht="13" x14ac:dyDescent="0.15"/>
    <row r="5910" customFormat="1" ht="13" x14ac:dyDescent="0.15"/>
    <row r="5911" customFormat="1" ht="13" x14ac:dyDescent="0.15"/>
    <row r="5912" customFormat="1" ht="13" x14ac:dyDescent="0.15"/>
    <row r="5913" customFormat="1" ht="13" x14ac:dyDescent="0.15"/>
    <row r="5914" customFormat="1" ht="13" x14ac:dyDescent="0.15"/>
    <row r="5915" customFormat="1" ht="13" x14ac:dyDescent="0.15"/>
    <row r="5916" customFormat="1" ht="13" x14ac:dyDescent="0.15"/>
    <row r="5917" customFormat="1" ht="13" x14ac:dyDescent="0.15"/>
    <row r="5918" customFormat="1" ht="13" x14ac:dyDescent="0.15"/>
    <row r="5919" customFormat="1" ht="13" x14ac:dyDescent="0.15"/>
    <row r="5920" customFormat="1" ht="13" x14ac:dyDescent="0.15"/>
    <row r="5921" customFormat="1" ht="13" x14ac:dyDescent="0.15"/>
    <row r="5922" customFormat="1" ht="13" x14ac:dyDescent="0.15"/>
    <row r="5923" customFormat="1" ht="13" x14ac:dyDescent="0.15"/>
    <row r="5924" customFormat="1" ht="13" x14ac:dyDescent="0.15"/>
    <row r="5925" customFormat="1" ht="13" x14ac:dyDescent="0.15"/>
    <row r="5926" customFormat="1" ht="13" x14ac:dyDescent="0.15"/>
    <row r="5927" customFormat="1" ht="13" x14ac:dyDescent="0.15"/>
    <row r="5928" customFormat="1" ht="13" x14ac:dyDescent="0.15"/>
    <row r="5929" customFormat="1" ht="13" x14ac:dyDescent="0.15"/>
    <row r="5930" customFormat="1" ht="13" x14ac:dyDescent="0.15"/>
    <row r="5931" customFormat="1" ht="13" x14ac:dyDescent="0.15"/>
    <row r="5932" customFormat="1" ht="13" x14ac:dyDescent="0.15"/>
    <row r="5933" customFormat="1" ht="13" x14ac:dyDescent="0.15"/>
    <row r="5934" customFormat="1" ht="13" x14ac:dyDescent="0.15"/>
    <row r="5935" customFormat="1" ht="13" x14ac:dyDescent="0.15"/>
    <row r="5936" customFormat="1" ht="13" x14ac:dyDescent="0.15"/>
    <row r="5937" customFormat="1" ht="13" x14ac:dyDescent="0.15"/>
    <row r="5938" customFormat="1" ht="13" x14ac:dyDescent="0.15"/>
    <row r="5939" customFormat="1" ht="13" x14ac:dyDescent="0.15"/>
    <row r="5940" customFormat="1" ht="13" x14ac:dyDescent="0.15"/>
    <row r="5941" customFormat="1" ht="13" x14ac:dyDescent="0.15"/>
    <row r="5942" customFormat="1" ht="13" x14ac:dyDescent="0.15"/>
    <row r="5943" customFormat="1" ht="13" x14ac:dyDescent="0.15"/>
    <row r="5944" customFormat="1" ht="13" x14ac:dyDescent="0.15"/>
    <row r="5945" customFormat="1" ht="13" x14ac:dyDescent="0.15"/>
    <row r="5946" customFormat="1" ht="13" x14ac:dyDescent="0.15"/>
    <row r="5947" customFormat="1" ht="13" x14ac:dyDescent="0.15"/>
    <row r="5948" customFormat="1" ht="13" x14ac:dyDescent="0.15"/>
    <row r="5949" customFormat="1" ht="13" x14ac:dyDescent="0.15"/>
    <row r="5950" customFormat="1" ht="13" x14ac:dyDescent="0.15"/>
    <row r="5951" customFormat="1" ht="13" x14ac:dyDescent="0.15"/>
    <row r="5952" customFormat="1" ht="13" x14ac:dyDescent="0.15"/>
    <row r="5953" customFormat="1" ht="13" x14ac:dyDescent="0.15"/>
    <row r="5954" customFormat="1" ht="13" x14ac:dyDescent="0.15"/>
    <row r="5955" customFormat="1" ht="13" x14ac:dyDescent="0.15"/>
    <row r="5956" customFormat="1" ht="13" x14ac:dyDescent="0.15"/>
    <row r="5957" customFormat="1" ht="13" x14ac:dyDescent="0.15"/>
    <row r="5958" customFormat="1" ht="13" x14ac:dyDescent="0.15"/>
    <row r="5959" customFormat="1" ht="13" x14ac:dyDescent="0.15"/>
    <row r="5960" customFormat="1" ht="13" x14ac:dyDescent="0.15"/>
    <row r="5961" customFormat="1" ht="13" x14ac:dyDescent="0.15"/>
    <row r="5962" customFormat="1" ht="13" x14ac:dyDescent="0.15"/>
    <row r="5963" customFormat="1" ht="13" x14ac:dyDescent="0.15"/>
    <row r="5964" customFormat="1" ht="13" x14ac:dyDescent="0.15"/>
    <row r="5965" customFormat="1" ht="13" x14ac:dyDescent="0.15"/>
    <row r="5966" customFormat="1" ht="13" x14ac:dyDescent="0.15"/>
    <row r="5967" customFormat="1" ht="13" x14ac:dyDescent="0.15"/>
    <row r="5968" customFormat="1" ht="13" x14ac:dyDescent="0.15"/>
    <row r="5969" customFormat="1" ht="13" x14ac:dyDescent="0.15"/>
    <row r="5970" customFormat="1" ht="13" x14ac:dyDescent="0.15"/>
    <row r="5971" customFormat="1" ht="13" x14ac:dyDescent="0.15"/>
    <row r="5972" customFormat="1" ht="13" x14ac:dyDescent="0.15"/>
    <row r="5973" customFormat="1" ht="13" x14ac:dyDescent="0.15"/>
    <row r="5974" customFormat="1" ht="13" x14ac:dyDescent="0.15"/>
    <row r="5975" customFormat="1" ht="13" x14ac:dyDescent="0.15"/>
    <row r="5976" customFormat="1" ht="13" x14ac:dyDescent="0.15"/>
    <row r="5977" customFormat="1" ht="13" x14ac:dyDescent="0.15"/>
    <row r="5978" customFormat="1" ht="13" x14ac:dyDescent="0.15"/>
    <row r="5979" customFormat="1" ht="13" x14ac:dyDescent="0.15"/>
    <row r="5980" customFormat="1" ht="13" x14ac:dyDescent="0.15"/>
    <row r="5981" customFormat="1" ht="13" x14ac:dyDescent="0.15"/>
    <row r="5982" customFormat="1" ht="13" x14ac:dyDescent="0.15"/>
    <row r="5983" customFormat="1" ht="13" x14ac:dyDescent="0.15"/>
    <row r="5984" customFormat="1" ht="13" x14ac:dyDescent="0.15"/>
    <row r="5985" customFormat="1" ht="13" x14ac:dyDescent="0.15"/>
    <row r="5986" customFormat="1" ht="13" x14ac:dyDescent="0.15"/>
    <row r="5987" customFormat="1" ht="13" x14ac:dyDescent="0.15"/>
    <row r="5988" customFormat="1" ht="13" x14ac:dyDescent="0.15"/>
    <row r="5989" customFormat="1" ht="13" x14ac:dyDescent="0.15"/>
    <row r="5990" customFormat="1" ht="13" x14ac:dyDescent="0.15"/>
    <row r="5991" customFormat="1" ht="13" x14ac:dyDescent="0.15"/>
    <row r="5992" customFormat="1" ht="13" x14ac:dyDescent="0.15"/>
    <row r="5993" customFormat="1" ht="13" x14ac:dyDescent="0.15"/>
    <row r="5994" customFormat="1" ht="13" x14ac:dyDescent="0.15"/>
    <row r="5995" customFormat="1" ht="13" x14ac:dyDescent="0.15"/>
    <row r="5996" customFormat="1" ht="13" x14ac:dyDescent="0.15"/>
    <row r="5997" customFormat="1" ht="13" x14ac:dyDescent="0.15"/>
    <row r="5998" customFormat="1" ht="13" x14ac:dyDescent="0.15"/>
    <row r="5999" customFormat="1" ht="13" x14ac:dyDescent="0.15"/>
    <row r="6000" customFormat="1" ht="13" x14ac:dyDescent="0.15"/>
    <row r="6001" customFormat="1" ht="13" x14ac:dyDescent="0.15"/>
    <row r="6002" customFormat="1" ht="13" x14ac:dyDescent="0.15"/>
    <row r="6003" customFormat="1" ht="13" x14ac:dyDescent="0.15"/>
    <row r="6004" customFormat="1" ht="13" x14ac:dyDescent="0.15"/>
    <row r="6005" customFormat="1" ht="13" x14ac:dyDescent="0.15"/>
    <row r="6006" customFormat="1" ht="13" x14ac:dyDescent="0.15"/>
    <row r="6007" customFormat="1" ht="13" x14ac:dyDescent="0.15"/>
    <row r="6008" customFormat="1" ht="13" x14ac:dyDescent="0.15"/>
    <row r="6009" customFormat="1" ht="13" x14ac:dyDescent="0.15"/>
    <row r="6010" customFormat="1" ht="13" x14ac:dyDescent="0.15"/>
    <row r="6011" customFormat="1" ht="13" x14ac:dyDescent="0.15"/>
    <row r="6012" customFormat="1" ht="13" x14ac:dyDescent="0.15"/>
    <row r="6013" customFormat="1" ht="13" x14ac:dyDescent="0.15"/>
    <row r="6014" customFormat="1" ht="13" x14ac:dyDescent="0.15"/>
    <row r="6015" customFormat="1" ht="13" x14ac:dyDescent="0.15"/>
    <row r="6016" customFormat="1" ht="13" x14ac:dyDescent="0.15"/>
    <row r="6017" customFormat="1" ht="13" x14ac:dyDescent="0.15"/>
    <row r="6018" customFormat="1" ht="13" x14ac:dyDescent="0.15"/>
    <row r="6019" customFormat="1" ht="13" x14ac:dyDescent="0.15"/>
    <row r="6020" customFormat="1" ht="13" x14ac:dyDescent="0.15"/>
    <row r="6021" customFormat="1" ht="13" x14ac:dyDescent="0.15"/>
    <row r="6022" customFormat="1" ht="13" x14ac:dyDescent="0.15"/>
    <row r="6023" customFormat="1" ht="13" x14ac:dyDescent="0.15"/>
    <row r="6024" customFormat="1" ht="13" x14ac:dyDescent="0.15"/>
    <row r="6025" customFormat="1" ht="13" x14ac:dyDescent="0.15"/>
    <row r="6026" customFormat="1" ht="13" x14ac:dyDescent="0.15"/>
    <row r="6027" customFormat="1" ht="13" x14ac:dyDescent="0.15"/>
    <row r="6028" customFormat="1" ht="13" x14ac:dyDescent="0.15"/>
    <row r="6029" customFormat="1" ht="13" x14ac:dyDescent="0.15"/>
    <row r="6030" customFormat="1" ht="13" x14ac:dyDescent="0.15"/>
    <row r="6031" customFormat="1" ht="13" x14ac:dyDescent="0.15"/>
    <row r="6032" customFormat="1" ht="13" x14ac:dyDescent="0.15"/>
    <row r="6033" customFormat="1" ht="13" x14ac:dyDescent="0.15"/>
    <row r="6034" customFormat="1" ht="13" x14ac:dyDescent="0.15"/>
    <row r="6035" customFormat="1" ht="13" x14ac:dyDescent="0.15"/>
    <row r="6036" customFormat="1" ht="13" x14ac:dyDescent="0.15"/>
    <row r="6037" customFormat="1" ht="13" x14ac:dyDescent="0.15"/>
    <row r="6038" customFormat="1" ht="13" x14ac:dyDescent="0.15"/>
    <row r="6039" customFormat="1" ht="13" x14ac:dyDescent="0.15"/>
    <row r="6040" customFormat="1" ht="13" x14ac:dyDescent="0.15"/>
    <row r="6041" customFormat="1" ht="13" x14ac:dyDescent="0.15"/>
    <row r="6042" customFormat="1" ht="13" x14ac:dyDescent="0.15"/>
    <row r="6043" customFormat="1" ht="13" x14ac:dyDescent="0.15"/>
    <row r="6044" customFormat="1" ht="13" x14ac:dyDescent="0.15"/>
    <row r="6045" customFormat="1" ht="13" x14ac:dyDescent="0.15"/>
    <row r="6046" customFormat="1" ht="13" x14ac:dyDescent="0.15"/>
    <row r="6047" customFormat="1" ht="13" x14ac:dyDescent="0.15"/>
    <row r="6048" customFormat="1" ht="13" x14ac:dyDescent="0.15"/>
    <row r="6049" customFormat="1" ht="13" x14ac:dyDescent="0.15"/>
    <row r="6050" customFormat="1" ht="13" x14ac:dyDescent="0.15"/>
    <row r="6051" customFormat="1" ht="13" x14ac:dyDescent="0.15"/>
    <row r="6052" customFormat="1" ht="13" x14ac:dyDescent="0.15"/>
    <row r="6053" customFormat="1" ht="13" x14ac:dyDescent="0.15"/>
    <row r="6054" customFormat="1" ht="13" x14ac:dyDescent="0.15"/>
    <row r="6055" customFormat="1" ht="13" x14ac:dyDescent="0.15"/>
    <row r="6056" customFormat="1" ht="13" x14ac:dyDescent="0.15"/>
    <row r="6057" customFormat="1" ht="13" x14ac:dyDescent="0.15"/>
    <row r="6058" customFormat="1" ht="13" x14ac:dyDescent="0.15"/>
    <row r="6059" customFormat="1" ht="13" x14ac:dyDescent="0.15"/>
    <row r="6060" customFormat="1" ht="13" x14ac:dyDescent="0.15"/>
    <row r="6061" customFormat="1" ht="13" x14ac:dyDescent="0.15"/>
    <row r="6062" customFormat="1" ht="13" x14ac:dyDescent="0.15"/>
    <row r="6063" customFormat="1" ht="13" x14ac:dyDescent="0.15"/>
    <row r="6064" customFormat="1" ht="13" x14ac:dyDescent="0.15"/>
    <row r="6065" customFormat="1" ht="13" x14ac:dyDescent="0.15"/>
    <row r="6066" customFormat="1" ht="13" x14ac:dyDescent="0.15"/>
    <row r="6067" customFormat="1" ht="13" x14ac:dyDescent="0.15"/>
    <row r="6068" customFormat="1" ht="13" x14ac:dyDescent="0.15"/>
    <row r="6069" customFormat="1" ht="13" x14ac:dyDescent="0.15"/>
    <row r="6070" customFormat="1" ht="13" x14ac:dyDescent="0.15"/>
    <row r="6071" customFormat="1" ht="13" x14ac:dyDescent="0.15"/>
    <row r="6072" customFormat="1" ht="13" x14ac:dyDescent="0.15"/>
    <row r="6073" customFormat="1" ht="13" x14ac:dyDescent="0.15"/>
    <row r="6074" customFormat="1" ht="13" x14ac:dyDescent="0.15"/>
    <row r="6075" customFormat="1" ht="13" x14ac:dyDescent="0.15"/>
    <row r="6076" customFormat="1" ht="13" x14ac:dyDescent="0.15"/>
    <row r="6077" customFormat="1" ht="13" x14ac:dyDescent="0.15"/>
    <row r="6078" customFormat="1" ht="13" x14ac:dyDescent="0.15"/>
    <row r="6079" customFormat="1" ht="13" x14ac:dyDescent="0.15"/>
    <row r="6080" customFormat="1" ht="13" x14ac:dyDescent="0.15"/>
    <row r="6081" customFormat="1" ht="13" x14ac:dyDescent="0.15"/>
    <row r="6082" customFormat="1" ht="13" x14ac:dyDescent="0.15"/>
    <row r="6083" customFormat="1" ht="13" x14ac:dyDescent="0.15"/>
    <row r="6084" customFormat="1" ht="13" x14ac:dyDescent="0.15"/>
    <row r="6085" customFormat="1" ht="13" x14ac:dyDescent="0.15"/>
    <row r="6086" customFormat="1" ht="13" x14ac:dyDescent="0.15"/>
    <row r="6087" customFormat="1" ht="13" x14ac:dyDescent="0.15"/>
    <row r="6088" customFormat="1" ht="13" x14ac:dyDescent="0.15"/>
    <row r="6089" customFormat="1" ht="13" x14ac:dyDescent="0.15"/>
    <row r="6090" customFormat="1" ht="13" x14ac:dyDescent="0.15"/>
    <row r="6091" customFormat="1" ht="13" x14ac:dyDescent="0.15"/>
    <row r="6092" customFormat="1" ht="13" x14ac:dyDescent="0.15"/>
    <row r="6093" customFormat="1" ht="13" x14ac:dyDescent="0.15"/>
    <row r="6094" customFormat="1" ht="13" x14ac:dyDescent="0.15"/>
    <row r="6095" customFormat="1" ht="13" x14ac:dyDescent="0.15"/>
    <row r="6096" customFormat="1" ht="13" x14ac:dyDescent="0.15"/>
    <row r="6097" customFormat="1" ht="13" x14ac:dyDescent="0.15"/>
    <row r="6098" customFormat="1" ht="13" x14ac:dyDescent="0.15"/>
    <row r="6099" customFormat="1" ht="13" x14ac:dyDescent="0.15"/>
    <row r="6100" customFormat="1" ht="13" x14ac:dyDescent="0.15"/>
    <row r="6101" customFormat="1" ht="13" x14ac:dyDescent="0.15"/>
    <row r="6102" customFormat="1" ht="13" x14ac:dyDescent="0.15"/>
    <row r="6103" customFormat="1" ht="13" x14ac:dyDescent="0.15"/>
    <row r="6104" customFormat="1" ht="13" x14ac:dyDescent="0.15"/>
    <row r="6105" customFormat="1" ht="13" x14ac:dyDescent="0.15"/>
    <row r="6106" customFormat="1" ht="13" x14ac:dyDescent="0.15"/>
    <row r="6107" customFormat="1" ht="13" x14ac:dyDescent="0.15"/>
    <row r="6108" customFormat="1" ht="13" x14ac:dyDescent="0.15"/>
    <row r="6109" customFormat="1" ht="13" x14ac:dyDescent="0.15"/>
    <row r="6110" customFormat="1" ht="13" x14ac:dyDescent="0.15"/>
    <row r="6111" customFormat="1" ht="13" x14ac:dyDescent="0.15"/>
    <row r="6112" customFormat="1" ht="13" x14ac:dyDescent="0.15"/>
    <row r="6113" customFormat="1" ht="13" x14ac:dyDescent="0.15"/>
    <row r="6114" customFormat="1" ht="13" x14ac:dyDescent="0.15"/>
    <row r="6115" customFormat="1" ht="13" x14ac:dyDescent="0.15"/>
    <row r="6116" customFormat="1" ht="13" x14ac:dyDescent="0.15"/>
    <row r="6117" customFormat="1" ht="13" x14ac:dyDescent="0.15"/>
    <row r="6118" customFormat="1" ht="13" x14ac:dyDescent="0.15"/>
    <row r="6119" customFormat="1" ht="13" x14ac:dyDescent="0.15"/>
    <row r="6120" customFormat="1" ht="13" x14ac:dyDescent="0.15"/>
    <row r="6121" customFormat="1" ht="13" x14ac:dyDescent="0.15"/>
    <row r="6122" customFormat="1" ht="13" x14ac:dyDescent="0.15"/>
    <row r="6123" customFormat="1" ht="13" x14ac:dyDescent="0.15"/>
    <row r="6124" customFormat="1" ht="13" x14ac:dyDescent="0.15"/>
    <row r="6125" customFormat="1" ht="13" x14ac:dyDescent="0.15"/>
    <row r="6126" customFormat="1" ht="13" x14ac:dyDescent="0.15"/>
    <row r="6127" customFormat="1" ht="13" x14ac:dyDescent="0.15"/>
    <row r="6128" customFormat="1" ht="13" x14ac:dyDescent="0.15"/>
    <row r="6129" customFormat="1" ht="13" x14ac:dyDescent="0.15"/>
    <row r="6130" customFormat="1" ht="13" x14ac:dyDescent="0.15"/>
    <row r="6131" customFormat="1" ht="13" x14ac:dyDescent="0.15"/>
    <row r="6132" customFormat="1" ht="13" x14ac:dyDescent="0.15"/>
    <row r="6133" customFormat="1" ht="13" x14ac:dyDescent="0.15"/>
    <row r="6134" customFormat="1" ht="13" x14ac:dyDescent="0.15"/>
    <row r="6135" customFormat="1" ht="13" x14ac:dyDescent="0.15"/>
    <row r="6136" customFormat="1" ht="13" x14ac:dyDescent="0.15"/>
    <row r="6137" customFormat="1" ht="13" x14ac:dyDescent="0.15"/>
    <row r="6138" customFormat="1" ht="13" x14ac:dyDescent="0.15"/>
    <row r="6139" customFormat="1" ht="13" x14ac:dyDescent="0.15"/>
    <row r="6140" customFormat="1" ht="13" x14ac:dyDescent="0.15"/>
    <row r="6141" customFormat="1" ht="13" x14ac:dyDescent="0.15"/>
    <row r="6142" customFormat="1" ht="13" x14ac:dyDescent="0.15"/>
    <row r="6143" customFormat="1" ht="13" x14ac:dyDescent="0.15"/>
    <row r="6144" customFormat="1" ht="13" x14ac:dyDescent="0.15"/>
    <row r="6145" customFormat="1" ht="13" x14ac:dyDescent="0.15"/>
    <row r="6146" customFormat="1" ht="13" x14ac:dyDescent="0.15"/>
    <row r="6147" customFormat="1" ht="13" x14ac:dyDescent="0.15"/>
    <row r="6148" customFormat="1" ht="13" x14ac:dyDescent="0.15"/>
    <row r="6149" customFormat="1" ht="13" x14ac:dyDescent="0.15"/>
    <row r="6150" customFormat="1" ht="13" x14ac:dyDescent="0.15"/>
    <row r="6151" customFormat="1" ht="13" x14ac:dyDescent="0.15"/>
    <row r="6152" customFormat="1" ht="13" x14ac:dyDescent="0.15"/>
    <row r="6153" customFormat="1" ht="13" x14ac:dyDescent="0.15"/>
    <row r="6154" customFormat="1" ht="13" x14ac:dyDescent="0.15"/>
    <row r="6155" customFormat="1" ht="13" x14ac:dyDescent="0.15"/>
    <row r="6156" customFormat="1" ht="13" x14ac:dyDescent="0.15"/>
    <row r="6157" customFormat="1" ht="13" x14ac:dyDescent="0.15"/>
    <row r="6158" customFormat="1" ht="13" x14ac:dyDescent="0.15"/>
    <row r="6159" customFormat="1" ht="13" x14ac:dyDescent="0.15"/>
    <row r="6160" customFormat="1" ht="13" x14ac:dyDescent="0.15"/>
    <row r="6161" customFormat="1" ht="13" x14ac:dyDescent="0.15"/>
    <row r="6162" customFormat="1" ht="13" x14ac:dyDescent="0.15"/>
    <row r="6163" customFormat="1" ht="13" x14ac:dyDescent="0.15"/>
    <row r="6164" customFormat="1" ht="13" x14ac:dyDescent="0.15"/>
    <row r="6165" customFormat="1" ht="13" x14ac:dyDescent="0.15"/>
    <row r="6166" customFormat="1" ht="13" x14ac:dyDescent="0.15"/>
    <row r="6167" customFormat="1" ht="13" x14ac:dyDescent="0.15"/>
    <row r="6168" customFormat="1" ht="13" x14ac:dyDescent="0.15"/>
    <row r="6169" customFormat="1" ht="13" x14ac:dyDescent="0.15"/>
    <row r="6170" customFormat="1" ht="13" x14ac:dyDescent="0.15"/>
    <row r="6171" customFormat="1" ht="13" x14ac:dyDescent="0.15"/>
    <row r="6172" customFormat="1" ht="13" x14ac:dyDescent="0.15"/>
    <row r="6173" customFormat="1" ht="13" x14ac:dyDescent="0.15"/>
    <row r="6174" customFormat="1" ht="13" x14ac:dyDescent="0.15"/>
    <row r="6175" customFormat="1" ht="13" x14ac:dyDescent="0.15"/>
    <row r="6176" customFormat="1" ht="13" x14ac:dyDescent="0.15"/>
    <row r="6177" customFormat="1" ht="13" x14ac:dyDescent="0.15"/>
    <row r="6178" customFormat="1" ht="13" x14ac:dyDescent="0.15"/>
    <row r="6179" customFormat="1" ht="13" x14ac:dyDescent="0.15"/>
    <row r="6180" customFormat="1" ht="13" x14ac:dyDescent="0.15"/>
    <row r="6181" customFormat="1" ht="13" x14ac:dyDescent="0.15"/>
    <row r="6182" customFormat="1" ht="13" x14ac:dyDescent="0.15"/>
    <row r="6183" customFormat="1" ht="13" x14ac:dyDescent="0.15"/>
    <row r="6184" customFormat="1" ht="13" x14ac:dyDescent="0.15"/>
    <row r="6185" customFormat="1" ht="13" x14ac:dyDescent="0.15"/>
    <row r="6186" customFormat="1" ht="13" x14ac:dyDescent="0.15"/>
    <row r="6187" customFormat="1" ht="13" x14ac:dyDescent="0.15"/>
    <row r="6188" customFormat="1" ht="13" x14ac:dyDescent="0.15"/>
    <row r="6189" customFormat="1" ht="13" x14ac:dyDescent="0.15"/>
    <row r="6190" customFormat="1" ht="13" x14ac:dyDescent="0.15"/>
    <row r="6191" customFormat="1" ht="13" x14ac:dyDescent="0.15"/>
    <row r="6192" customFormat="1" ht="13" x14ac:dyDescent="0.15"/>
    <row r="6193" customFormat="1" ht="13" x14ac:dyDescent="0.15"/>
    <row r="6194" customFormat="1" ht="13" x14ac:dyDescent="0.15"/>
    <row r="6195" customFormat="1" ht="13" x14ac:dyDescent="0.15"/>
    <row r="6196" customFormat="1" ht="13" x14ac:dyDescent="0.15"/>
    <row r="6197" customFormat="1" ht="13" x14ac:dyDescent="0.15"/>
    <row r="6198" customFormat="1" ht="13" x14ac:dyDescent="0.15"/>
    <row r="6199" customFormat="1" ht="13" x14ac:dyDescent="0.15"/>
    <row r="6200" customFormat="1" ht="13" x14ac:dyDescent="0.15"/>
    <row r="6201" customFormat="1" ht="13" x14ac:dyDescent="0.15"/>
    <row r="6202" customFormat="1" ht="13" x14ac:dyDescent="0.15"/>
    <row r="6203" customFormat="1" ht="13" x14ac:dyDescent="0.15"/>
    <row r="6204" customFormat="1" ht="13" x14ac:dyDescent="0.15"/>
    <row r="6205" customFormat="1" ht="13" x14ac:dyDescent="0.15"/>
    <row r="6206" customFormat="1" ht="13" x14ac:dyDescent="0.15"/>
    <row r="6207" customFormat="1" ht="13" x14ac:dyDescent="0.15"/>
    <row r="6208" customFormat="1" ht="13" x14ac:dyDescent="0.15"/>
    <row r="6209" customFormat="1" ht="13" x14ac:dyDescent="0.15"/>
    <row r="6210" customFormat="1" ht="13" x14ac:dyDescent="0.15"/>
    <row r="6211" customFormat="1" ht="13" x14ac:dyDescent="0.15"/>
    <row r="6212" customFormat="1" ht="13" x14ac:dyDescent="0.15"/>
    <row r="6213" customFormat="1" ht="13" x14ac:dyDescent="0.15"/>
    <row r="6214" customFormat="1" ht="13" x14ac:dyDescent="0.15"/>
    <row r="6215" customFormat="1" ht="13" x14ac:dyDescent="0.15"/>
    <row r="6216" customFormat="1" ht="13" x14ac:dyDescent="0.15"/>
    <row r="6217" customFormat="1" ht="13" x14ac:dyDescent="0.15"/>
    <row r="6218" customFormat="1" ht="13" x14ac:dyDescent="0.15"/>
    <row r="6219" customFormat="1" ht="13" x14ac:dyDescent="0.15"/>
    <row r="6220" customFormat="1" ht="13" x14ac:dyDescent="0.15"/>
    <row r="6221" customFormat="1" ht="13" x14ac:dyDescent="0.15"/>
    <row r="6222" customFormat="1" ht="13" x14ac:dyDescent="0.15"/>
    <row r="6223" customFormat="1" ht="13" x14ac:dyDescent="0.15"/>
    <row r="6224" customFormat="1" ht="13" x14ac:dyDescent="0.15"/>
    <row r="6225" customFormat="1" ht="13" x14ac:dyDescent="0.15"/>
    <row r="6226" customFormat="1" ht="13" x14ac:dyDescent="0.15"/>
    <row r="6227" customFormat="1" ht="13" x14ac:dyDescent="0.15"/>
    <row r="6228" customFormat="1" ht="13" x14ac:dyDescent="0.15"/>
    <row r="6229" customFormat="1" ht="13" x14ac:dyDescent="0.15"/>
    <row r="6230" customFormat="1" ht="13" x14ac:dyDescent="0.15"/>
    <row r="6231" customFormat="1" ht="13" x14ac:dyDescent="0.15"/>
    <row r="6232" customFormat="1" ht="13" x14ac:dyDescent="0.15"/>
    <row r="6233" customFormat="1" ht="13" x14ac:dyDescent="0.15"/>
    <row r="6234" customFormat="1" ht="13" x14ac:dyDescent="0.15"/>
    <row r="6235" customFormat="1" ht="13" x14ac:dyDescent="0.15"/>
    <row r="6236" customFormat="1" ht="13" x14ac:dyDescent="0.15"/>
    <row r="6237" customFormat="1" ht="13" x14ac:dyDescent="0.15"/>
    <row r="6238" customFormat="1" ht="13" x14ac:dyDescent="0.15"/>
    <row r="6239" customFormat="1" ht="13" x14ac:dyDescent="0.15"/>
    <row r="6240" customFormat="1" ht="13" x14ac:dyDescent="0.15"/>
    <row r="6241" customFormat="1" ht="13" x14ac:dyDescent="0.15"/>
    <row r="6242" customFormat="1" ht="13" x14ac:dyDescent="0.15"/>
    <row r="6243" customFormat="1" ht="13" x14ac:dyDescent="0.15"/>
    <row r="6244" customFormat="1" ht="13" x14ac:dyDescent="0.15"/>
    <row r="6245" customFormat="1" ht="13" x14ac:dyDescent="0.15"/>
    <row r="6246" customFormat="1" ht="13" x14ac:dyDescent="0.15"/>
    <row r="6247" customFormat="1" ht="13" x14ac:dyDescent="0.15"/>
    <row r="6248" customFormat="1" ht="13" x14ac:dyDescent="0.15"/>
    <row r="6249" customFormat="1" ht="13" x14ac:dyDescent="0.15"/>
    <row r="6250" customFormat="1" ht="13" x14ac:dyDescent="0.15"/>
    <row r="6251" customFormat="1" ht="13" x14ac:dyDescent="0.15"/>
    <row r="6252" customFormat="1" ht="13" x14ac:dyDescent="0.15"/>
    <row r="6253" customFormat="1" ht="13" x14ac:dyDescent="0.15"/>
    <row r="6254" customFormat="1" ht="13" x14ac:dyDescent="0.15"/>
    <row r="6255" customFormat="1" ht="13" x14ac:dyDescent="0.15"/>
    <row r="6256" customFormat="1" ht="13" x14ac:dyDescent="0.15"/>
    <row r="6257" customFormat="1" ht="13" x14ac:dyDescent="0.15"/>
    <row r="6258" customFormat="1" ht="13" x14ac:dyDescent="0.15"/>
    <row r="6259" customFormat="1" ht="13" x14ac:dyDescent="0.15"/>
    <row r="6260" customFormat="1" ht="13" x14ac:dyDescent="0.15"/>
    <row r="6261" customFormat="1" ht="13" x14ac:dyDescent="0.15"/>
    <row r="6262" customFormat="1" ht="13" x14ac:dyDescent="0.15"/>
    <row r="6263" customFormat="1" ht="13" x14ac:dyDescent="0.15"/>
    <row r="6264" customFormat="1" ht="13" x14ac:dyDescent="0.15"/>
    <row r="6265" customFormat="1" ht="13" x14ac:dyDescent="0.15"/>
    <row r="6266" customFormat="1" ht="13" x14ac:dyDescent="0.15"/>
    <row r="6267" customFormat="1" ht="13" x14ac:dyDescent="0.15"/>
    <row r="6268" customFormat="1" ht="13" x14ac:dyDescent="0.15"/>
    <row r="6269" customFormat="1" ht="13" x14ac:dyDescent="0.15"/>
    <row r="6270" customFormat="1" ht="13" x14ac:dyDescent="0.15"/>
    <row r="6271" customFormat="1" ht="13" x14ac:dyDescent="0.15"/>
    <row r="6272" customFormat="1" ht="13" x14ac:dyDescent="0.15"/>
    <row r="6273" customFormat="1" ht="13" x14ac:dyDescent="0.15"/>
    <row r="6274" customFormat="1" ht="13" x14ac:dyDescent="0.15"/>
    <row r="6275" customFormat="1" ht="13" x14ac:dyDescent="0.15"/>
    <row r="6276" customFormat="1" ht="13" x14ac:dyDescent="0.15"/>
    <row r="6277" customFormat="1" ht="13" x14ac:dyDescent="0.15"/>
    <row r="6278" customFormat="1" ht="13" x14ac:dyDescent="0.15"/>
    <row r="6279" customFormat="1" ht="13" x14ac:dyDescent="0.15"/>
    <row r="6280" customFormat="1" ht="13" x14ac:dyDescent="0.15"/>
    <row r="6281" customFormat="1" ht="13" x14ac:dyDescent="0.15"/>
    <row r="6282" customFormat="1" ht="13" x14ac:dyDescent="0.15"/>
    <row r="6283" customFormat="1" ht="13" x14ac:dyDescent="0.15"/>
    <row r="6284" customFormat="1" ht="13" x14ac:dyDescent="0.15"/>
    <row r="6285" customFormat="1" ht="13" x14ac:dyDescent="0.15"/>
    <row r="6286" customFormat="1" ht="13" x14ac:dyDescent="0.15"/>
    <row r="6287" customFormat="1" ht="13" x14ac:dyDescent="0.15"/>
    <row r="6288" customFormat="1" ht="13" x14ac:dyDescent="0.15"/>
    <row r="6289" customFormat="1" ht="13" x14ac:dyDescent="0.15"/>
    <row r="6290" customFormat="1" ht="13" x14ac:dyDescent="0.15"/>
    <row r="6291" customFormat="1" ht="13" x14ac:dyDescent="0.15"/>
    <row r="6292" customFormat="1" ht="13" x14ac:dyDescent="0.15"/>
    <row r="6293" customFormat="1" ht="13" x14ac:dyDescent="0.15"/>
    <row r="6294" customFormat="1" ht="13" x14ac:dyDescent="0.15"/>
    <row r="6295" customFormat="1" ht="13" x14ac:dyDescent="0.15"/>
    <row r="6296" customFormat="1" ht="13" x14ac:dyDescent="0.15"/>
    <row r="6297" customFormat="1" ht="13" x14ac:dyDescent="0.15"/>
    <row r="6298" customFormat="1" ht="13" x14ac:dyDescent="0.15"/>
    <row r="6299" customFormat="1" ht="13" x14ac:dyDescent="0.15"/>
    <row r="6300" customFormat="1" ht="13" x14ac:dyDescent="0.15"/>
    <row r="6301" customFormat="1" ht="13" x14ac:dyDescent="0.15"/>
    <row r="6302" customFormat="1" ht="13" x14ac:dyDescent="0.15"/>
    <row r="6303" customFormat="1" ht="13" x14ac:dyDescent="0.15"/>
    <row r="6304" customFormat="1" ht="13" x14ac:dyDescent="0.15"/>
    <row r="6305" customFormat="1" ht="13" x14ac:dyDescent="0.15"/>
    <row r="6306" customFormat="1" ht="13" x14ac:dyDescent="0.15"/>
    <row r="6307" customFormat="1" ht="13" x14ac:dyDescent="0.15"/>
    <row r="6308" customFormat="1" ht="13" x14ac:dyDescent="0.15"/>
    <row r="6309" customFormat="1" ht="13" x14ac:dyDescent="0.15"/>
    <row r="6310" customFormat="1" ht="13" x14ac:dyDescent="0.15"/>
    <row r="6311" customFormat="1" ht="13" x14ac:dyDescent="0.15"/>
    <row r="6312" customFormat="1" ht="13" x14ac:dyDescent="0.15"/>
    <row r="6313" customFormat="1" ht="13" x14ac:dyDescent="0.15"/>
    <row r="6314" customFormat="1" ht="13" x14ac:dyDescent="0.15"/>
    <row r="6315" customFormat="1" ht="13" x14ac:dyDescent="0.15"/>
    <row r="6316" customFormat="1" ht="13" x14ac:dyDescent="0.15"/>
    <row r="6317" customFormat="1" ht="13" x14ac:dyDescent="0.15"/>
    <row r="6318" customFormat="1" ht="13" x14ac:dyDescent="0.15"/>
    <row r="6319" customFormat="1" ht="13" x14ac:dyDescent="0.15"/>
    <row r="6320" customFormat="1" ht="13" x14ac:dyDescent="0.15"/>
    <row r="6321" customFormat="1" ht="13" x14ac:dyDescent="0.15"/>
    <row r="6322" customFormat="1" ht="13" x14ac:dyDescent="0.15"/>
    <row r="6323" customFormat="1" ht="13" x14ac:dyDescent="0.15"/>
    <row r="6324" customFormat="1" ht="13" x14ac:dyDescent="0.15"/>
    <row r="6325" customFormat="1" ht="13" x14ac:dyDescent="0.15"/>
    <row r="6326" customFormat="1" ht="13" x14ac:dyDescent="0.15"/>
    <row r="6327" customFormat="1" ht="13" x14ac:dyDescent="0.15"/>
    <row r="6328" customFormat="1" ht="13" x14ac:dyDescent="0.15"/>
    <row r="6329" customFormat="1" ht="13" x14ac:dyDescent="0.15"/>
    <row r="6330" customFormat="1" ht="13" x14ac:dyDescent="0.15"/>
    <row r="6331" customFormat="1" ht="13" x14ac:dyDescent="0.15"/>
    <row r="6332" customFormat="1" ht="13" x14ac:dyDescent="0.15"/>
    <row r="6333" customFormat="1" ht="13" x14ac:dyDescent="0.15"/>
    <row r="6334" customFormat="1" ht="13" x14ac:dyDescent="0.15"/>
    <row r="6335" customFormat="1" ht="13" x14ac:dyDescent="0.15"/>
    <row r="6336" customFormat="1" ht="13" x14ac:dyDescent="0.15"/>
    <row r="6337" customFormat="1" ht="13" x14ac:dyDescent="0.15"/>
    <row r="6338" customFormat="1" ht="13" x14ac:dyDescent="0.15"/>
    <row r="6339" customFormat="1" ht="13" x14ac:dyDescent="0.15"/>
    <row r="6340" customFormat="1" ht="13" x14ac:dyDescent="0.15"/>
    <row r="6341" customFormat="1" ht="13" x14ac:dyDescent="0.15"/>
    <row r="6342" customFormat="1" ht="13" x14ac:dyDescent="0.15"/>
    <row r="6343" customFormat="1" ht="13" x14ac:dyDescent="0.15"/>
    <row r="6344" customFormat="1" ht="13" x14ac:dyDescent="0.15"/>
    <row r="6345" customFormat="1" ht="13" x14ac:dyDescent="0.15"/>
    <row r="6346" customFormat="1" ht="13" x14ac:dyDescent="0.15"/>
    <row r="6347" customFormat="1" ht="13" x14ac:dyDescent="0.15"/>
    <row r="6348" customFormat="1" ht="13" x14ac:dyDescent="0.15"/>
    <row r="6349" customFormat="1" ht="13" x14ac:dyDescent="0.15"/>
    <row r="6350" customFormat="1" ht="13" x14ac:dyDescent="0.15"/>
    <row r="6351" customFormat="1" ht="13" x14ac:dyDescent="0.15"/>
    <row r="6352" customFormat="1" ht="13" x14ac:dyDescent="0.15"/>
    <row r="6353" customFormat="1" ht="13" x14ac:dyDescent="0.15"/>
    <row r="6354" customFormat="1" ht="13" x14ac:dyDescent="0.15"/>
    <row r="6355" customFormat="1" ht="13" x14ac:dyDescent="0.15"/>
    <row r="6356" customFormat="1" ht="13" x14ac:dyDescent="0.15"/>
    <row r="6357" customFormat="1" ht="13" x14ac:dyDescent="0.15"/>
    <row r="6358" customFormat="1" ht="13" x14ac:dyDescent="0.15"/>
    <row r="6359" customFormat="1" ht="13" x14ac:dyDescent="0.15"/>
    <row r="6360" customFormat="1" ht="13" x14ac:dyDescent="0.15"/>
    <row r="6361" customFormat="1" ht="13" x14ac:dyDescent="0.15"/>
    <row r="6362" customFormat="1" ht="13" x14ac:dyDescent="0.15"/>
    <row r="6363" customFormat="1" ht="13" x14ac:dyDescent="0.15"/>
    <row r="6364" customFormat="1" ht="13" x14ac:dyDescent="0.15"/>
    <row r="6365" customFormat="1" ht="13" x14ac:dyDescent="0.15"/>
    <row r="6366" customFormat="1" ht="13" x14ac:dyDescent="0.15"/>
    <row r="6367" customFormat="1" ht="13" x14ac:dyDescent="0.15"/>
    <row r="6368" customFormat="1" ht="13" x14ac:dyDescent="0.15"/>
    <row r="6369" customFormat="1" ht="13" x14ac:dyDescent="0.15"/>
    <row r="6370" customFormat="1" ht="13" x14ac:dyDescent="0.15"/>
    <row r="6371" customFormat="1" ht="13" x14ac:dyDescent="0.15"/>
    <row r="6372" customFormat="1" ht="13" x14ac:dyDescent="0.15"/>
    <row r="6373" customFormat="1" ht="13" x14ac:dyDescent="0.15"/>
    <row r="6374" customFormat="1" ht="13" x14ac:dyDescent="0.15"/>
    <row r="6375" customFormat="1" ht="13" x14ac:dyDescent="0.15"/>
    <row r="6376" customFormat="1" ht="13" x14ac:dyDescent="0.15"/>
    <row r="6377" customFormat="1" ht="13" x14ac:dyDescent="0.15"/>
    <row r="6378" customFormat="1" ht="13" x14ac:dyDescent="0.15"/>
    <row r="6379" customFormat="1" ht="13" x14ac:dyDescent="0.15"/>
    <row r="6380" customFormat="1" ht="13" x14ac:dyDescent="0.15"/>
    <row r="6381" customFormat="1" ht="13" x14ac:dyDescent="0.15"/>
    <row r="6382" customFormat="1" ht="13" x14ac:dyDescent="0.15"/>
    <row r="6383" customFormat="1" ht="13" x14ac:dyDescent="0.15"/>
    <row r="6384" customFormat="1" ht="13" x14ac:dyDescent="0.15"/>
    <row r="6385" customFormat="1" ht="13" x14ac:dyDescent="0.15"/>
    <row r="6386" customFormat="1" ht="13" x14ac:dyDescent="0.15"/>
    <row r="6387" customFormat="1" ht="13" x14ac:dyDescent="0.15"/>
    <row r="6388" customFormat="1" ht="13" x14ac:dyDescent="0.15"/>
    <row r="6389" customFormat="1" ht="13" x14ac:dyDescent="0.15"/>
    <row r="6390" customFormat="1" ht="13" x14ac:dyDescent="0.15"/>
    <row r="6391" customFormat="1" ht="13" x14ac:dyDescent="0.15"/>
    <row r="6392" customFormat="1" ht="13" x14ac:dyDescent="0.15"/>
    <row r="6393" customFormat="1" ht="13" x14ac:dyDescent="0.15"/>
    <row r="6394" customFormat="1" ht="13" x14ac:dyDescent="0.15"/>
    <row r="6395" customFormat="1" ht="13" x14ac:dyDescent="0.15"/>
    <row r="6396" customFormat="1" ht="13" x14ac:dyDescent="0.15"/>
    <row r="6397" customFormat="1" ht="13" x14ac:dyDescent="0.15"/>
    <row r="6398" customFormat="1" ht="13" x14ac:dyDescent="0.15"/>
    <row r="6399" customFormat="1" ht="13" x14ac:dyDescent="0.15"/>
    <row r="6400" customFormat="1" ht="13" x14ac:dyDescent="0.15"/>
    <row r="6401" customFormat="1" ht="13" x14ac:dyDescent="0.15"/>
    <row r="6402" customFormat="1" ht="13" x14ac:dyDescent="0.15"/>
    <row r="6403" customFormat="1" ht="13" x14ac:dyDescent="0.15"/>
    <row r="6404" customFormat="1" ht="13" x14ac:dyDescent="0.15"/>
    <row r="6405" customFormat="1" ht="13" x14ac:dyDescent="0.15"/>
    <row r="6406" customFormat="1" ht="13" x14ac:dyDescent="0.15"/>
    <row r="6407" customFormat="1" ht="13" x14ac:dyDescent="0.15"/>
    <row r="6408" customFormat="1" ht="13" x14ac:dyDescent="0.15"/>
    <row r="6409" customFormat="1" ht="13" x14ac:dyDescent="0.15"/>
    <row r="6410" customFormat="1" ht="13" x14ac:dyDescent="0.15"/>
    <row r="6411" customFormat="1" ht="13" x14ac:dyDescent="0.15"/>
    <row r="6412" customFormat="1" ht="13" x14ac:dyDescent="0.15"/>
    <row r="6413" customFormat="1" ht="13" x14ac:dyDescent="0.15"/>
    <row r="6414" customFormat="1" ht="13" x14ac:dyDescent="0.15"/>
    <row r="6415" customFormat="1" ht="13" x14ac:dyDescent="0.15"/>
    <row r="6416" customFormat="1" ht="13" x14ac:dyDescent="0.15"/>
    <row r="6417" customFormat="1" ht="13" x14ac:dyDescent="0.15"/>
    <row r="6418" customFormat="1" ht="13" x14ac:dyDescent="0.15"/>
    <row r="6419" customFormat="1" ht="13" x14ac:dyDescent="0.15"/>
    <row r="6420" customFormat="1" ht="13" x14ac:dyDescent="0.15"/>
    <row r="6421" customFormat="1" ht="13" x14ac:dyDescent="0.15"/>
    <row r="6422" customFormat="1" ht="13" x14ac:dyDescent="0.15"/>
    <row r="6423" customFormat="1" ht="13" x14ac:dyDescent="0.15"/>
    <row r="6424" customFormat="1" ht="13" x14ac:dyDescent="0.15"/>
    <row r="6425" customFormat="1" ht="13" x14ac:dyDescent="0.15"/>
    <row r="6426" customFormat="1" ht="13" x14ac:dyDescent="0.15"/>
    <row r="6427" customFormat="1" ht="13" x14ac:dyDescent="0.15"/>
    <row r="6428" customFormat="1" ht="13" x14ac:dyDescent="0.15"/>
    <row r="6429" customFormat="1" ht="13" x14ac:dyDescent="0.15"/>
    <row r="6430" customFormat="1" ht="13" x14ac:dyDescent="0.15"/>
    <row r="6431" customFormat="1" ht="13" x14ac:dyDescent="0.15"/>
    <row r="6432" customFormat="1" ht="13" x14ac:dyDescent="0.15"/>
    <row r="6433" customFormat="1" ht="13" x14ac:dyDescent="0.15"/>
    <row r="6434" customFormat="1" ht="13" x14ac:dyDescent="0.15"/>
    <row r="6435" customFormat="1" ht="13" x14ac:dyDescent="0.15"/>
    <row r="6436" customFormat="1" ht="13" x14ac:dyDescent="0.15"/>
    <row r="6437" customFormat="1" ht="13" x14ac:dyDescent="0.15"/>
    <row r="6438" customFormat="1" ht="13" x14ac:dyDescent="0.15"/>
    <row r="6439" customFormat="1" ht="13" x14ac:dyDescent="0.15"/>
    <row r="6440" customFormat="1" ht="13" x14ac:dyDescent="0.15"/>
    <row r="6441" customFormat="1" ht="13" x14ac:dyDescent="0.15"/>
    <row r="6442" customFormat="1" ht="13" x14ac:dyDescent="0.15"/>
    <row r="6443" customFormat="1" ht="13" x14ac:dyDescent="0.15"/>
    <row r="6444" customFormat="1" ht="13" x14ac:dyDescent="0.15"/>
    <row r="6445" customFormat="1" ht="13" x14ac:dyDescent="0.15"/>
    <row r="6446" customFormat="1" ht="13" x14ac:dyDescent="0.15"/>
    <row r="6447" customFormat="1" ht="13" x14ac:dyDescent="0.15"/>
    <row r="6448" customFormat="1" ht="13" x14ac:dyDescent="0.15"/>
    <row r="6449" customFormat="1" ht="13" x14ac:dyDescent="0.15"/>
    <row r="6450" customFormat="1" ht="13" x14ac:dyDescent="0.15"/>
    <row r="6451" customFormat="1" ht="13" x14ac:dyDescent="0.15"/>
    <row r="6452" customFormat="1" ht="13" x14ac:dyDescent="0.15"/>
    <row r="6453" customFormat="1" ht="13" x14ac:dyDescent="0.15"/>
    <row r="6454" customFormat="1" ht="13" x14ac:dyDescent="0.15"/>
    <row r="6455" customFormat="1" ht="13" x14ac:dyDescent="0.15"/>
    <row r="6456" customFormat="1" ht="13" x14ac:dyDescent="0.15"/>
    <row r="6457" customFormat="1" ht="13" x14ac:dyDescent="0.15"/>
    <row r="6458" customFormat="1" ht="13" x14ac:dyDescent="0.15"/>
    <row r="6459" customFormat="1" ht="13" x14ac:dyDescent="0.15"/>
    <row r="6460" customFormat="1" ht="13" x14ac:dyDescent="0.15"/>
    <row r="6461" customFormat="1" ht="13" x14ac:dyDescent="0.15"/>
    <row r="6462" customFormat="1" ht="13" x14ac:dyDescent="0.15"/>
    <row r="6463" customFormat="1" ht="13" x14ac:dyDescent="0.15"/>
    <row r="6464" customFormat="1" ht="13" x14ac:dyDescent="0.15"/>
    <row r="6465" customFormat="1" ht="13" x14ac:dyDescent="0.15"/>
    <row r="6466" customFormat="1" ht="13" x14ac:dyDescent="0.15"/>
    <row r="6467" customFormat="1" ht="13" x14ac:dyDescent="0.15"/>
    <row r="6468" customFormat="1" ht="13" x14ac:dyDescent="0.15"/>
    <row r="6469" customFormat="1" ht="13" x14ac:dyDescent="0.15"/>
    <row r="6470" customFormat="1" ht="13" x14ac:dyDescent="0.15"/>
    <row r="6471" customFormat="1" ht="13" x14ac:dyDescent="0.15"/>
    <row r="6472" customFormat="1" ht="13" x14ac:dyDescent="0.15"/>
    <row r="6473" customFormat="1" ht="13" x14ac:dyDescent="0.15"/>
    <row r="6474" customFormat="1" ht="13" x14ac:dyDescent="0.15"/>
    <row r="6475" customFormat="1" ht="13" x14ac:dyDescent="0.15"/>
    <row r="6476" customFormat="1" ht="13" x14ac:dyDescent="0.15"/>
    <row r="6477" customFormat="1" ht="13" x14ac:dyDescent="0.15"/>
    <row r="6478" customFormat="1" ht="13" x14ac:dyDescent="0.15"/>
    <row r="6479" customFormat="1" ht="13" x14ac:dyDescent="0.15"/>
    <row r="6480" customFormat="1" ht="13" x14ac:dyDescent="0.15"/>
    <row r="6481" customFormat="1" ht="13" x14ac:dyDescent="0.15"/>
    <row r="6482" customFormat="1" ht="13" x14ac:dyDescent="0.15"/>
    <row r="6483" customFormat="1" ht="13" x14ac:dyDescent="0.15"/>
    <row r="6484" customFormat="1" ht="13" x14ac:dyDescent="0.15"/>
    <row r="6485" customFormat="1" ht="13" x14ac:dyDescent="0.15"/>
    <row r="6486" customFormat="1" ht="13" x14ac:dyDescent="0.15"/>
    <row r="6487" customFormat="1" ht="13" x14ac:dyDescent="0.15"/>
    <row r="6488" customFormat="1" ht="13" x14ac:dyDescent="0.15"/>
    <row r="6489" customFormat="1" ht="13" x14ac:dyDescent="0.15"/>
    <row r="6490" customFormat="1" ht="13" x14ac:dyDescent="0.15"/>
    <row r="6491" customFormat="1" ht="13" x14ac:dyDescent="0.15"/>
    <row r="6492" customFormat="1" ht="13" x14ac:dyDescent="0.15"/>
    <row r="6493" customFormat="1" ht="13" x14ac:dyDescent="0.15"/>
    <row r="6494" customFormat="1" ht="13" x14ac:dyDescent="0.15"/>
    <row r="6495" customFormat="1" ht="13" x14ac:dyDescent="0.15"/>
    <row r="6496" customFormat="1" ht="13" x14ac:dyDescent="0.15"/>
    <row r="6497" customFormat="1" ht="13" x14ac:dyDescent="0.15"/>
    <row r="6498" customFormat="1" ht="13" x14ac:dyDescent="0.15"/>
    <row r="6499" customFormat="1" ht="13" x14ac:dyDescent="0.15"/>
    <row r="6500" customFormat="1" ht="13" x14ac:dyDescent="0.15"/>
    <row r="6501" customFormat="1" ht="13" x14ac:dyDescent="0.15"/>
    <row r="6502" customFormat="1" ht="13" x14ac:dyDescent="0.15"/>
    <row r="6503" customFormat="1" ht="13" x14ac:dyDescent="0.15"/>
    <row r="6504" customFormat="1" ht="13" x14ac:dyDescent="0.15"/>
    <row r="6505" customFormat="1" ht="13" x14ac:dyDescent="0.15"/>
    <row r="6506" customFormat="1" ht="13" x14ac:dyDescent="0.15"/>
    <row r="6507" customFormat="1" ht="13" x14ac:dyDescent="0.15"/>
    <row r="6508" customFormat="1" ht="13" x14ac:dyDescent="0.15"/>
    <row r="6509" customFormat="1" ht="13" x14ac:dyDescent="0.15"/>
    <row r="6510" customFormat="1" ht="13" x14ac:dyDescent="0.15"/>
    <row r="6511" customFormat="1" ht="13" x14ac:dyDescent="0.15"/>
    <row r="6512" customFormat="1" ht="13" x14ac:dyDescent="0.15"/>
    <row r="6513" customFormat="1" ht="13" x14ac:dyDescent="0.15"/>
    <row r="6514" customFormat="1" ht="13" x14ac:dyDescent="0.15"/>
    <row r="6515" customFormat="1" ht="13" x14ac:dyDescent="0.15"/>
    <row r="6516" customFormat="1" ht="13" x14ac:dyDescent="0.15"/>
    <row r="6517" customFormat="1" ht="13" x14ac:dyDescent="0.15"/>
    <row r="6518" customFormat="1" ht="13" x14ac:dyDescent="0.15"/>
    <row r="6519" customFormat="1" ht="13" x14ac:dyDescent="0.15"/>
    <row r="6520" customFormat="1" ht="13" x14ac:dyDescent="0.15"/>
    <row r="6521" customFormat="1" ht="13" x14ac:dyDescent="0.15"/>
    <row r="6522" customFormat="1" ht="13" x14ac:dyDescent="0.15"/>
    <row r="6523" customFormat="1" ht="13" x14ac:dyDescent="0.15"/>
    <row r="6524" customFormat="1" ht="13" x14ac:dyDescent="0.15"/>
    <row r="6525" customFormat="1" ht="13" x14ac:dyDescent="0.15"/>
    <row r="6526" customFormat="1" ht="13" x14ac:dyDescent="0.15"/>
    <row r="6527" customFormat="1" ht="13" x14ac:dyDescent="0.15"/>
    <row r="6528" customFormat="1" ht="13" x14ac:dyDescent="0.15"/>
    <row r="6529" customFormat="1" ht="13" x14ac:dyDescent="0.15"/>
    <row r="6530" customFormat="1" ht="13" x14ac:dyDescent="0.15"/>
    <row r="6531" customFormat="1" ht="13" x14ac:dyDescent="0.15"/>
    <row r="6532" customFormat="1" ht="13" x14ac:dyDescent="0.15"/>
    <row r="6533" customFormat="1" ht="13" x14ac:dyDescent="0.15"/>
    <row r="6534" customFormat="1" ht="13" x14ac:dyDescent="0.15"/>
    <row r="6535" customFormat="1" ht="13" x14ac:dyDescent="0.15"/>
    <row r="6536" customFormat="1" ht="13" x14ac:dyDescent="0.15"/>
    <row r="6537" customFormat="1" ht="13" x14ac:dyDescent="0.15"/>
    <row r="6538" customFormat="1" ht="13" x14ac:dyDescent="0.15"/>
    <row r="6539" customFormat="1" ht="13" x14ac:dyDescent="0.15"/>
    <row r="6540" customFormat="1" ht="13" x14ac:dyDescent="0.15"/>
    <row r="6541" customFormat="1" ht="13" x14ac:dyDescent="0.15"/>
    <row r="6542" customFormat="1" ht="13" x14ac:dyDescent="0.15"/>
    <row r="6543" customFormat="1" ht="13" x14ac:dyDescent="0.15"/>
    <row r="6544" customFormat="1" ht="13" x14ac:dyDescent="0.15"/>
    <row r="6545" customFormat="1" ht="13" x14ac:dyDescent="0.15"/>
    <row r="6546" customFormat="1" ht="13" x14ac:dyDescent="0.15"/>
    <row r="6547" customFormat="1" ht="13" x14ac:dyDescent="0.15"/>
    <row r="6548" customFormat="1" ht="13" x14ac:dyDescent="0.15"/>
    <row r="6549" customFormat="1" ht="13" x14ac:dyDescent="0.15"/>
    <row r="6550" customFormat="1" ht="13" x14ac:dyDescent="0.15"/>
    <row r="6551" customFormat="1" ht="13" x14ac:dyDescent="0.15"/>
    <row r="6552" customFormat="1" ht="13" x14ac:dyDescent="0.15"/>
    <row r="6553" customFormat="1" ht="13" x14ac:dyDescent="0.15"/>
    <row r="6554" customFormat="1" ht="13" x14ac:dyDescent="0.15"/>
    <row r="6555" customFormat="1" ht="13" x14ac:dyDescent="0.15"/>
    <row r="6556" customFormat="1" ht="13" x14ac:dyDescent="0.15"/>
    <row r="6557" customFormat="1" ht="13" x14ac:dyDescent="0.15"/>
    <row r="6558" customFormat="1" ht="13" x14ac:dyDescent="0.15"/>
    <row r="6559" customFormat="1" ht="13" x14ac:dyDescent="0.15"/>
    <row r="6560" customFormat="1" ht="13" x14ac:dyDescent="0.15"/>
    <row r="6561" customFormat="1" ht="13" x14ac:dyDescent="0.15"/>
    <row r="6562" customFormat="1" ht="13" x14ac:dyDescent="0.15"/>
    <row r="6563" customFormat="1" ht="13" x14ac:dyDescent="0.15"/>
    <row r="6564" customFormat="1" ht="13" x14ac:dyDescent="0.15"/>
    <row r="6565" customFormat="1" ht="13" x14ac:dyDescent="0.15"/>
    <row r="6566" customFormat="1" ht="13" x14ac:dyDescent="0.15"/>
    <row r="6567" customFormat="1" ht="13" x14ac:dyDescent="0.15"/>
    <row r="6568" customFormat="1" ht="13" x14ac:dyDescent="0.15"/>
    <row r="6569" customFormat="1" ht="13" x14ac:dyDescent="0.15"/>
    <row r="6570" customFormat="1" ht="13" x14ac:dyDescent="0.15"/>
    <row r="6571" customFormat="1" ht="13" x14ac:dyDescent="0.15"/>
    <row r="6572" customFormat="1" ht="13" x14ac:dyDescent="0.15"/>
    <row r="6573" customFormat="1" ht="13" x14ac:dyDescent="0.15"/>
    <row r="6574" customFormat="1" ht="13" x14ac:dyDescent="0.15"/>
    <row r="6575" customFormat="1" ht="13" x14ac:dyDescent="0.15"/>
    <row r="6576" customFormat="1" ht="13" x14ac:dyDescent="0.15"/>
    <row r="6577" customFormat="1" ht="13" x14ac:dyDescent="0.15"/>
    <row r="6578" customFormat="1" ht="13" x14ac:dyDescent="0.15"/>
    <row r="6579" customFormat="1" ht="13" x14ac:dyDescent="0.15"/>
    <row r="6580" customFormat="1" ht="13" x14ac:dyDescent="0.15"/>
    <row r="6581" customFormat="1" ht="13" x14ac:dyDescent="0.15"/>
    <row r="6582" customFormat="1" ht="13" x14ac:dyDescent="0.15"/>
    <row r="6583" customFormat="1" ht="13" x14ac:dyDescent="0.15"/>
    <row r="6584" customFormat="1" ht="13" x14ac:dyDescent="0.15"/>
    <row r="6585" customFormat="1" ht="13" x14ac:dyDescent="0.15"/>
    <row r="6586" customFormat="1" ht="13" x14ac:dyDescent="0.15"/>
    <row r="6587" customFormat="1" ht="13" x14ac:dyDescent="0.15"/>
    <row r="6588" customFormat="1" ht="13" x14ac:dyDescent="0.15"/>
    <row r="6589" customFormat="1" ht="13" x14ac:dyDescent="0.15"/>
    <row r="6590" customFormat="1" ht="13" x14ac:dyDescent="0.15"/>
    <row r="6591" customFormat="1" ht="13" x14ac:dyDescent="0.15"/>
    <row r="6592" customFormat="1" ht="13" x14ac:dyDescent="0.15"/>
    <row r="6593" customFormat="1" ht="13" x14ac:dyDescent="0.15"/>
    <row r="6594" customFormat="1" ht="13" x14ac:dyDescent="0.15"/>
    <row r="6595" customFormat="1" ht="13" x14ac:dyDescent="0.15"/>
    <row r="6596" customFormat="1" ht="13" x14ac:dyDescent="0.15"/>
    <row r="6597" customFormat="1" ht="13" x14ac:dyDescent="0.15"/>
    <row r="6598" customFormat="1" ht="13" x14ac:dyDescent="0.15"/>
    <row r="6599" customFormat="1" ht="13" x14ac:dyDescent="0.15"/>
    <row r="6600" customFormat="1" ht="13" x14ac:dyDescent="0.15"/>
    <row r="6601" customFormat="1" ht="13" x14ac:dyDescent="0.15"/>
    <row r="6602" customFormat="1" ht="13" x14ac:dyDescent="0.15"/>
    <row r="6603" customFormat="1" ht="13" x14ac:dyDescent="0.15"/>
    <row r="6604" customFormat="1" ht="13" x14ac:dyDescent="0.15"/>
    <row r="6605" customFormat="1" ht="13" x14ac:dyDescent="0.15"/>
    <row r="6606" customFormat="1" ht="13" x14ac:dyDescent="0.15"/>
    <row r="6607" customFormat="1" ht="13" x14ac:dyDescent="0.15"/>
    <row r="6608" customFormat="1" ht="13" x14ac:dyDescent="0.15"/>
    <row r="6609" customFormat="1" ht="13" x14ac:dyDescent="0.15"/>
    <row r="6610" customFormat="1" ht="13" x14ac:dyDescent="0.15"/>
    <row r="6611" customFormat="1" ht="13" x14ac:dyDescent="0.15"/>
    <row r="6612" customFormat="1" ht="13" x14ac:dyDescent="0.15"/>
    <row r="6613" customFormat="1" ht="13" x14ac:dyDescent="0.15"/>
    <row r="6614" customFormat="1" ht="13" x14ac:dyDescent="0.15"/>
    <row r="6615" customFormat="1" ht="13" x14ac:dyDescent="0.15"/>
    <row r="6616" customFormat="1" ht="13" x14ac:dyDescent="0.15"/>
    <row r="6617" customFormat="1" ht="13" x14ac:dyDescent="0.15"/>
    <row r="6618" customFormat="1" ht="13" x14ac:dyDescent="0.15"/>
    <row r="6619" customFormat="1" ht="13" x14ac:dyDescent="0.15"/>
    <row r="6620" customFormat="1" ht="13" x14ac:dyDescent="0.15"/>
    <row r="6621" customFormat="1" ht="13" x14ac:dyDescent="0.15"/>
    <row r="6622" customFormat="1" ht="13" x14ac:dyDescent="0.15"/>
    <row r="6623" customFormat="1" ht="13" x14ac:dyDescent="0.15"/>
    <row r="6624" customFormat="1" ht="13" x14ac:dyDescent="0.15"/>
    <row r="6625" customFormat="1" ht="13" x14ac:dyDescent="0.15"/>
    <row r="6626" customFormat="1" ht="13" x14ac:dyDescent="0.15"/>
    <row r="6627" customFormat="1" ht="13" x14ac:dyDescent="0.15"/>
    <row r="6628" customFormat="1" ht="13" x14ac:dyDescent="0.15"/>
    <row r="6629" customFormat="1" ht="13" x14ac:dyDescent="0.15"/>
    <row r="6630" customFormat="1" ht="13" x14ac:dyDescent="0.15"/>
    <row r="6631" customFormat="1" ht="13" x14ac:dyDescent="0.15"/>
    <row r="6632" customFormat="1" ht="13" x14ac:dyDescent="0.15"/>
    <row r="6633" customFormat="1" ht="13" x14ac:dyDescent="0.15"/>
    <row r="6634" customFormat="1" ht="13" x14ac:dyDescent="0.15"/>
    <row r="6635" customFormat="1" ht="13" x14ac:dyDescent="0.15"/>
    <row r="6636" customFormat="1" ht="13" x14ac:dyDescent="0.15"/>
    <row r="6637" customFormat="1" ht="13" x14ac:dyDescent="0.15"/>
    <row r="6638" customFormat="1" ht="13" x14ac:dyDescent="0.15"/>
    <row r="6639" customFormat="1" ht="13" x14ac:dyDescent="0.15"/>
    <row r="6640" customFormat="1" ht="13" x14ac:dyDescent="0.15"/>
    <row r="6641" customFormat="1" ht="13" x14ac:dyDescent="0.15"/>
    <row r="6642" customFormat="1" ht="13" x14ac:dyDescent="0.15"/>
    <row r="6643" customFormat="1" ht="13" x14ac:dyDescent="0.15"/>
    <row r="6644" customFormat="1" ht="13" x14ac:dyDescent="0.15"/>
    <row r="6645" customFormat="1" ht="13" x14ac:dyDescent="0.15"/>
    <row r="6646" customFormat="1" ht="13" x14ac:dyDescent="0.15"/>
    <row r="6647" customFormat="1" ht="13" x14ac:dyDescent="0.15"/>
    <row r="6648" customFormat="1" ht="13" x14ac:dyDescent="0.15"/>
    <row r="6649" customFormat="1" ht="13" x14ac:dyDescent="0.15"/>
    <row r="6650" customFormat="1" ht="13" x14ac:dyDescent="0.15"/>
    <row r="6651" customFormat="1" ht="13" x14ac:dyDescent="0.15"/>
    <row r="6652" customFormat="1" ht="13" x14ac:dyDescent="0.15"/>
    <row r="6653" customFormat="1" ht="13" x14ac:dyDescent="0.15"/>
    <row r="6654" customFormat="1" ht="13" x14ac:dyDescent="0.15"/>
    <row r="6655" customFormat="1" ht="13" x14ac:dyDescent="0.15"/>
    <row r="6656" customFormat="1" ht="13" x14ac:dyDescent="0.15"/>
    <row r="6657" customFormat="1" ht="13" x14ac:dyDescent="0.15"/>
    <row r="6658" customFormat="1" ht="13" x14ac:dyDescent="0.15"/>
    <row r="6659" customFormat="1" ht="13" x14ac:dyDescent="0.15"/>
    <row r="6660" customFormat="1" ht="13" x14ac:dyDescent="0.15"/>
    <row r="6661" customFormat="1" ht="13" x14ac:dyDescent="0.15"/>
    <row r="6662" customFormat="1" ht="13" x14ac:dyDescent="0.15"/>
    <row r="6663" customFormat="1" ht="13" x14ac:dyDescent="0.15"/>
    <row r="6664" customFormat="1" ht="13" x14ac:dyDescent="0.15"/>
    <row r="6665" customFormat="1" ht="13" x14ac:dyDescent="0.15"/>
    <row r="6666" customFormat="1" ht="13" x14ac:dyDescent="0.15"/>
    <row r="6667" customFormat="1" ht="13" x14ac:dyDescent="0.15"/>
    <row r="6668" customFormat="1" ht="13" x14ac:dyDescent="0.15"/>
    <row r="6669" customFormat="1" ht="13" x14ac:dyDescent="0.15"/>
    <row r="6670" customFormat="1" ht="13" x14ac:dyDescent="0.15"/>
    <row r="6671" customFormat="1" ht="13" x14ac:dyDescent="0.15"/>
    <row r="6672" customFormat="1" ht="13" x14ac:dyDescent="0.15"/>
    <row r="6673" customFormat="1" ht="13" x14ac:dyDescent="0.15"/>
    <row r="6674" customFormat="1" ht="13" x14ac:dyDescent="0.15"/>
    <row r="6675" customFormat="1" ht="13" x14ac:dyDescent="0.15"/>
    <row r="6676" customFormat="1" ht="13" x14ac:dyDescent="0.15"/>
    <row r="6677" customFormat="1" ht="13" x14ac:dyDescent="0.15"/>
    <row r="6678" customFormat="1" ht="13" x14ac:dyDescent="0.15"/>
    <row r="6679" customFormat="1" ht="13" x14ac:dyDescent="0.15"/>
    <row r="6680" customFormat="1" ht="13" x14ac:dyDescent="0.15"/>
    <row r="6681" customFormat="1" ht="13" x14ac:dyDescent="0.15"/>
    <row r="6682" customFormat="1" ht="13" x14ac:dyDescent="0.15"/>
    <row r="6683" customFormat="1" ht="13" x14ac:dyDescent="0.15"/>
    <row r="6684" customFormat="1" ht="13" x14ac:dyDescent="0.15"/>
    <row r="6685" customFormat="1" ht="13" x14ac:dyDescent="0.15"/>
    <row r="6686" customFormat="1" ht="13" x14ac:dyDescent="0.15"/>
    <row r="6687" customFormat="1" ht="13" x14ac:dyDescent="0.15"/>
    <row r="6688" customFormat="1" ht="13" x14ac:dyDescent="0.15"/>
    <row r="6689" customFormat="1" ht="13" x14ac:dyDescent="0.15"/>
    <row r="6690" customFormat="1" ht="13" x14ac:dyDescent="0.15"/>
    <row r="6691" customFormat="1" ht="13" x14ac:dyDescent="0.15"/>
    <row r="6692" customFormat="1" ht="13" x14ac:dyDescent="0.15"/>
    <row r="6693" customFormat="1" ht="13" x14ac:dyDescent="0.15"/>
    <row r="6694" customFormat="1" ht="13" x14ac:dyDescent="0.15"/>
    <row r="6695" customFormat="1" ht="13" x14ac:dyDescent="0.15"/>
    <row r="6696" customFormat="1" ht="13" x14ac:dyDescent="0.15"/>
    <row r="6697" customFormat="1" ht="13" x14ac:dyDescent="0.15"/>
    <row r="6698" customFormat="1" ht="13" x14ac:dyDescent="0.15"/>
    <row r="6699" customFormat="1" ht="13" x14ac:dyDescent="0.15"/>
    <row r="6700" customFormat="1" ht="13" x14ac:dyDescent="0.15"/>
    <row r="6701" customFormat="1" ht="13" x14ac:dyDescent="0.15"/>
    <row r="6702" customFormat="1" ht="13" x14ac:dyDescent="0.15"/>
    <row r="6703" customFormat="1" ht="13" x14ac:dyDescent="0.15"/>
    <row r="6704" customFormat="1" ht="13" x14ac:dyDescent="0.15"/>
    <row r="6705" customFormat="1" ht="13" x14ac:dyDescent="0.15"/>
    <row r="6706" customFormat="1" ht="13" x14ac:dyDescent="0.15"/>
    <row r="6707" customFormat="1" ht="13" x14ac:dyDescent="0.15"/>
    <row r="6708" customFormat="1" ht="13" x14ac:dyDescent="0.15"/>
    <row r="6709" customFormat="1" ht="13" x14ac:dyDescent="0.15"/>
    <row r="6710" customFormat="1" ht="13" x14ac:dyDescent="0.15"/>
    <row r="6711" customFormat="1" ht="13" x14ac:dyDescent="0.15"/>
    <row r="6712" customFormat="1" ht="13" x14ac:dyDescent="0.15"/>
    <row r="6713" customFormat="1" ht="13" x14ac:dyDescent="0.15"/>
    <row r="6714" customFormat="1" ht="13" x14ac:dyDescent="0.15"/>
    <row r="6715" customFormat="1" ht="13" x14ac:dyDescent="0.15"/>
    <row r="6716" customFormat="1" ht="13" x14ac:dyDescent="0.15"/>
    <row r="6717" customFormat="1" ht="13" x14ac:dyDescent="0.15"/>
    <row r="6718" customFormat="1" ht="13" x14ac:dyDescent="0.15"/>
    <row r="6719" customFormat="1" ht="13" x14ac:dyDescent="0.15"/>
    <row r="6720" customFormat="1" ht="13" x14ac:dyDescent="0.15"/>
    <row r="6721" customFormat="1" ht="13" x14ac:dyDescent="0.15"/>
    <row r="6722" customFormat="1" ht="13" x14ac:dyDescent="0.15"/>
    <row r="6723" customFormat="1" ht="13" x14ac:dyDescent="0.15"/>
    <row r="6724" customFormat="1" ht="13" x14ac:dyDescent="0.15"/>
    <row r="6725" customFormat="1" ht="13" x14ac:dyDescent="0.15"/>
    <row r="6726" customFormat="1" ht="13" x14ac:dyDescent="0.15"/>
    <row r="6727" customFormat="1" ht="13" x14ac:dyDescent="0.15"/>
    <row r="6728" customFormat="1" ht="13" x14ac:dyDescent="0.15"/>
    <row r="6729" customFormat="1" ht="13" x14ac:dyDescent="0.15"/>
    <row r="6730" customFormat="1" ht="13" x14ac:dyDescent="0.15"/>
    <row r="6731" customFormat="1" ht="13" x14ac:dyDescent="0.15"/>
    <row r="6732" customFormat="1" ht="13" x14ac:dyDescent="0.15"/>
    <row r="6733" customFormat="1" ht="13" x14ac:dyDescent="0.15"/>
    <row r="6734" customFormat="1" ht="13" x14ac:dyDescent="0.15"/>
    <row r="6735" customFormat="1" ht="13" x14ac:dyDescent="0.15"/>
    <row r="6736" customFormat="1" ht="13" x14ac:dyDescent="0.15"/>
    <row r="6737" customFormat="1" ht="13" x14ac:dyDescent="0.15"/>
    <row r="6738" customFormat="1" ht="13" x14ac:dyDescent="0.15"/>
    <row r="6739" customFormat="1" ht="13" x14ac:dyDescent="0.15"/>
    <row r="6740" customFormat="1" ht="13" x14ac:dyDescent="0.15"/>
    <row r="6741" customFormat="1" ht="13" x14ac:dyDescent="0.15"/>
    <row r="6742" customFormat="1" ht="13" x14ac:dyDescent="0.15"/>
    <row r="6743" customFormat="1" ht="13" x14ac:dyDescent="0.15"/>
    <row r="6744" customFormat="1" ht="13" x14ac:dyDescent="0.15"/>
    <row r="6745" customFormat="1" ht="13" x14ac:dyDescent="0.15"/>
    <row r="6746" customFormat="1" ht="13" x14ac:dyDescent="0.15"/>
    <row r="6747" customFormat="1" ht="13" x14ac:dyDescent="0.15"/>
    <row r="6748" customFormat="1" ht="13" x14ac:dyDescent="0.15"/>
    <row r="6749" customFormat="1" ht="13" x14ac:dyDescent="0.15"/>
    <row r="6750" customFormat="1" ht="13" x14ac:dyDescent="0.15"/>
    <row r="6751" customFormat="1" ht="13" x14ac:dyDescent="0.15"/>
    <row r="6752" customFormat="1" ht="13" x14ac:dyDescent="0.15"/>
    <row r="6753" customFormat="1" ht="13" x14ac:dyDescent="0.15"/>
    <row r="6754" customFormat="1" ht="13" x14ac:dyDescent="0.15"/>
    <row r="6755" customFormat="1" ht="13" x14ac:dyDescent="0.15"/>
    <row r="6756" customFormat="1" ht="13" x14ac:dyDescent="0.15"/>
    <row r="6757" customFormat="1" ht="13" x14ac:dyDescent="0.15"/>
    <row r="6758" customFormat="1" ht="13" x14ac:dyDescent="0.15"/>
    <row r="6759" customFormat="1" ht="13" x14ac:dyDescent="0.15"/>
    <row r="6760" customFormat="1" ht="13" x14ac:dyDescent="0.15"/>
    <row r="6761" customFormat="1" ht="13" x14ac:dyDescent="0.15"/>
    <row r="6762" customFormat="1" ht="13" x14ac:dyDescent="0.15"/>
    <row r="6763" customFormat="1" ht="13" x14ac:dyDescent="0.15"/>
    <row r="6764" customFormat="1" ht="13" x14ac:dyDescent="0.15"/>
    <row r="6765" customFormat="1" ht="13" x14ac:dyDescent="0.15"/>
    <row r="6766" customFormat="1" ht="13" x14ac:dyDescent="0.15"/>
    <row r="6767" customFormat="1" ht="13" x14ac:dyDescent="0.15"/>
    <row r="6768" customFormat="1" ht="13" x14ac:dyDescent="0.15"/>
    <row r="6769" customFormat="1" ht="13" x14ac:dyDescent="0.15"/>
    <row r="6770" customFormat="1" ht="13" x14ac:dyDescent="0.15"/>
    <row r="6771" customFormat="1" ht="13" x14ac:dyDescent="0.15"/>
    <row r="6772" customFormat="1" ht="13" x14ac:dyDescent="0.15"/>
    <row r="6773" customFormat="1" ht="13" x14ac:dyDescent="0.15"/>
    <row r="6774" customFormat="1" ht="13" x14ac:dyDescent="0.15"/>
    <row r="6775" customFormat="1" ht="13" x14ac:dyDescent="0.15"/>
    <row r="6776" customFormat="1" ht="13" x14ac:dyDescent="0.15"/>
    <row r="6777" customFormat="1" ht="13" x14ac:dyDescent="0.15"/>
    <row r="6778" customFormat="1" ht="13" x14ac:dyDescent="0.15"/>
    <row r="6779" customFormat="1" ht="13" x14ac:dyDescent="0.15"/>
    <row r="6780" customFormat="1" ht="13" x14ac:dyDescent="0.15"/>
    <row r="6781" customFormat="1" ht="13" x14ac:dyDescent="0.15"/>
    <row r="6782" customFormat="1" ht="13" x14ac:dyDescent="0.15"/>
    <row r="6783" customFormat="1" ht="13" x14ac:dyDescent="0.15"/>
    <row r="6784" customFormat="1" ht="13" x14ac:dyDescent="0.15"/>
    <row r="6785" customFormat="1" ht="13" x14ac:dyDescent="0.15"/>
    <row r="6786" customFormat="1" ht="13" x14ac:dyDescent="0.15"/>
    <row r="6787" customFormat="1" ht="13" x14ac:dyDescent="0.15"/>
    <row r="6788" customFormat="1" ht="13" x14ac:dyDescent="0.15"/>
    <row r="6789" customFormat="1" ht="13" x14ac:dyDescent="0.15"/>
    <row r="6790" customFormat="1" ht="13" x14ac:dyDescent="0.15"/>
    <row r="6791" customFormat="1" ht="13" x14ac:dyDescent="0.15"/>
    <row r="6792" customFormat="1" ht="13" x14ac:dyDescent="0.15"/>
    <row r="6793" customFormat="1" ht="13" x14ac:dyDescent="0.15"/>
    <row r="6794" customFormat="1" ht="13" x14ac:dyDescent="0.15"/>
    <row r="6795" customFormat="1" ht="13" x14ac:dyDescent="0.15"/>
    <row r="6796" customFormat="1" ht="13" x14ac:dyDescent="0.15"/>
    <row r="6797" customFormat="1" ht="13" x14ac:dyDescent="0.15"/>
    <row r="6798" customFormat="1" ht="13" x14ac:dyDescent="0.15"/>
    <row r="6799" customFormat="1" ht="13" x14ac:dyDescent="0.15"/>
    <row r="6800" customFormat="1" ht="13" x14ac:dyDescent="0.15"/>
    <row r="6801" customFormat="1" ht="13" x14ac:dyDescent="0.15"/>
    <row r="6802" customFormat="1" ht="13" x14ac:dyDescent="0.15"/>
    <row r="6803" customFormat="1" ht="13" x14ac:dyDescent="0.15"/>
    <row r="6804" customFormat="1" ht="13" x14ac:dyDescent="0.15"/>
    <row r="6805" customFormat="1" ht="13" x14ac:dyDescent="0.15"/>
    <row r="6806" customFormat="1" ht="13" x14ac:dyDescent="0.15"/>
    <row r="6807" customFormat="1" ht="13" x14ac:dyDescent="0.15"/>
    <row r="6808" customFormat="1" ht="13" x14ac:dyDescent="0.15"/>
    <row r="6809" customFormat="1" ht="13" x14ac:dyDescent="0.15"/>
    <row r="6810" customFormat="1" ht="13" x14ac:dyDescent="0.15"/>
    <row r="6811" customFormat="1" ht="13" x14ac:dyDescent="0.15"/>
    <row r="6812" customFormat="1" ht="13" x14ac:dyDescent="0.15"/>
    <row r="6813" customFormat="1" ht="13" x14ac:dyDescent="0.15"/>
    <row r="6814" customFormat="1" ht="13" x14ac:dyDescent="0.15"/>
    <row r="6815" customFormat="1" ht="13" x14ac:dyDescent="0.15"/>
    <row r="6816" customFormat="1" ht="13" x14ac:dyDescent="0.15"/>
    <row r="6817" customFormat="1" ht="13" x14ac:dyDescent="0.15"/>
    <row r="6818" customFormat="1" ht="13" x14ac:dyDescent="0.15"/>
    <row r="6819" customFormat="1" ht="13" x14ac:dyDescent="0.15"/>
    <row r="6820" customFormat="1" ht="13" x14ac:dyDescent="0.15"/>
    <row r="6821" customFormat="1" ht="13" x14ac:dyDescent="0.15"/>
    <row r="6822" customFormat="1" ht="13" x14ac:dyDescent="0.15"/>
    <row r="6823" customFormat="1" ht="13" x14ac:dyDescent="0.15"/>
    <row r="6824" customFormat="1" ht="13" x14ac:dyDescent="0.15"/>
    <row r="6825" customFormat="1" ht="13" x14ac:dyDescent="0.15"/>
    <row r="6826" customFormat="1" ht="13" x14ac:dyDescent="0.15"/>
    <row r="6827" customFormat="1" ht="13" x14ac:dyDescent="0.15"/>
    <row r="6828" customFormat="1" ht="13" x14ac:dyDescent="0.15"/>
    <row r="6829" customFormat="1" ht="13" x14ac:dyDescent="0.15"/>
    <row r="6830" customFormat="1" ht="13" x14ac:dyDescent="0.15"/>
    <row r="6831" customFormat="1" ht="13" x14ac:dyDescent="0.15"/>
    <row r="6832" customFormat="1" ht="13" x14ac:dyDescent="0.15"/>
    <row r="6833" customFormat="1" ht="13" x14ac:dyDescent="0.15"/>
    <row r="6834" customFormat="1" ht="13" x14ac:dyDescent="0.15"/>
    <row r="6835" customFormat="1" ht="13" x14ac:dyDescent="0.15"/>
    <row r="6836" customFormat="1" ht="13" x14ac:dyDescent="0.15"/>
    <row r="6837" customFormat="1" ht="13" x14ac:dyDescent="0.15"/>
    <row r="6838" customFormat="1" ht="13" x14ac:dyDescent="0.15"/>
    <row r="6839" customFormat="1" ht="13" x14ac:dyDescent="0.15"/>
    <row r="6840" customFormat="1" ht="13" x14ac:dyDescent="0.15"/>
    <row r="6841" customFormat="1" ht="13" x14ac:dyDescent="0.15"/>
    <row r="6842" customFormat="1" ht="13" x14ac:dyDescent="0.15"/>
    <row r="6843" customFormat="1" ht="13" x14ac:dyDescent="0.15"/>
    <row r="6844" customFormat="1" ht="13" x14ac:dyDescent="0.15"/>
    <row r="6845" customFormat="1" ht="13" x14ac:dyDescent="0.15"/>
    <row r="6846" customFormat="1" ht="13" x14ac:dyDescent="0.15"/>
    <row r="6847" customFormat="1" ht="13" x14ac:dyDescent="0.15"/>
    <row r="6848" customFormat="1" ht="13" x14ac:dyDescent="0.15"/>
    <row r="6849" customFormat="1" ht="13" x14ac:dyDescent="0.15"/>
    <row r="6850" customFormat="1" ht="13" x14ac:dyDescent="0.15"/>
    <row r="6851" customFormat="1" ht="13" x14ac:dyDescent="0.15"/>
    <row r="6852" customFormat="1" ht="13" x14ac:dyDescent="0.15"/>
    <row r="6853" customFormat="1" ht="13" x14ac:dyDescent="0.15"/>
    <row r="6854" customFormat="1" ht="13" x14ac:dyDescent="0.15"/>
    <row r="6855" customFormat="1" ht="13" x14ac:dyDescent="0.15"/>
    <row r="6856" customFormat="1" ht="13" x14ac:dyDescent="0.15"/>
    <row r="6857" customFormat="1" ht="13" x14ac:dyDescent="0.15"/>
    <row r="6858" customFormat="1" ht="13" x14ac:dyDescent="0.15"/>
    <row r="6859" customFormat="1" ht="13" x14ac:dyDescent="0.15"/>
    <row r="6860" customFormat="1" ht="13" x14ac:dyDescent="0.15"/>
    <row r="6861" customFormat="1" ht="13" x14ac:dyDescent="0.15"/>
    <row r="6862" customFormat="1" ht="13" x14ac:dyDescent="0.15"/>
    <row r="6863" customFormat="1" ht="13" x14ac:dyDescent="0.15"/>
    <row r="6864" customFormat="1" ht="13" x14ac:dyDescent="0.15"/>
    <row r="6865" customFormat="1" ht="13" x14ac:dyDescent="0.15"/>
    <row r="6866" customFormat="1" ht="13" x14ac:dyDescent="0.15"/>
    <row r="6867" customFormat="1" ht="13" x14ac:dyDescent="0.15"/>
    <row r="6868" customFormat="1" ht="13" x14ac:dyDescent="0.15"/>
    <row r="6869" customFormat="1" ht="13" x14ac:dyDescent="0.15"/>
    <row r="6870" customFormat="1" ht="13" x14ac:dyDescent="0.15"/>
    <row r="6871" customFormat="1" ht="13" x14ac:dyDescent="0.15"/>
    <row r="6872" customFormat="1" ht="13" x14ac:dyDescent="0.15"/>
    <row r="6873" customFormat="1" ht="13" x14ac:dyDescent="0.15"/>
    <row r="6874" customFormat="1" ht="13" x14ac:dyDescent="0.15"/>
    <row r="6875" customFormat="1" ht="13" x14ac:dyDescent="0.15"/>
    <row r="6876" customFormat="1" ht="13" x14ac:dyDescent="0.15"/>
    <row r="6877" customFormat="1" ht="13" x14ac:dyDescent="0.15"/>
    <row r="6878" customFormat="1" ht="13" x14ac:dyDescent="0.15"/>
    <row r="6879" customFormat="1" ht="13" x14ac:dyDescent="0.15"/>
    <row r="6880" customFormat="1" ht="13" x14ac:dyDescent="0.15"/>
    <row r="6881" customFormat="1" ht="13" x14ac:dyDescent="0.15"/>
    <row r="6882" customFormat="1" ht="13" x14ac:dyDescent="0.15"/>
    <row r="6883" customFormat="1" ht="13" x14ac:dyDescent="0.15"/>
    <row r="6884" customFormat="1" ht="13" x14ac:dyDescent="0.15"/>
    <row r="6885" customFormat="1" ht="13" x14ac:dyDescent="0.15"/>
    <row r="6886" customFormat="1" ht="13" x14ac:dyDescent="0.15"/>
    <row r="6887" customFormat="1" ht="13" x14ac:dyDescent="0.15"/>
    <row r="6888" customFormat="1" ht="13" x14ac:dyDescent="0.15"/>
    <row r="6889" customFormat="1" ht="13" x14ac:dyDescent="0.15"/>
    <row r="6890" customFormat="1" ht="13" x14ac:dyDescent="0.15"/>
    <row r="6891" customFormat="1" ht="13" x14ac:dyDescent="0.15"/>
    <row r="6892" customFormat="1" ht="13" x14ac:dyDescent="0.15"/>
    <row r="6893" customFormat="1" ht="13" x14ac:dyDescent="0.15"/>
    <row r="6894" customFormat="1" ht="13" x14ac:dyDescent="0.15"/>
    <row r="6895" customFormat="1" ht="13" x14ac:dyDescent="0.15"/>
    <row r="6896" customFormat="1" ht="13" x14ac:dyDescent="0.15"/>
    <row r="6897" customFormat="1" ht="13" x14ac:dyDescent="0.15"/>
    <row r="6898" customFormat="1" ht="13" x14ac:dyDescent="0.15"/>
    <row r="6899" customFormat="1" ht="13" x14ac:dyDescent="0.15"/>
    <row r="6900" customFormat="1" ht="13" x14ac:dyDescent="0.15"/>
    <row r="6901" customFormat="1" ht="13" x14ac:dyDescent="0.15"/>
    <row r="6902" customFormat="1" ht="13" x14ac:dyDescent="0.15"/>
    <row r="6903" customFormat="1" ht="13" x14ac:dyDescent="0.15"/>
    <row r="6904" customFormat="1" ht="13" x14ac:dyDescent="0.15"/>
    <row r="6905" customFormat="1" ht="13" x14ac:dyDescent="0.15"/>
    <row r="6906" customFormat="1" ht="13" x14ac:dyDescent="0.15"/>
    <row r="6907" customFormat="1" ht="13" x14ac:dyDescent="0.15"/>
    <row r="6908" customFormat="1" ht="13" x14ac:dyDescent="0.15"/>
    <row r="6909" customFormat="1" ht="13" x14ac:dyDescent="0.15"/>
    <row r="6910" customFormat="1" ht="13" x14ac:dyDescent="0.15"/>
    <row r="6911" customFormat="1" ht="13" x14ac:dyDescent="0.15"/>
    <row r="6912" customFormat="1" ht="13" x14ac:dyDescent="0.15"/>
    <row r="6913" customFormat="1" ht="13" x14ac:dyDescent="0.15"/>
    <row r="6914" customFormat="1" ht="13" x14ac:dyDescent="0.15"/>
    <row r="6915" customFormat="1" ht="13" x14ac:dyDescent="0.15"/>
    <row r="6916" customFormat="1" ht="13" x14ac:dyDescent="0.15"/>
    <row r="6917" customFormat="1" ht="13" x14ac:dyDescent="0.15"/>
    <row r="6918" customFormat="1" ht="13" x14ac:dyDescent="0.15"/>
    <row r="6919" customFormat="1" ht="13" x14ac:dyDescent="0.15"/>
    <row r="6920" customFormat="1" ht="13" x14ac:dyDescent="0.15"/>
    <row r="6921" customFormat="1" ht="13" x14ac:dyDescent="0.15"/>
    <row r="6922" customFormat="1" ht="13" x14ac:dyDescent="0.15"/>
    <row r="6923" customFormat="1" ht="13" x14ac:dyDescent="0.15"/>
    <row r="6924" customFormat="1" ht="13" x14ac:dyDescent="0.15"/>
    <row r="6925" customFormat="1" ht="13" x14ac:dyDescent="0.15"/>
    <row r="6926" customFormat="1" ht="13" x14ac:dyDescent="0.15"/>
    <row r="6927" customFormat="1" ht="13" x14ac:dyDescent="0.15"/>
    <row r="6928" customFormat="1" ht="13" x14ac:dyDescent="0.15"/>
    <row r="6929" customFormat="1" ht="13" x14ac:dyDescent="0.15"/>
    <row r="6930" customFormat="1" ht="13" x14ac:dyDescent="0.15"/>
    <row r="6931" customFormat="1" ht="13" x14ac:dyDescent="0.15"/>
    <row r="6932" customFormat="1" ht="13" x14ac:dyDescent="0.15"/>
    <row r="6933" customFormat="1" ht="13" x14ac:dyDescent="0.15"/>
    <row r="6934" customFormat="1" ht="13" x14ac:dyDescent="0.15"/>
    <row r="6935" customFormat="1" ht="13" x14ac:dyDescent="0.15"/>
    <row r="6936" customFormat="1" ht="13" x14ac:dyDescent="0.15"/>
    <row r="6937" customFormat="1" ht="13" x14ac:dyDescent="0.15"/>
    <row r="6938" customFormat="1" ht="13" x14ac:dyDescent="0.15"/>
    <row r="6939" customFormat="1" ht="13" x14ac:dyDescent="0.15"/>
    <row r="6940" customFormat="1" ht="13" x14ac:dyDescent="0.15"/>
    <row r="6941" customFormat="1" ht="13" x14ac:dyDescent="0.15"/>
    <row r="6942" customFormat="1" ht="13" x14ac:dyDescent="0.15"/>
    <row r="6943" customFormat="1" ht="13" x14ac:dyDescent="0.15"/>
    <row r="6944" customFormat="1" ht="13" x14ac:dyDescent="0.15"/>
    <row r="6945" customFormat="1" ht="13" x14ac:dyDescent="0.15"/>
    <row r="6946" customFormat="1" ht="13" x14ac:dyDescent="0.15"/>
    <row r="6947" customFormat="1" ht="13" x14ac:dyDescent="0.15"/>
    <row r="6948" customFormat="1" ht="13" x14ac:dyDescent="0.15"/>
    <row r="6949" customFormat="1" ht="13" x14ac:dyDescent="0.15"/>
    <row r="6950" customFormat="1" ht="13" x14ac:dyDescent="0.15"/>
    <row r="6951" customFormat="1" ht="13" x14ac:dyDescent="0.15"/>
    <row r="6952" customFormat="1" ht="13" x14ac:dyDescent="0.15"/>
    <row r="6953" customFormat="1" ht="13" x14ac:dyDescent="0.15"/>
    <row r="6954" customFormat="1" ht="13" x14ac:dyDescent="0.15"/>
    <row r="6955" customFormat="1" ht="13" x14ac:dyDescent="0.15"/>
    <row r="6956" customFormat="1" ht="13" x14ac:dyDescent="0.15"/>
    <row r="6957" customFormat="1" ht="13" x14ac:dyDescent="0.15"/>
    <row r="6958" customFormat="1" ht="13" x14ac:dyDescent="0.15"/>
    <row r="6959" customFormat="1" ht="13" x14ac:dyDescent="0.15"/>
    <row r="6960" customFormat="1" ht="13" x14ac:dyDescent="0.15"/>
    <row r="6961" customFormat="1" ht="13" x14ac:dyDescent="0.15"/>
    <row r="6962" customFormat="1" ht="13" x14ac:dyDescent="0.15"/>
    <row r="6963" customFormat="1" ht="13" x14ac:dyDescent="0.15"/>
    <row r="6964" customFormat="1" ht="13" x14ac:dyDescent="0.15"/>
    <row r="6965" customFormat="1" ht="13" x14ac:dyDescent="0.15"/>
    <row r="6966" customFormat="1" ht="13" x14ac:dyDescent="0.15"/>
    <row r="6967" customFormat="1" ht="13" x14ac:dyDescent="0.15"/>
    <row r="6968" customFormat="1" ht="13" x14ac:dyDescent="0.15"/>
    <row r="6969" customFormat="1" ht="13" x14ac:dyDescent="0.15"/>
    <row r="6970" customFormat="1" ht="13" x14ac:dyDescent="0.15"/>
    <row r="6971" customFormat="1" ht="13" x14ac:dyDescent="0.15"/>
    <row r="6972" customFormat="1" ht="13" x14ac:dyDescent="0.15"/>
    <row r="6973" customFormat="1" ht="13" x14ac:dyDescent="0.15"/>
    <row r="6974" customFormat="1" ht="13" x14ac:dyDescent="0.15"/>
    <row r="6975" customFormat="1" ht="13" x14ac:dyDescent="0.15"/>
    <row r="6976" customFormat="1" ht="13" x14ac:dyDescent="0.15"/>
    <row r="6977" customFormat="1" ht="13" x14ac:dyDescent="0.15"/>
    <row r="6978" customFormat="1" ht="13" x14ac:dyDescent="0.15"/>
    <row r="6979" customFormat="1" ht="13" x14ac:dyDescent="0.15"/>
    <row r="6980" customFormat="1" ht="13" x14ac:dyDescent="0.15"/>
    <row r="6981" customFormat="1" ht="13" x14ac:dyDescent="0.15"/>
    <row r="6982" customFormat="1" ht="13" x14ac:dyDescent="0.15"/>
    <row r="6983" customFormat="1" ht="13" x14ac:dyDescent="0.15"/>
    <row r="6984" customFormat="1" ht="13" x14ac:dyDescent="0.15"/>
    <row r="6985" customFormat="1" ht="13" x14ac:dyDescent="0.15"/>
    <row r="6986" customFormat="1" ht="13" x14ac:dyDescent="0.15"/>
    <row r="6987" customFormat="1" ht="13" x14ac:dyDescent="0.15"/>
    <row r="6988" customFormat="1" ht="13" x14ac:dyDescent="0.15"/>
    <row r="6989" customFormat="1" ht="13" x14ac:dyDescent="0.15"/>
    <row r="6990" customFormat="1" ht="13" x14ac:dyDescent="0.15"/>
    <row r="6991" customFormat="1" ht="13" x14ac:dyDescent="0.15"/>
    <row r="6992" customFormat="1" ht="13" x14ac:dyDescent="0.15"/>
    <row r="6993" customFormat="1" ht="13" x14ac:dyDescent="0.15"/>
    <row r="6994" customFormat="1" ht="13" x14ac:dyDescent="0.15"/>
    <row r="6995" customFormat="1" ht="13" x14ac:dyDescent="0.15"/>
    <row r="6996" customFormat="1" ht="13" x14ac:dyDescent="0.15"/>
    <row r="6997" customFormat="1" ht="13" x14ac:dyDescent="0.15"/>
    <row r="6998" customFormat="1" ht="13" x14ac:dyDescent="0.15"/>
    <row r="6999" customFormat="1" ht="13" x14ac:dyDescent="0.15"/>
    <row r="7000" customFormat="1" ht="13" x14ac:dyDescent="0.15"/>
    <row r="7001" customFormat="1" ht="13" x14ac:dyDescent="0.15"/>
    <row r="7002" customFormat="1" ht="13" x14ac:dyDescent="0.15"/>
    <row r="7003" customFormat="1" ht="13" x14ac:dyDescent="0.15"/>
    <row r="7004" customFormat="1" ht="13" x14ac:dyDescent="0.15"/>
    <row r="7005" customFormat="1" ht="13" x14ac:dyDescent="0.15"/>
    <row r="7006" customFormat="1" ht="13" x14ac:dyDescent="0.15"/>
    <row r="7007" customFormat="1" ht="13" x14ac:dyDescent="0.15"/>
    <row r="7008" customFormat="1" ht="13" x14ac:dyDescent="0.15"/>
    <row r="7009" customFormat="1" ht="13" x14ac:dyDescent="0.15"/>
    <row r="7010" customFormat="1" ht="13" x14ac:dyDescent="0.15"/>
    <row r="7011" customFormat="1" ht="13" x14ac:dyDescent="0.15"/>
    <row r="7012" customFormat="1" ht="13" x14ac:dyDescent="0.15"/>
    <row r="7013" customFormat="1" ht="13" x14ac:dyDescent="0.15"/>
    <row r="7014" customFormat="1" ht="13" x14ac:dyDescent="0.15"/>
    <row r="7015" customFormat="1" ht="13" x14ac:dyDescent="0.15"/>
    <row r="7016" customFormat="1" ht="13" x14ac:dyDescent="0.15"/>
    <row r="7017" customFormat="1" ht="13" x14ac:dyDescent="0.15"/>
    <row r="7018" customFormat="1" ht="13" x14ac:dyDescent="0.15"/>
    <row r="7019" customFormat="1" ht="13" x14ac:dyDescent="0.15"/>
    <row r="7020" customFormat="1" ht="13" x14ac:dyDescent="0.15"/>
    <row r="7021" customFormat="1" ht="13" x14ac:dyDescent="0.15"/>
    <row r="7022" customFormat="1" ht="13" x14ac:dyDescent="0.15"/>
    <row r="7023" customFormat="1" ht="13" x14ac:dyDescent="0.15"/>
    <row r="7024" customFormat="1" ht="13" x14ac:dyDescent="0.15"/>
    <row r="7025" customFormat="1" ht="13" x14ac:dyDescent="0.15"/>
    <row r="7026" customFormat="1" ht="13" x14ac:dyDescent="0.15"/>
    <row r="7027" customFormat="1" ht="13" x14ac:dyDescent="0.15"/>
    <row r="7028" customFormat="1" ht="13" x14ac:dyDescent="0.15"/>
    <row r="7029" customFormat="1" ht="13" x14ac:dyDescent="0.15"/>
    <row r="7030" customFormat="1" ht="13" x14ac:dyDescent="0.15"/>
    <row r="7031" customFormat="1" ht="13" x14ac:dyDescent="0.15"/>
    <row r="7032" customFormat="1" ht="13" x14ac:dyDescent="0.15"/>
    <row r="7033" customFormat="1" ht="13" x14ac:dyDescent="0.15"/>
    <row r="7034" customFormat="1" ht="13" x14ac:dyDescent="0.15"/>
    <row r="7035" customFormat="1" ht="13" x14ac:dyDescent="0.15"/>
    <row r="7036" customFormat="1" ht="13" x14ac:dyDescent="0.15"/>
    <row r="7037" customFormat="1" ht="13" x14ac:dyDescent="0.15"/>
    <row r="7038" customFormat="1" ht="13" x14ac:dyDescent="0.15"/>
    <row r="7039" customFormat="1" ht="13" x14ac:dyDescent="0.15"/>
    <row r="7040" customFormat="1" ht="13" x14ac:dyDescent="0.15"/>
    <row r="7041" customFormat="1" ht="13" x14ac:dyDescent="0.15"/>
    <row r="7042" customFormat="1" ht="13" x14ac:dyDescent="0.15"/>
    <row r="7043" customFormat="1" ht="13" x14ac:dyDescent="0.15"/>
    <row r="7044" customFormat="1" ht="13" x14ac:dyDescent="0.15"/>
    <row r="7045" customFormat="1" ht="13" x14ac:dyDescent="0.15"/>
    <row r="7046" customFormat="1" ht="13" x14ac:dyDescent="0.15"/>
    <row r="7047" customFormat="1" ht="13" x14ac:dyDescent="0.15"/>
    <row r="7048" customFormat="1" ht="13" x14ac:dyDescent="0.15"/>
    <row r="7049" customFormat="1" ht="13" x14ac:dyDescent="0.15"/>
    <row r="7050" customFormat="1" ht="13" x14ac:dyDescent="0.15"/>
    <row r="7051" customFormat="1" ht="13" x14ac:dyDescent="0.15"/>
    <row r="7052" customFormat="1" ht="13" x14ac:dyDescent="0.15"/>
    <row r="7053" customFormat="1" ht="13" x14ac:dyDescent="0.15"/>
    <row r="7054" customFormat="1" ht="13" x14ac:dyDescent="0.15"/>
    <row r="7055" customFormat="1" ht="13" x14ac:dyDescent="0.15"/>
    <row r="7056" customFormat="1" ht="13" x14ac:dyDescent="0.15"/>
    <row r="7057" customFormat="1" ht="13" x14ac:dyDescent="0.15"/>
    <row r="7058" customFormat="1" ht="13" x14ac:dyDescent="0.15"/>
    <row r="7059" customFormat="1" ht="13" x14ac:dyDescent="0.15"/>
    <row r="7060" customFormat="1" ht="13" x14ac:dyDescent="0.15"/>
    <row r="7061" customFormat="1" ht="13" x14ac:dyDescent="0.15"/>
    <row r="7062" customFormat="1" ht="13" x14ac:dyDescent="0.15"/>
    <row r="7063" customFormat="1" ht="13" x14ac:dyDescent="0.15"/>
    <row r="7064" customFormat="1" ht="13" x14ac:dyDescent="0.15"/>
    <row r="7065" customFormat="1" ht="13" x14ac:dyDescent="0.15"/>
    <row r="7066" customFormat="1" ht="13" x14ac:dyDescent="0.15"/>
    <row r="7067" customFormat="1" ht="13" x14ac:dyDescent="0.15"/>
    <row r="7068" customFormat="1" ht="13" x14ac:dyDescent="0.15"/>
    <row r="7069" customFormat="1" ht="13" x14ac:dyDescent="0.15"/>
    <row r="7070" customFormat="1" ht="13" x14ac:dyDescent="0.15"/>
    <row r="7071" customFormat="1" ht="13" x14ac:dyDescent="0.15"/>
    <row r="7072" customFormat="1" ht="13" x14ac:dyDescent="0.15"/>
    <row r="7073" customFormat="1" ht="13" x14ac:dyDescent="0.15"/>
    <row r="7074" customFormat="1" ht="13" x14ac:dyDescent="0.15"/>
    <row r="7075" customFormat="1" ht="13" x14ac:dyDescent="0.15"/>
    <row r="7076" customFormat="1" ht="13" x14ac:dyDescent="0.15"/>
    <row r="7077" customFormat="1" ht="13" x14ac:dyDescent="0.15"/>
    <row r="7078" customFormat="1" ht="13" x14ac:dyDescent="0.15"/>
    <row r="7079" customFormat="1" ht="13" x14ac:dyDescent="0.15"/>
    <row r="7080" customFormat="1" ht="13" x14ac:dyDescent="0.15"/>
    <row r="7081" customFormat="1" ht="13" x14ac:dyDescent="0.15"/>
    <row r="7082" customFormat="1" ht="13" x14ac:dyDescent="0.15"/>
    <row r="7083" customFormat="1" ht="13" x14ac:dyDescent="0.15"/>
    <row r="7084" customFormat="1" ht="13" x14ac:dyDescent="0.15"/>
    <row r="7085" customFormat="1" ht="13" x14ac:dyDescent="0.15"/>
    <row r="7086" customFormat="1" ht="13" x14ac:dyDescent="0.15"/>
    <row r="7087" customFormat="1" ht="13" x14ac:dyDescent="0.15"/>
    <row r="7088" customFormat="1" ht="13" x14ac:dyDescent="0.15"/>
    <row r="7089" customFormat="1" ht="13" x14ac:dyDescent="0.15"/>
    <row r="7090" customFormat="1" ht="13" x14ac:dyDescent="0.15"/>
    <row r="7091" customFormat="1" ht="13" x14ac:dyDescent="0.15"/>
    <row r="7092" customFormat="1" ht="13" x14ac:dyDescent="0.15"/>
    <row r="7093" customFormat="1" ht="13" x14ac:dyDescent="0.15"/>
    <row r="7094" customFormat="1" ht="13" x14ac:dyDescent="0.15"/>
    <row r="7095" customFormat="1" ht="13" x14ac:dyDescent="0.15"/>
    <row r="7096" customFormat="1" ht="13" x14ac:dyDescent="0.15"/>
    <row r="7097" customFormat="1" ht="13" x14ac:dyDescent="0.15"/>
    <row r="7098" customFormat="1" ht="13" x14ac:dyDescent="0.15"/>
    <row r="7099" customFormat="1" ht="13" x14ac:dyDescent="0.15"/>
    <row r="7100" customFormat="1" ht="13" x14ac:dyDescent="0.15"/>
    <row r="7101" customFormat="1" ht="13" x14ac:dyDescent="0.15"/>
    <row r="7102" customFormat="1" ht="13" x14ac:dyDescent="0.15"/>
    <row r="7103" customFormat="1" ht="13" x14ac:dyDescent="0.15"/>
    <row r="7104" customFormat="1" ht="13" x14ac:dyDescent="0.15"/>
    <row r="7105" customFormat="1" ht="13" x14ac:dyDescent="0.15"/>
    <row r="7106" customFormat="1" ht="13" x14ac:dyDescent="0.15"/>
    <row r="7107" customFormat="1" ht="13" x14ac:dyDescent="0.15"/>
    <row r="7108" customFormat="1" ht="13" x14ac:dyDescent="0.15"/>
    <row r="7109" customFormat="1" ht="13" x14ac:dyDescent="0.15"/>
    <row r="7110" customFormat="1" ht="13" x14ac:dyDescent="0.15"/>
    <row r="7111" customFormat="1" ht="13" x14ac:dyDescent="0.15"/>
    <row r="7112" customFormat="1" ht="13" x14ac:dyDescent="0.15"/>
    <row r="7113" customFormat="1" ht="13" x14ac:dyDescent="0.15"/>
    <row r="7114" customFormat="1" ht="13" x14ac:dyDescent="0.15"/>
    <row r="7115" customFormat="1" ht="13" x14ac:dyDescent="0.15"/>
    <row r="7116" customFormat="1" ht="13" x14ac:dyDescent="0.15"/>
    <row r="7117" customFormat="1" ht="13" x14ac:dyDescent="0.15"/>
    <row r="7118" customFormat="1" ht="13" x14ac:dyDescent="0.15"/>
    <row r="7119" customFormat="1" ht="13" x14ac:dyDescent="0.15"/>
    <row r="7120" customFormat="1" ht="13" x14ac:dyDescent="0.15"/>
    <row r="7121" customFormat="1" ht="13" x14ac:dyDescent="0.15"/>
    <row r="7122" customFormat="1" ht="13" x14ac:dyDescent="0.15"/>
    <row r="7123" customFormat="1" ht="13" x14ac:dyDescent="0.15"/>
    <row r="7124" customFormat="1" ht="13" x14ac:dyDescent="0.15"/>
    <row r="7125" customFormat="1" ht="13" x14ac:dyDescent="0.15"/>
    <row r="7126" customFormat="1" ht="13" x14ac:dyDescent="0.15"/>
    <row r="7127" customFormat="1" ht="13" x14ac:dyDescent="0.15"/>
    <row r="7128" customFormat="1" ht="13" x14ac:dyDescent="0.15"/>
    <row r="7129" customFormat="1" ht="13" x14ac:dyDescent="0.15"/>
    <row r="7130" customFormat="1" ht="13" x14ac:dyDescent="0.15"/>
    <row r="7131" customFormat="1" ht="13" x14ac:dyDescent="0.15"/>
    <row r="7132" customFormat="1" ht="13" x14ac:dyDescent="0.15"/>
    <row r="7133" customFormat="1" ht="13" x14ac:dyDescent="0.15"/>
    <row r="7134" customFormat="1" ht="13" x14ac:dyDescent="0.15"/>
    <row r="7135" customFormat="1" ht="13" x14ac:dyDescent="0.15"/>
    <row r="7136" customFormat="1" ht="13" x14ac:dyDescent="0.15"/>
    <row r="7137" customFormat="1" ht="13" x14ac:dyDescent="0.15"/>
    <row r="7138" customFormat="1" ht="13" x14ac:dyDescent="0.15"/>
    <row r="7139" customFormat="1" ht="13" x14ac:dyDescent="0.15"/>
    <row r="7140" customFormat="1" ht="13" x14ac:dyDescent="0.15"/>
    <row r="7141" customFormat="1" ht="13" x14ac:dyDescent="0.15"/>
    <row r="7142" customFormat="1" ht="13" x14ac:dyDescent="0.15"/>
    <row r="7143" customFormat="1" ht="13" x14ac:dyDescent="0.15"/>
    <row r="7144" customFormat="1" ht="13" x14ac:dyDescent="0.15"/>
    <row r="7145" customFormat="1" ht="13" x14ac:dyDescent="0.15"/>
    <row r="7146" customFormat="1" ht="13" x14ac:dyDescent="0.15"/>
    <row r="7147" customFormat="1" ht="13" x14ac:dyDescent="0.15"/>
    <row r="7148" customFormat="1" ht="13" x14ac:dyDescent="0.15"/>
    <row r="7149" customFormat="1" ht="13" x14ac:dyDescent="0.15"/>
    <row r="7150" customFormat="1" ht="13" x14ac:dyDescent="0.15"/>
    <row r="7151" customFormat="1" ht="13" x14ac:dyDescent="0.15"/>
    <row r="7152" customFormat="1" ht="13" x14ac:dyDescent="0.15"/>
    <row r="7153" customFormat="1" ht="13" x14ac:dyDescent="0.15"/>
    <row r="7154" customFormat="1" ht="13" x14ac:dyDescent="0.15"/>
    <row r="7155" customFormat="1" ht="13" x14ac:dyDescent="0.15"/>
    <row r="7156" customFormat="1" ht="13" x14ac:dyDescent="0.15"/>
    <row r="7157" customFormat="1" ht="13" x14ac:dyDescent="0.15"/>
    <row r="7158" customFormat="1" ht="13" x14ac:dyDescent="0.15"/>
    <row r="7159" customFormat="1" ht="13" x14ac:dyDescent="0.15"/>
    <row r="7160" customFormat="1" ht="13" x14ac:dyDescent="0.15"/>
    <row r="7161" customFormat="1" ht="13" x14ac:dyDescent="0.15"/>
    <row r="7162" customFormat="1" ht="13" x14ac:dyDescent="0.15"/>
    <row r="7163" customFormat="1" ht="13" x14ac:dyDescent="0.15"/>
    <row r="7164" customFormat="1" ht="13" x14ac:dyDescent="0.15"/>
    <row r="7165" customFormat="1" ht="13" x14ac:dyDescent="0.15"/>
    <row r="7166" customFormat="1" ht="13" x14ac:dyDescent="0.15"/>
    <row r="7167" customFormat="1" ht="13" x14ac:dyDescent="0.15"/>
    <row r="7168" customFormat="1" ht="13" x14ac:dyDescent="0.15"/>
    <row r="7169" customFormat="1" ht="13" x14ac:dyDescent="0.15"/>
    <row r="7170" customFormat="1" ht="13" x14ac:dyDescent="0.15"/>
    <row r="7171" customFormat="1" ht="13" x14ac:dyDescent="0.15"/>
    <row r="7172" customFormat="1" ht="13" x14ac:dyDescent="0.15"/>
    <row r="7173" customFormat="1" ht="13" x14ac:dyDescent="0.15"/>
    <row r="7174" customFormat="1" ht="13" x14ac:dyDescent="0.15"/>
    <row r="7175" customFormat="1" ht="13" x14ac:dyDescent="0.15"/>
    <row r="7176" customFormat="1" ht="13" x14ac:dyDescent="0.15"/>
    <row r="7177" customFormat="1" ht="13" x14ac:dyDescent="0.15"/>
    <row r="7178" customFormat="1" ht="13" x14ac:dyDescent="0.15"/>
    <row r="7179" customFormat="1" ht="13" x14ac:dyDescent="0.15"/>
    <row r="7180" customFormat="1" ht="13" x14ac:dyDescent="0.15"/>
    <row r="7181" customFormat="1" ht="13" x14ac:dyDescent="0.15"/>
    <row r="7182" customFormat="1" ht="13" x14ac:dyDescent="0.15"/>
    <row r="7183" customFormat="1" ht="13" x14ac:dyDescent="0.15"/>
    <row r="7184" customFormat="1" ht="13" x14ac:dyDescent="0.15"/>
    <row r="7185" customFormat="1" ht="13" x14ac:dyDescent="0.15"/>
    <row r="7186" customFormat="1" ht="13" x14ac:dyDescent="0.15"/>
    <row r="7187" customFormat="1" ht="13" x14ac:dyDescent="0.15"/>
    <row r="7188" customFormat="1" ht="13" x14ac:dyDescent="0.15"/>
    <row r="7189" customFormat="1" ht="13" x14ac:dyDescent="0.15"/>
    <row r="7190" customFormat="1" ht="13" x14ac:dyDescent="0.15"/>
    <row r="7191" customFormat="1" ht="13" x14ac:dyDescent="0.15"/>
    <row r="7192" customFormat="1" ht="13" x14ac:dyDescent="0.15"/>
    <row r="7193" customFormat="1" ht="13" x14ac:dyDescent="0.15"/>
    <row r="7194" customFormat="1" ht="13" x14ac:dyDescent="0.15"/>
    <row r="7195" customFormat="1" ht="13" x14ac:dyDescent="0.15"/>
    <row r="7196" customFormat="1" ht="13" x14ac:dyDescent="0.15"/>
    <row r="7197" customFormat="1" ht="13" x14ac:dyDescent="0.15"/>
    <row r="7198" customFormat="1" ht="13" x14ac:dyDescent="0.15"/>
    <row r="7199" customFormat="1" ht="13" x14ac:dyDescent="0.15"/>
    <row r="7200" customFormat="1" ht="13" x14ac:dyDescent="0.15"/>
    <row r="7201" customFormat="1" ht="13" x14ac:dyDescent="0.15"/>
    <row r="7202" customFormat="1" ht="13" x14ac:dyDescent="0.15"/>
    <row r="7203" customFormat="1" ht="13" x14ac:dyDescent="0.15"/>
    <row r="7204" customFormat="1" ht="13" x14ac:dyDescent="0.15"/>
    <row r="7205" customFormat="1" ht="13" x14ac:dyDescent="0.15"/>
    <row r="7206" customFormat="1" ht="13" x14ac:dyDescent="0.15"/>
    <row r="7207" customFormat="1" ht="13" x14ac:dyDescent="0.15"/>
    <row r="7208" customFormat="1" ht="13" x14ac:dyDescent="0.15"/>
    <row r="7209" customFormat="1" ht="13" x14ac:dyDescent="0.15"/>
    <row r="7210" customFormat="1" ht="13" x14ac:dyDescent="0.15"/>
    <row r="7211" customFormat="1" ht="13" x14ac:dyDescent="0.15"/>
    <row r="7212" customFormat="1" ht="13" x14ac:dyDescent="0.15"/>
    <row r="7213" customFormat="1" ht="13" x14ac:dyDescent="0.15"/>
    <row r="7214" customFormat="1" ht="13" x14ac:dyDescent="0.15"/>
    <row r="7215" customFormat="1" ht="13" x14ac:dyDescent="0.15"/>
    <row r="7216" customFormat="1" ht="13" x14ac:dyDescent="0.15"/>
    <row r="7217" customFormat="1" ht="13" x14ac:dyDescent="0.15"/>
    <row r="7218" customFormat="1" ht="13" x14ac:dyDescent="0.15"/>
    <row r="7219" customFormat="1" ht="13" x14ac:dyDescent="0.15"/>
    <row r="7220" customFormat="1" ht="13" x14ac:dyDescent="0.15"/>
    <row r="7221" customFormat="1" ht="13" x14ac:dyDescent="0.15"/>
    <row r="7222" customFormat="1" ht="13" x14ac:dyDescent="0.15"/>
    <row r="7223" customFormat="1" ht="13" x14ac:dyDescent="0.15"/>
    <row r="7224" customFormat="1" ht="13" x14ac:dyDescent="0.15"/>
    <row r="7225" customFormat="1" ht="13" x14ac:dyDescent="0.15"/>
    <row r="7226" customFormat="1" ht="13" x14ac:dyDescent="0.15"/>
    <row r="7227" customFormat="1" ht="13" x14ac:dyDescent="0.15"/>
    <row r="7228" customFormat="1" ht="13" x14ac:dyDescent="0.15"/>
    <row r="7229" customFormat="1" ht="13" x14ac:dyDescent="0.15"/>
    <row r="7230" customFormat="1" ht="13" x14ac:dyDescent="0.15"/>
    <row r="7231" customFormat="1" ht="13" x14ac:dyDescent="0.15"/>
    <row r="7232" customFormat="1" ht="13" x14ac:dyDescent="0.15"/>
    <row r="7233" customFormat="1" ht="13" x14ac:dyDescent="0.15"/>
    <row r="7234" customFormat="1" ht="13" x14ac:dyDescent="0.15"/>
    <row r="7235" customFormat="1" ht="13" x14ac:dyDescent="0.15"/>
    <row r="7236" customFormat="1" ht="13" x14ac:dyDescent="0.15"/>
    <row r="7237" customFormat="1" ht="13" x14ac:dyDescent="0.15"/>
    <row r="7238" customFormat="1" ht="13" x14ac:dyDescent="0.15"/>
    <row r="7239" customFormat="1" ht="13" x14ac:dyDescent="0.15"/>
    <row r="7240" customFormat="1" ht="13" x14ac:dyDescent="0.15"/>
    <row r="7241" customFormat="1" ht="13" x14ac:dyDescent="0.15"/>
    <row r="7242" customFormat="1" ht="13" x14ac:dyDescent="0.15"/>
    <row r="7243" customFormat="1" ht="13" x14ac:dyDescent="0.15"/>
    <row r="7244" customFormat="1" ht="13" x14ac:dyDescent="0.15"/>
    <row r="7245" customFormat="1" ht="13" x14ac:dyDescent="0.15"/>
    <row r="7246" customFormat="1" ht="13" x14ac:dyDescent="0.15"/>
    <row r="7247" customFormat="1" ht="13" x14ac:dyDescent="0.15"/>
    <row r="7248" customFormat="1" ht="13" x14ac:dyDescent="0.15"/>
    <row r="7249" customFormat="1" ht="13" x14ac:dyDescent="0.15"/>
    <row r="7250" customFormat="1" ht="13" x14ac:dyDescent="0.15"/>
    <row r="7251" customFormat="1" ht="13" x14ac:dyDescent="0.15"/>
    <row r="7252" customFormat="1" ht="13" x14ac:dyDescent="0.15"/>
    <row r="7253" customFormat="1" ht="13" x14ac:dyDescent="0.15"/>
    <row r="7254" customFormat="1" ht="13" x14ac:dyDescent="0.15"/>
    <row r="7255" customFormat="1" ht="13" x14ac:dyDescent="0.15"/>
    <row r="7256" customFormat="1" ht="13" x14ac:dyDescent="0.15"/>
    <row r="7257" customFormat="1" ht="13" x14ac:dyDescent="0.15"/>
    <row r="7258" customFormat="1" ht="13" x14ac:dyDescent="0.15"/>
    <row r="7259" customFormat="1" ht="13" x14ac:dyDescent="0.15"/>
    <row r="7260" customFormat="1" ht="13" x14ac:dyDescent="0.15"/>
    <row r="7261" customFormat="1" ht="13" x14ac:dyDescent="0.15"/>
    <row r="7262" customFormat="1" ht="13" x14ac:dyDescent="0.15"/>
    <row r="7263" customFormat="1" ht="13" x14ac:dyDescent="0.15"/>
    <row r="7264" customFormat="1" ht="13" x14ac:dyDescent="0.15"/>
    <row r="7265" customFormat="1" ht="13" x14ac:dyDescent="0.15"/>
    <row r="7266" customFormat="1" ht="13" x14ac:dyDescent="0.15"/>
    <row r="7267" customFormat="1" ht="13" x14ac:dyDescent="0.15"/>
    <row r="7268" customFormat="1" ht="13" x14ac:dyDescent="0.15"/>
    <row r="7269" customFormat="1" ht="13" x14ac:dyDescent="0.15"/>
    <row r="7270" customFormat="1" ht="13" x14ac:dyDescent="0.15"/>
    <row r="7271" customFormat="1" ht="13" x14ac:dyDescent="0.15"/>
    <row r="7272" customFormat="1" ht="13" x14ac:dyDescent="0.15"/>
    <row r="7273" customFormat="1" ht="13" x14ac:dyDescent="0.15"/>
    <row r="7274" customFormat="1" ht="13" x14ac:dyDescent="0.15"/>
    <row r="7275" customFormat="1" ht="13" x14ac:dyDescent="0.15"/>
    <row r="7276" customFormat="1" ht="13" x14ac:dyDescent="0.15"/>
    <row r="7277" customFormat="1" ht="13" x14ac:dyDescent="0.15"/>
    <row r="7278" customFormat="1" ht="13" x14ac:dyDescent="0.15"/>
    <row r="7279" customFormat="1" ht="13" x14ac:dyDescent="0.15"/>
    <row r="7280" customFormat="1" ht="13" x14ac:dyDescent="0.15"/>
    <row r="7281" customFormat="1" ht="13" x14ac:dyDescent="0.15"/>
    <row r="7282" customFormat="1" ht="13" x14ac:dyDescent="0.15"/>
    <row r="7283" customFormat="1" ht="13" x14ac:dyDescent="0.15"/>
    <row r="7284" customFormat="1" ht="13" x14ac:dyDescent="0.15"/>
    <row r="7285" customFormat="1" ht="13" x14ac:dyDescent="0.15"/>
    <row r="7286" customFormat="1" ht="13" x14ac:dyDescent="0.15"/>
    <row r="7287" customFormat="1" ht="13" x14ac:dyDescent="0.15"/>
    <row r="7288" customFormat="1" ht="13" x14ac:dyDescent="0.15"/>
    <row r="7289" customFormat="1" ht="13" x14ac:dyDescent="0.15"/>
    <row r="7290" customFormat="1" ht="13" x14ac:dyDescent="0.15"/>
    <row r="7291" customFormat="1" ht="13" x14ac:dyDescent="0.15"/>
    <row r="7292" customFormat="1" ht="13" x14ac:dyDescent="0.15"/>
    <row r="7293" customFormat="1" ht="13" x14ac:dyDescent="0.15"/>
    <row r="7294" customFormat="1" ht="13" x14ac:dyDescent="0.15"/>
    <row r="7295" customFormat="1" ht="13" x14ac:dyDescent="0.15"/>
    <row r="7296" customFormat="1" ht="13" x14ac:dyDescent="0.15"/>
    <row r="7297" customFormat="1" ht="13" x14ac:dyDescent="0.15"/>
    <row r="7298" customFormat="1" ht="13" x14ac:dyDescent="0.15"/>
    <row r="7299" customFormat="1" ht="13" x14ac:dyDescent="0.15"/>
    <row r="7300" customFormat="1" ht="13" x14ac:dyDescent="0.15"/>
    <row r="7301" customFormat="1" ht="13" x14ac:dyDescent="0.15"/>
    <row r="7302" customFormat="1" ht="13" x14ac:dyDescent="0.15"/>
    <row r="7303" customFormat="1" ht="13" x14ac:dyDescent="0.15"/>
    <row r="7304" customFormat="1" ht="13" x14ac:dyDescent="0.15"/>
    <row r="7305" customFormat="1" ht="13" x14ac:dyDescent="0.15"/>
    <row r="7306" customFormat="1" ht="13" x14ac:dyDescent="0.15"/>
    <row r="7307" customFormat="1" ht="13" x14ac:dyDescent="0.15"/>
    <row r="7308" customFormat="1" ht="13" x14ac:dyDescent="0.15"/>
    <row r="7309" customFormat="1" ht="13" x14ac:dyDescent="0.15"/>
    <row r="7310" customFormat="1" ht="13" x14ac:dyDescent="0.15"/>
    <row r="7311" customFormat="1" ht="13" x14ac:dyDescent="0.15"/>
    <row r="7312" customFormat="1" ht="13" x14ac:dyDescent="0.15"/>
    <row r="7313" customFormat="1" ht="13" x14ac:dyDescent="0.15"/>
    <row r="7314" customFormat="1" ht="13" x14ac:dyDescent="0.15"/>
    <row r="7315" customFormat="1" ht="13" x14ac:dyDescent="0.15"/>
    <row r="7316" customFormat="1" ht="13" x14ac:dyDescent="0.15"/>
    <row r="7317" customFormat="1" ht="13" x14ac:dyDescent="0.15"/>
    <row r="7318" customFormat="1" ht="13" x14ac:dyDescent="0.15"/>
    <row r="7319" customFormat="1" ht="13" x14ac:dyDescent="0.15"/>
    <row r="7320" customFormat="1" ht="13" x14ac:dyDescent="0.15"/>
    <row r="7321" customFormat="1" ht="13" x14ac:dyDescent="0.15"/>
    <row r="7322" customFormat="1" ht="13" x14ac:dyDescent="0.15"/>
    <row r="7323" customFormat="1" ht="13" x14ac:dyDescent="0.15"/>
    <row r="7324" customFormat="1" ht="13" x14ac:dyDescent="0.15"/>
    <row r="7325" customFormat="1" ht="13" x14ac:dyDescent="0.15"/>
    <row r="7326" customFormat="1" ht="13" x14ac:dyDescent="0.15"/>
    <row r="7327" customFormat="1" ht="13" x14ac:dyDescent="0.15"/>
    <row r="7328" customFormat="1" ht="13" x14ac:dyDescent="0.15"/>
    <row r="7329" customFormat="1" ht="13" x14ac:dyDescent="0.15"/>
    <row r="7330" customFormat="1" ht="13" x14ac:dyDescent="0.15"/>
    <row r="7331" customFormat="1" ht="13" x14ac:dyDescent="0.15"/>
    <row r="7332" customFormat="1" ht="13" x14ac:dyDescent="0.15"/>
    <row r="7333" customFormat="1" ht="13" x14ac:dyDescent="0.15"/>
    <row r="7334" customFormat="1" ht="13" x14ac:dyDescent="0.15"/>
    <row r="7335" customFormat="1" ht="13" x14ac:dyDescent="0.15"/>
    <row r="7336" customFormat="1" ht="13" x14ac:dyDescent="0.15"/>
    <row r="7337" customFormat="1" ht="13" x14ac:dyDescent="0.15"/>
    <row r="7338" customFormat="1" ht="13" x14ac:dyDescent="0.15"/>
    <row r="7339" customFormat="1" ht="13" x14ac:dyDescent="0.15"/>
    <row r="7340" customFormat="1" ht="13" x14ac:dyDescent="0.15"/>
    <row r="7341" customFormat="1" ht="13" x14ac:dyDescent="0.15"/>
    <row r="7342" customFormat="1" ht="13" x14ac:dyDescent="0.15"/>
    <row r="7343" customFormat="1" ht="13" x14ac:dyDescent="0.15"/>
    <row r="7344" customFormat="1" ht="13" x14ac:dyDescent="0.15"/>
    <row r="7345" customFormat="1" ht="13" x14ac:dyDescent="0.15"/>
    <row r="7346" customFormat="1" ht="13" x14ac:dyDescent="0.15"/>
    <row r="7347" customFormat="1" ht="13" x14ac:dyDescent="0.15"/>
    <row r="7348" customFormat="1" ht="13" x14ac:dyDescent="0.15"/>
    <row r="7349" customFormat="1" ht="13" x14ac:dyDescent="0.15"/>
    <row r="7350" customFormat="1" ht="13" x14ac:dyDescent="0.15"/>
    <row r="7351" customFormat="1" ht="13" x14ac:dyDescent="0.15"/>
    <row r="7352" customFormat="1" ht="13" x14ac:dyDescent="0.15"/>
    <row r="7353" customFormat="1" ht="13" x14ac:dyDescent="0.15"/>
    <row r="7354" customFormat="1" ht="13" x14ac:dyDescent="0.15"/>
    <row r="7355" customFormat="1" ht="13" x14ac:dyDescent="0.15"/>
    <row r="7356" customFormat="1" ht="13" x14ac:dyDescent="0.15"/>
    <row r="7357" customFormat="1" ht="13" x14ac:dyDescent="0.15"/>
    <row r="7358" customFormat="1" ht="13" x14ac:dyDescent="0.15"/>
    <row r="7359" customFormat="1" ht="13" x14ac:dyDescent="0.15"/>
    <row r="7360" customFormat="1" ht="13" x14ac:dyDescent="0.15"/>
    <row r="7361" customFormat="1" ht="13" x14ac:dyDescent="0.15"/>
    <row r="7362" customFormat="1" ht="13" x14ac:dyDescent="0.15"/>
    <row r="7363" customFormat="1" ht="13" x14ac:dyDescent="0.15"/>
    <row r="7364" customFormat="1" ht="13" x14ac:dyDescent="0.15"/>
    <row r="7365" customFormat="1" ht="13" x14ac:dyDescent="0.15"/>
    <row r="7366" customFormat="1" ht="13" x14ac:dyDescent="0.15"/>
    <row r="7367" customFormat="1" ht="13" x14ac:dyDescent="0.15"/>
    <row r="7368" customFormat="1" ht="13" x14ac:dyDescent="0.15"/>
    <row r="7369" customFormat="1" ht="13" x14ac:dyDescent="0.15"/>
    <row r="7370" customFormat="1" ht="13" x14ac:dyDescent="0.15"/>
    <row r="7371" customFormat="1" ht="13" x14ac:dyDescent="0.15"/>
    <row r="7372" customFormat="1" ht="13" x14ac:dyDescent="0.15"/>
    <row r="7373" customFormat="1" ht="13" x14ac:dyDescent="0.15"/>
    <row r="7374" customFormat="1" ht="13" x14ac:dyDescent="0.15"/>
    <row r="7375" customFormat="1" ht="13" x14ac:dyDescent="0.15"/>
    <row r="7376" customFormat="1" ht="13" x14ac:dyDescent="0.15"/>
    <row r="7377" customFormat="1" ht="13" x14ac:dyDescent="0.15"/>
    <row r="7378" customFormat="1" ht="13" x14ac:dyDescent="0.15"/>
    <row r="7379" customFormat="1" ht="13" x14ac:dyDescent="0.15"/>
    <row r="7380" customFormat="1" ht="13" x14ac:dyDescent="0.15"/>
    <row r="7381" customFormat="1" ht="13" x14ac:dyDescent="0.15"/>
    <row r="7382" customFormat="1" ht="13" x14ac:dyDescent="0.15"/>
    <row r="7383" customFormat="1" ht="13" x14ac:dyDescent="0.15"/>
    <row r="7384" customFormat="1" ht="13" x14ac:dyDescent="0.15"/>
    <row r="7385" customFormat="1" ht="13" x14ac:dyDescent="0.15"/>
    <row r="7386" customFormat="1" ht="13" x14ac:dyDescent="0.15"/>
    <row r="7387" customFormat="1" ht="13" x14ac:dyDescent="0.15"/>
    <row r="7388" customFormat="1" ht="13" x14ac:dyDescent="0.15"/>
    <row r="7389" customFormat="1" ht="13" x14ac:dyDescent="0.15"/>
    <row r="7390" customFormat="1" ht="13" x14ac:dyDescent="0.15"/>
    <row r="7391" customFormat="1" ht="13" x14ac:dyDescent="0.15"/>
    <row r="7392" customFormat="1" ht="13" x14ac:dyDescent="0.15"/>
    <row r="7393" customFormat="1" ht="13" x14ac:dyDescent="0.15"/>
    <row r="7394" customFormat="1" ht="13" x14ac:dyDescent="0.15"/>
    <row r="7395" customFormat="1" ht="13" x14ac:dyDescent="0.15"/>
    <row r="7396" customFormat="1" ht="13" x14ac:dyDescent="0.15"/>
    <row r="7397" customFormat="1" ht="13" x14ac:dyDescent="0.15"/>
    <row r="7398" customFormat="1" ht="13" x14ac:dyDescent="0.15"/>
    <row r="7399" customFormat="1" ht="13" x14ac:dyDescent="0.15"/>
    <row r="7400" customFormat="1" ht="13" x14ac:dyDescent="0.15"/>
    <row r="7401" customFormat="1" ht="13" x14ac:dyDescent="0.15"/>
    <row r="7402" customFormat="1" ht="13" x14ac:dyDescent="0.15"/>
    <row r="7403" customFormat="1" ht="13" x14ac:dyDescent="0.15"/>
    <row r="7404" customFormat="1" ht="13" x14ac:dyDescent="0.15"/>
    <row r="7405" customFormat="1" ht="13" x14ac:dyDescent="0.15"/>
    <row r="7406" customFormat="1" ht="13" x14ac:dyDescent="0.15"/>
    <row r="7407" customFormat="1" ht="13" x14ac:dyDescent="0.15"/>
    <row r="7408" customFormat="1" ht="13" x14ac:dyDescent="0.15"/>
    <row r="7409" customFormat="1" ht="13" x14ac:dyDescent="0.15"/>
    <row r="7410" customFormat="1" ht="13" x14ac:dyDescent="0.15"/>
    <row r="7411" customFormat="1" ht="13" x14ac:dyDescent="0.15"/>
    <row r="7412" customFormat="1" ht="13" x14ac:dyDescent="0.15"/>
    <row r="7413" customFormat="1" ht="13" x14ac:dyDescent="0.15"/>
    <row r="7414" customFormat="1" ht="13" x14ac:dyDescent="0.15"/>
    <row r="7415" customFormat="1" ht="13" x14ac:dyDescent="0.15"/>
    <row r="7416" customFormat="1" ht="13" x14ac:dyDescent="0.15"/>
    <row r="7417" customFormat="1" ht="13" x14ac:dyDescent="0.15"/>
    <row r="7418" customFormat="1" ht="13" x14ac:dyDescent="0.15"/>
    <row r="7419" customFormat="1" ht="13" x14ac:dyDescent="0.15"/>
    <row r="7420" customFormat="1" ht="13" x14ac:dyDescent="0.15"/>
    <row r="7421" customFormat="1" ht="13" x14ac:dyDescent="0.15"/>
    <row r="7422" customFormat="1" ht="13" x14ac:dyDescent="0.15"/>
    <row r="7423" customFormat="1" ht="13" x14ac:dyDescent="0.15"/>
    <row r="7424" customFormat="1" ht="13" x14ac:dyDescent="0.15"/>
    <row r="7425" customFormat="1" ht="13" x14ac:dyDescent="0.15"/>
    <row r="7426" customFormat="1" ht="13" x14ac:dyDescent="0.15"/>
    <row r="7427" customFormat="1" ht="13" x14ac:dyDescent="0.15"/>
    <row r="7428" customFormat="1" ht="13" x14ac:dyDescent="0.15"/>
    <row r="7429" customFormat="1" ht="13" x14ac:dyDescent="0.15"/>
    <row r="7430" customFormat="1" ht="13" x14ac:dyDescent="0.15"/>
    <row r="7431" customFormat="1" ht="13" x14ac:dyDescent="0.15"/>
    <row r="7432" customFormat="1" ht="13" x14ac:dyDescent="0.15"/>
    <row r="7433" customFormat="1" ht="13" x14ac:dyDescent="0.15"/>
    <row r="7434" customFormat="1" ht="13" x14ac:dyDescent="0.15"/>
    <row r="7435" customFormat="1" ht="13" x14ac:dyDescent="0.15"/>
    <row r="7436" customFormat="1" ht="13" x14ac:dyDescent="0.15"/>
    <row r="7437" customFormat="1" ht="13" x14ac:dyDescent="0.15"/>
    <row r="7438" customFormat="1" ht="13" x14ac:dyDescent="0.15"/>
    <row r="7439" customFormat="1" ht="13" x14ac:dyDescent="0.15"/>
    <row r="7440" customFormat="1" ht="13" x14ac:dyDescent="0.15"/>
    <row r="7441" customFormat="1" ht="13" x14ac:dyDescent="0.15"/>
    <row r="7442" customFormat="1" ht="13" x14ac:dyDescent="0.15"/>
    <row r="7443" customFormat="1" ht="13" x14ac:dyDescent="0.15"/>
    <row r="7444" customFormat="1" ht="13" x14ac:dyDescent="0.15"/>
    <row r="7445" customFormat="1" ht="13" x14ac:dyDescent="0.15"/>
    <row r="7446" customFormat="1" ht="13" x14ac:dyDescent="0.15"/>
    <row r="7447" customFormat="1" ht="13" x14ac:dyDescent="0.15"/>
    <row r="7448" customFormat="1" ht="13" x14ac:dyDescent="0.15"/>
    <row r="7449" customFormat="1" ht="13" x14ac:dyDescent="0.15"/>
    <row r="7450" customFormat="1" ht="13" x14ac:dyDescent="0.15"/>
    <row r="7451" customFormat="1" ht="13" x14ac:dyDescent="0.15"/>
    <row r="7452" customFormat="1" ht="13" x14ac:dyDescent="0.15"/>
    <row r="7453" customFormat="1" ht="13" x14ac:dyDescent="0.15"/>
    <row r="7454" customFormat="1" ht="13" x14ac:dyDescent="0.15"/>
    <row r="7455" customFormat="1" ht="13" x14ac:dyDescent="0.15"/>
    <row r="7456" customFormat="1" ht="13" x14ac:dyDescent="0.15"/>
    <row r="7457" customFormat="1" ht="13" x14ac:dyDescent="0.15"/>
    <row r="7458" customFormat="1" ht="13" x14ac:dyDescent="0.15"/>
    <row r="7459" customFormat="1" ht="13" x14ac:dyDescent="0.15"/>
    <row r="7460" customFormat="1" ht="13" x14ac:dyDescent="0.15"/>
    <row r="7461" customFormat="1" ht="13" x14ac:dyDescent="0.15"/>
    <row r="7462" customFormat="1" ht="13" x14ac:dyDescent="0.15"/>
    <row r="7463" customFormat="1" ht="13" x14ac:dyDescent="0.15"/>
    <row r="7464" customFormat="1" ht="13" x14ac:dyDescent="0.15"/>
    <row r="7465" customFormat="1" ht="13" x14ac:dyDescent="0.15"/>
    <row r="7466" customFormat="1" ht="13" x14ac:dyDescent="0.15"/>
    <row r="7467" customFormat="1" ht="13" x14ac:dyDescent="0.15"/>
    <row r="7468" customFormat="1" ht="13" x14ac:dyDescent="0.15"/>
    <row r="7469" customFormat="1" ht="13" x14ac:dyDescent="0.15"/>
    <row r="7470" customFormat="1" ht="13" x14ac:dyDescent="0.15"/>
    <row r="7471" customFormat="1" ht="13" x14ac:dyDescent="0.15"/>
    <row r="7472" customFormat="1" ht="13" x14ac:dyDescent="0.15"/>
    <row r="7473" customFormat="1" ht="13" x14ac:dyDescent="0.15"/>
    <row r="7474" customFormat="1" ht="13" x14ac:dyDescent="0.15"/>
    <row r="7475" customFormat="1" ht="13" x14ac:dyDescent="0.15"/>
    <row r="7476" customFormat="1" ht="13" x14ac:dyDescent="0.15"/>
    <row r="7477" customFormat="1" ht="13" x14ac:dyDescent="0.15"/>
    <row r="7478" customFormat="1" ht="13" x14ac:dyDescent="0.15"/>
    <row r="7479" customFormat="1" ht="13" x14ac:dyDescent="0.15"/>
    <row r="7480" customFormat="1" ht="13" x14ac:dyDescent="0.15"/>
    <row r="7481" customFormat="1" ht="13" x14ac:dyDescent="0.15"/>
    <row r="7482" customFormat="1" ht="13" x14ac:dyDescent="0.15"/>
    <row r="7483" customFormat="1" ht="13" x14ac:dyDescent="0.15"/>
    <row r="7484" customFormat="1" ht="13" x14ac:dyDescent="0.15"/>
    <row r="7485" customFormat="1" ht="13" x14ac:dyDescent="0.15"/>
    <row r="7486" customFormat="1" ht="13" x14ac:dyDescent="0.15"/>
    <row r="7487" customFormat="1" ht="13" x14ac:dyDescent="0.15"/>
    <row r="7488" customFormat="1" ht="13" x14ac:dyDescent="0.15"/>
    <row r="7489" customFormat="1" ht="13" x14ac:dyDescent="0.15"/>
    <row r="7490" customFormat="1" ht="13" x14ac:dyDescent="0.15"/>
    <row r="7491" customFormat="1" ht="13" x14ac:dyDescent="0.15"/>
    <row r="7492" customFormat="1" ht="13" x14ac:dyDescent="0.15"/>
    <row r="7493" customFormat="1" ht="13" x14ac:dyDescent="0.15"/>
    <row r="7494" customFormat="1" ht="13" x14ac:dyDescent="0.15"/>
    <row r="7495" customFormat="1" ht="13" x14ac:dyDescent="0.15"/>
    <row r="7496" customFormat="1" ht="13" x14ac:dyDescent="0.15"/>
    <row r="7497" customFormat="1" ht="13" x14ac:dyDescent="0.15"/>
    <row r="7498" customFormat="1" ht="13" x14ac:dyDescent="0.15"/>
    <row r="7499" customFormat="1" ht="13" x14ac:dyDescent="0.15"/>
    <row r="7500" customFormat="1" ht="13" x14ac:dyDescent="0.15"/>
    <row r="7501" customFormat="1" ht="13" x14ac:dyDescent="0.15"/>
    <row r="7502" customFormat="1" ht="13" x14ac:dyDescent="0.15"/>
    <row r="7503" customFormat="1" ht="13" x14ac:dyDescent="0.15"/>
    <row r="7504" customFormat="1" ht="13" x14ac:dyDescent="0.15"/>
    <row r="7505" customFormat="1" ht="13" x14ac:dyDescent="0.15"/>
    <row r="7506" customFormat="1" ht="13" x14ac:dyDescent="0.15"/>
    <row r="7507" customFormat="1" ht="13" x14ac:dyDescent="0.15"/>
    <row r="7508" customFormat="1" ht="13" x14ac:dyDescent="0.15"/>
    <row r="7509" customFormat="1" ht="13" x14ac:dyDescent="0.15"/>
    <row r="7510" customFormat="1" ht="13" x14ac:dyDescent="0.15"/>
    <row r="7511" customFormat="1" ht="13" x14ac:dyDescent="0.15"/>
    <row r="7512" customFormat="1" ht="13" x14ac:dyDescent="0.15"/>
    <row r="7513" customFormat="1" ht="13" x14ac:dyDescent="0.15"/>
    <row r="7514" customFormat="1" ht="13" x14ac:dyDescent="0.15"/>
    <row r="7515" customFormat="1" ht="13" x14ac:dyDescent="0.15"/>
    <row r="7516" customFormat="1" ht="13" x14ac:dyDescent="0.15"/>
    <row r="7517" customFormat="1" ht="13" x14ac:dyDescent="0.15"/>
    <row r="7518" customFormat="1" ht="13" x14ac:dyDescent="0.15"/>
    <row r="7519" customFormat="1" ht="13" x14ac:dyDescent="0.15"/>
    <row r="7520" customFormat="1" ht="13" x14ac:dyDescent="0.15"/>
    <row r="7521" customFormat="1" ht="13" x14ac:dyDescent="0.15"/>
    <row r="7522" customFormat="1" ht="13" x14ac:dyDescent="0.15"/>
    <row r="7523" customFormat="1" ht="13" x14ac:dyDescent="0.15"/>
    <row r="7524" customFormat="1" ht="13" x14ac:dyDescent="0.15"/>
    <row r="7525" customFormat="1" ht="13" x14ac:dyDescent="0.15"/>
    <row r="7526" customFormat="1" ht="13" x14ac:dyDescent="0.15"/>
    <row r="7527" customFormat="1" ht="13" x14ac:dyDescent="0.15"/>
    <row r="7528" customFormat="1" ht="13" x14ac:dyDescent="0.15"/>
    <row r="7529" customFormat="1" ht="13" x14ac:dyDescent="0.15"/>
    <row r="7530" customFormat="1" ht="13" x14ac:dyDescent="0.15"/>
    <row r="7531" customFormat="1" ht="13" x14ac:dyDescent="0.15"/>
    <row r="7532" customFormat="1" ht="13" x14ac:dyDescent="0.15"/>
    <row r="7533" customFormat="1" ht="13" x14ac:dyDescent="0.15"/>
    <row r="7534" customFormat="1" ht="13" x14ac:dyDescent="0.15"/>
    <row r="7535" customFormat="1" ht="13" x14ac:dyDescent="0.15"/>
    <row r="7536" customFormat="1" ht="13" x14ac:dyDescent="0.15"/>
    <row r="7537" customFormat="1" ht="13" x14ac:dyDescent="0.15"/>
    <row r="7538" customFormat="1" ht="13" x14ac:dyDescent="0.15"/>
    <row r="7539" customFormat="1" ht="13" x14ac:dyDescent="0.15"/>
    <row r="7540" customFormat="1" ht="13" x14ac:dyDescent="0.15"/>
    <row r="7541" customFormat="1" ht="13" x14ac:dyDescent="0.15"/>
    <row r="7542" customFormat="1" ht="13" x14ac:dyDescent="0.15"/>
    <row r="7543" customFormat="1" ht="13" x14ac:dyDescent="0.15"/>
    <row r="7544" customFormat="1" ht="13" x14ac:dyDescent="0.15"/>
    <row r="7545" customFormat="1" ht="13" x14ac:dyDescent="0.15"/>
    <row r="7546" customFormat="1" ht="13" x14ac:dyDescent="0.15"/>
    <row r="7547" customFormat="1" ht="13" x14ac:dyDescent="0.15"/>
    <row r="7548" customFormat="1" ht="13" x14ac:dyDescent="0.15"/>
    <row r="7549" customFormat="1" ht="13" x14ac:dyDescent="0.15"/>
    <row r="7550" customFormat="1" ht="13" x14ac:dyDescent="0.15"/>
    <row r="7551" customFormat="1" ht="13" x14ac:dyDescent="0.15"/>
    <row r="7552" customFormat="1" ht="13" x14ac:dyDescent="0.15"/>
    <row r="7553" customFormat="1" ht="13" x14ac:dyDescent="0.15"/>
    <row r="7554" customFormat="1" ht="13" x14ac:dyDescent="0.15"/>
    <row r="7555" customFormat="1" ht="13" x14ac:dyDescent="0.15"/>
    <row r="7556" customFormat="1" ht="13" x14ac:dyDescent="0.15"/>
    <row r="7557" customFormat="1" ht="13" x14ac:dyDescent="0.15"/>
    <row r="7558" customFormat="1" ht="13" x14ac:dyDescent="0.15"/>
    <row r="7559" customFormat="1" ht="13" x14ac:dyDescent="0.15"/>
    <row r="7560" customFormat="1" ht="13" x14ac:dyDescent="0.15"/>
    <row r="7561" customFormat="1" ht="13" x14ac:dyDescent="0.15"/>
    <row r="7562" customFormat="1" ht="13" x14ac:dyDescent="0.15"/>
    <row r="7563" customFormat="1" ht="13" x14ac:dyDescent="0.15"/>
    <row r="7564" customFormat="1" ht="13" x14ac:dyDescent="0.15"/>
    <row r="7565" customFormat="1" ht="13" x14ac:dyDescent="0.15"/>
    <row r="7566" customFormat="1" ht="13" x14ac:dyDescent="0.15"/>
    <row r="7567" customFormat="1" ht="13" x14ac:dyDescent="0.15"/>
    <row r="7568" customFormat="1" ht="13" x14ac:dyDescent="0.15"/>
    <row r="7569" customFormat="1" ht="13" x14ac:dyDescent="0.15"/>
    <row r="7570" customFormat="1" ht="13" x14ac:dyDescent="0.15"/>
    <row r="7571" customFormat="1" ht="13" x14ac:dyDescent="0.15"/>
    <row r="7572" customFormat="1" ht="13" x14ac:dyDescent="0.15"/>
    <row r="7573" customFormat="1" ht="13" x14ac:dyDescent="0.15"/>
    <row r="7574" customFormat="1" ht="13" x14ac:dyDescent="0.15"/>
    <row r="7575" customFormat="1" ht="13" x14ac:dyDescent="0.15"/>
    <row r="7576" customFormat="1" ht="13" x14ac:dyDescent="0.15"/>
    <row r="7577" customFormat="1" ht="13" x14ac:dyDescent="0.15"/>
    <row r="7578" customFormat="1" ht="13" x14ac:dyDescent="0.15"/>
    <row r="7579" customFormat="1" ht="13" x14ac:dyDescent="0.15"/>
    <row r="7580" customFormat="1" ht="13" x14ac:dyDescent="0.15"/>
    <row r="7581" customFormat="1" ht="13" x14ac:dyDescent="0.15"/>
    <row r="7582" customFormat="1" ht="13" x14ac:dyDescent="0.15"/>
    <row r="7583" customFormat="1" ht="13" x14ac:dyDescent="0.15"/>
    <row r="7584" customFormat="1" ht="13" x14ac:dyDescent="0.15"/>
    <row r="7585" customFormat="1" ht="13" x14ac:dyDescent="0.15"/>
    <row r="7586" customFormat="1" ht="13" x14ac:dyDescent="0.15"/>
    <row r="7587" customFormat="1" ht="13" x14ac:dyDescent="0.15"/>
    <row r="7588" customFormat="1" ht="13" x14ac:dyDescent="0.15"/>
    <row r="7589" customFormat="1" ht="13" x14ac:dyDescent="0.15"/>
    <row r="7590" customFormat="1" ht="13" x14ac:dyDescent="0.15"/>
    <row r="7591" customFormat="1" ht="13" x14ac:dyDescent="0.15"/>
    <row r="7592" customFormat="1" ht="13" x14ac:dyDescent="0.15"/>
    <row r="7593" customFormat="1" ht="13" x14ac:dyDescent="0.15"/>
    <row r="7594" customFormat="1" ht="13" x14ac:dyDescent="0.15"/>
    <row r="7595" customFormat="1" ht="13" x14ac:dyDescent="0.15"/>
    <row r="7596" customFormat="1" ht="13" x14ac:dyDescent="0.15"/>
    <row r="7597" customFormat="1" ht="13" x14ac:dyDescent="0.15"/>
    <row r="7598" customFormat="1" ht="13" x14ac:dyDescent="0.15"/>
    <row r="7599" customFormat="1" ht="13" x14ac:dyDescent="0.15"/>
    <row r="7600" customFormat="1" ht="13" x14ac:dyDescent="0.15"/>
    <row r="7601" customFormat="1" ht="13" x14ac:dyDescent="0.15"/>
    <row r="7602" customFormat="1" ht="13" x14ac:dyDescent="0.15"/>
    <row r="7603" customFormat="1" ht="13" x14ac:dyDescent="0.15"/>
    <row r="7604" customFormat="1" ht="13" x14ac:dyDescent="0.15"/>
    <row r="7605" customFormat="1" ht="13" x14ac:dyDescent="0.15"/>
    <row r="7606" customFormat="1" ht="13" x14ac:dyDescent="0.15"/>
    <row r="7607" customFormat="1" ht="13" x14ac:dyDescent="0.15"/>
    <row r="7608" customFormat="1" ht="13" x14ac:dyDescent="0.15"/>
    <row r="7609" customFormat="1" ht="13" x14ac:dyDescent="0.15"/>
    <row r="7610" customFormat="1" ht="13" x14ac:dyDescent="0.15"/>
    <row r="7611" customFormat="1" ht="13" x14ac:dyDescent="0.15"/>
    <row r="7612" customFormat="1" ht="13" x14ac:dyDescent="0.15"/>
    <row r="7613" customFormat="1" ht="13" x14ac:dyDescent="0.15"/>
    <row r="7614" customFormat="1" ht="13" x14ac:dyDescent="0.15"/>
    <row r="7615" customFormat="1" ht="13" x14ac:dyDescent="0.15"/>
    <row r="7616" customFormat="1" ht="13" x14ac:dyDescent="0.15"/>
    <row r="7617" customFormat="1" ht="13" x14ac:dyDescent="0.15"/>
    <row r="7618" customFormat="1" ht="13" x14ac:dyDescent="0.15"/>
    <row r="7619" customFormat="1" ht="13" x14ac:dyDescent="0.15"/>
    <row r="7620" customFormat="1" ht="13" x14ac:dyDescent="0.15"/>
    <row r="7621" customFormat="1" ht="13" x14ac:dyDescent="0.15"/>
    <row r="7622" customFormat="1" ht="13" x14ac:dyDescent="0.15"/>
    <row r="7623" customFormat="1" ht="13" x14ac:dyDescent="0.15"/>
    <row r="7624" customFormat="1" ht="13" x14ac:dyDescent="0.15"/>
    <row r="7625" customFormat="1" ht="13" x14ac:dyDescent="0.15"/>
    <row r="7626" customFormat="1" ht="13" x14ac:dyDescent="0.15"/>
    <row r="7627" customFormat="1" ht="13" x14ac:dyDescent="0.15"/>
    <row r="7628" customFormat="1" ht="13" x14ac:dyDescent="0.15"/>
    <row r="7629" customFormat="1" ht="13" x14ac:dyDescent="0.15"/>
    <row r="7630" customFormat="1" ht="13" x14ac:dyDescent="0.15"/>
    <row r="7631" customFormat="1" ht="13" x14ac:dyDescent="0.15"/>
    <row r="7632" customFormat="1" ht="13" x14ac:dyDescent="0.15"/>
    <row r="7633" customFormat="1" ht="13" x14ac:dyDescent="0.15"/>
    <row r="7634" customFormat="1" ht="13" x14ac:dyDescent="0.15"/>
    <row r="7635" customFormat="1" ht="13" x14ac:dyDescent="0.15"/>
    <row r="7636" customFormat="1" ht="13" x14ac:dyDescent="0.15"/>
    <row r="7637" customFormat="1" ht="13" x14ac:dyDescent="0.15"/>
    <row r="7638" customFormat="1" ht="13" x14ac:dyDescent="0.15"/>
    <row r="7639" customFormat="1" ht="13" x14ac:dyDescent="0.15"/>
    <row r="7640" customFormat="1" ht="13" x14ac:dyDescent="0.15"/>
    <row r="7641" customFormat="1" ht="13" x14ac:dyDescent="0.15"/>
    <row r="7642" customFormat="1" ht="13" x14ac:dyDescent="0.15"/>
    <row r="7643" customFormat="1" ht="13" x14ac:dyDescent="0.15"/>
    <row r="7644" customFormat="1" ht="13" x14ac:dyDescent="0.15"/>
    <row r="7645" customFormat="1" ht="13" x14ac:dyDescent="0.15"/>
    <row r="7646" customFormat="1" ht="13" x14ac:dyDescent="0.15"/>
    <row r="7647" customFormat="1" ht="13" x14ac:dyDescent="0.15"/>
    <row r="7648" customFormat="1" ht="13" x14ac:dyDescent="0.15"/>
    <row r="7649" customFormat="1" ht="13" x14ac:dyDescent="0.15"/>
    <row r="7650" customFormat="1" ht="13" x14ac:dyDescent="0.15"/>
    <row r="7651" customFormat="1" ht="13" x14ac:dyDescent="0.15"/>
    <row r="7652" customFormat="1" ht="13" x14ac:dyDescent="0.15"/>
    <row r="7653" customFormat="1" ht="13" x14ac:dyDescent="0.15"/>
    <row r="7654" customFormat="1" ht="13" x14ac:dyDescent="0.15"/>
    <row r="7655" customFormat="1" ht="13" x14ac:dyDescent="0.15"/>
    <row r="7656" customFormat="1" ht="13" x14ac:dyDescent="0.15"/>
    <row r="7657" customFormat="1" ht="13" x14ac:dyDescent="0.15"/>
    <row r="7658" customFormat="1" ht="13" x14ac:dyDescent="0.15"/>
    <row r="7659" customFormat="1" ht="13" x14ac:dyDescent="0.15"/>
    <row r="7660" customFormat="1" ht="13" x14ac:dyDescent="0.15"/>
    <row r="7661" customFormat="1" ht="13" x14ac:dyDescent="0.15"/>
    <row r="7662" customFormat="1" ht="13" x14ac:dyDescent="0.15"/>
    <row r="7663" customFormat="1" ht="13" x14ac:dyDescent="0.15"/>
    <row r="7664" customFormat="1" ht="13" x14ac:dyDescent="0.15"/>
    <row r="7665" customFormat="1" ht="13" x14ac:dyDescent="0.15"/>
    <row r="7666" customFormat="1" ht="13" x14ac:dyDescent="0.15"/>
    <row r="7667" customFormat="1" ht="13" x14ac:dyDescent="0.15"/>
    <row r="7668" customFormat="1" ht="13" x14ac:dyDescent="0.15"/>
    <row r="7669" customFormat="1" ht="13" x14ac:dyDescent="0.15"/>
    <row r="7670" customFormat="1" ht="13" x14ac:dyDescent="0.15"/>
    <row r="7671" customFormat="1" ht="13" x14ac:dyDescent="0.15"/>
    <row r="7672" customFormat="1" ht="13" x14ac:dyDescent="0.15"/>
    <row r="7673" customFormat="1" ht="13" x14ac:dyDescent="0.15"/>
    <row r="7674" customFormat="1" ht="13" x14ac:dyDescent="0.15"/>
    <row r="7675" customFormat="1" ht="13" x14ac:dyDescent="0.15"/>
    <row r="7676" customFormat="1" ht="13" x14ac:dyDescent="0.15"/>
    <row r="7677" customFormat="1" ht="13" x14ac:dyDescent="0.15"/>
    <row r="7678" customFormat="1" ht="13" x14ac:dyDescent="0.15"/>
    <row r="7679" customFormat="1" ht="13" x14ac:dyDescent="0.15"/>
    <row r="7680" customFormat="1" ht="13" x14ac:dyDescent="0.15"/>
    <row r="7681" customFormat="1" ht="13" x14ac:dyDescent="0.15"/>
    <row r="7682" customFormat="1" ht="13" x14ac:dyDescent="0.15"/>
    <row r="7683" customFormat="1" ht="13" x14ac:dyDescent="0.15"/>
    <row r="7684" customFormat="1" ht="13" x14ac:dyDescent="0.15"/>
    <row r="7685" customFormat="1" ht="13" x14ac:dyDescent="0.15"/>
    <row r="7686" customFormat="1" ht="13" x14ac:dyDescent="0.15"/>
    <row r="7687" customFormat="1" ht="13" x14ac:dyDescent="0.15"/>
    <row r="7688" customFormat="1" ht="13" x14ac:dyDescent="0.15"/>
    <row r="7689" customFormat="1" ht="13" x14ac:dyDescent="0.15"/>
    <row r="7690" customFormat="1" ht="13" x14ac:dyDescent="0.15"/>
    <row r="7691" customFormat="1" ht="13" x14ac:dyDescent="0.15"/>
    <row r="7692" customFormat="1" ht="13" x14ac:dyDescent="0.15"/>
    <row r="7693" customFormat="1" ht="13" x14ac:dyDescent="0.15"/>
    <row r="7694" customFormat="1" ht="13" x14ac:dyDescent="0.15"/>
    <row r="7695" customFormat="1" ht="13" x14ac:dyDescent="0.15"/>
    <row r="7696" customFormat="1" ht="13" x14ac:dyDescent="0.15"/>
    <row r="7697" customFormat="1" ht="13" x14ac:dyDescent="0.15"/>
    <row r="7698" customFormat="1" ht="13" x14ac:dyDescent="0.15"/>
    <row r="7699" customFormat="1" ht="13" x14ac:dyDescent="0.15"/>
    <row r="7700" customFormat="1" ht="13" x14ac:dyDescent="0.15"/>
    <row r="7701" customFormat="1" ht="13" x14ac:dyDescent="0.15"/>
    <row r="7702" customFormat="1" ht="13" x14ac:dyDescent="0.15"/>
    <row r="7703" customFormat="1" ht="13" x14ac:dyDescent="0.15"/>
    <row r="7704" customFormat="1" ht="13" x14ac:dyDescent="0.15"/>
    <row r="7705" customFormat="1" ht="13" x14ac:dyDescent="0.15"/>
    <row r="7706" customFormat="1" ht="13" x14ac:dyDescent="0.15"/>
    <row r="7707" customFormat="1" ht="13" x14ac:dyDescent="0.15"/>
    <row r="7708" customFormat="1" ht="13" x14ac:dyDescent="0.15"/>
    <row r="7709" customFormat="1" ht="13" x14ac:dyDescent="0.15"/>
    <row r="7710" customFormat="1" ht="13" x14ac:dyDescent="0.15"/>
    <row r="7711" customFormat="1" ht="13" x14ac:dyDescent="0.15"/>
    <row r="7712" customFormat="1" ht="13" x14ac:dyDescent="0.15"/>
    <row r="7713" customFormat="1" ht="13" x14ac:dyDescent="0.15"/>
    <row r="7714" customFormat="1" ht="13" x14ac:dyDescent="0.15"/>
    <row r="7715" customFormat="1" ht="13" x14ac:dyDescent="0.15"/>
    <row r="7716" customFormat="1" ht="13" x14ac:dyDescent="0.15"/>
    <row r="7717" customFormat="1" ht="13" x14ac:dyDescent="0.15"/>
    <row r="7718" customFormat="1" ht="13" x14ac:dyDescent="0.15"/>
    <row r="7719" customFormat="1" ht="13" x14ac:dyDescent="0.15"/>
    <row r="7720" customFormat="1" ht="13" x14ac:dyDescent="0.15"/>
    <row r="7721" customFormat="1" ht="13" x14ac:dyDescent="0.15"/>
    <row r="7722" customFormat="1" ht="13" x14ac:dyDescent="0.15"/>
    <row r="7723" customFormat="1" ht="13" x14ac:dyDescent="0.15"/>
    <row r="7724" customFormat="1" ht="13" x14ac:dyDescent="0.15"/>
    <row r="7725" customFormat="1" ht="13" x14ac:dyDescent="0.15"/>
    <row r="7726" customFormat="1" ht="13" x14ac:dyDescent="0.15"/>
    <row r="7727" customFormat="1" ht="13" x14ac:dyDescent="0.15"/>
    <row r="7728" customFormat="1" ht="13" x14ac:dyDescent="0.15"/>
    <row r="7729" customFormat="1" ht="13" x14ac:dyDescent="0.15"/>
    <row r="7730" customFormat="1" ht="13" x14ac:dyDescent="0.15"/>
    <row r="7731" customFormat="1" ht="13" x14ac:dyDescent="0.15"/>
    <row r="7732" customFormat="1" ht="13" x14ac:dyDescent="0.15"/>
    <row r="7733" customFormat="1" ht="13" x14ac:dyDescent="0.15"/>
    <row r="7734" customFormat="1" ht="13" x14ac:dyDescent="0.15"/>
    <row r="7735" customFormat="1" ht="13" x14ac:dyDescent="0.15"/>
    <row r="7736" customFormat="1" ht="13" x14ac:dyDescent="0.15"/>
    <row r="7737" customFormat="1" ht="13" x14ac:dyDescent="0.15"/>
    <row r="7738" customFormat="1" ht="13" x14ac:dyDescent="0.15"/>
    <row r="7739" customFormat="1" ht="13" x14ac:dyDescent="0.15"/>
    <row r="7740" customFormat="1" ht="13" x14ac:dyDescent="0.15"/>
    <row r="7741" customFormat="1" ht="13" x14ac:dyDescent="0.15"/>
    <row r="7742" customFormat="1" ht="13" x14ac:dyDescent="0.15"/>
    <row r="7743" customFormat="1" ht="13" x14ac:dyDescent="0.15"/>
    <row r="7744" customFormat="1" ht="13" x14ac:dyDescent="0.15"/>
    <row r="7745" customFormat="1" ht="13" x14ac:dyDescent="0.15"/>
    <row r="7746" customFormat="1" ht="13" x14ac:dyDescent="0.15"/>
    <row r="7747" customFormat="1" ht="13" x14ac:dyDescent="0.15"/>
    <row r="7748" customFormat="1" ht="13" x14ac:dyDescent="0.15"/>
    <row r="7749" customFormat="1" ht="13" x14ac:dyDescent="0.15"/>
    <row r="7750" customFormat="1" ht="13" x14ac:dyDescent="0.15"/>
    <row r="7751" customFormat="1" ht="13" x14ac:dyDescent="0.15"/>
    <row r="7752" customFormat="1" ht="13" x14ac:dyDescent="0.15"/>
    <row r="7753" customFormat="1" ht="13" x14ac:dyDescent="0.15"/>
    <row r="7754" customFormat="1" ht="13" x14ac:dyDescent="0.15"/>
    <row r="7755" customFormat="1" ht="13" x14ac:dyDescent="0.15"/>
    <row r="7756" customFormat="1" ht="13" x14ac:dyDescent="0.15"/>
    <row r="7757" customFormat="1" ht="13" x14ac:dyDescent="0.15"/>
    <row r="7758" customFormat="1" ht="13" x14ac:dyDescent="0.15"/>
    <row r="7759" customFormat="1" ht="13" x14ac:dyDescent="0.15"/>
    <row r="7760" customFormat="1" ht="13" x14ac:dyDescent="0.15"/>
    <row r="7761" customFormat="1" ht="13" x14ac:dyDescent="0.15"/>
    <row r="7762" customFormat="1" ht="13" x14ac:dyDescent="0.15"/>
    <row r="7763" customFormat="1" ht="13" x14ac:dyDescent="0.15"/>
    <row r="7764" customFormat="1" ht="13" x14ac:dyDescent="0.15"/>
    <row r="7765" customFormat="1" ht="13" x14ac:dyDescent="0.15"/>
    <row r="7766" customFormat="1" ht="13" x14ac:dyDescent="0.15"/>
    <row r="7767" customFormat="1" ht="13" x14ac:dyDescent="0.15"/>
    <row r="7768" customFormat="1" ht="13" x14ac:dyDescent="0.15"/>
    <row r="7769" customFormat="1" ht="13" x14ac:dyDescent="0.15"/>
    <row r="7770" customFormat="1" ht="13" x14ac:dyDescent="0.15"/>
    <row r="7771" customFormat="1" ht="13" x14ac:dyDescent="0.15"/>
    <row r="7772" customFormat="1" ht="13" x14ac:dyDescent="0.15"/>
    <row r="7773" customFormat="1" ht="13" x14ac:dyDescent="0.15"/>
    <row r="7774" customFormat="1" ht="13" x14ac:dyDescent="0.15"/>
    <row r="7775" customFormat="1" ht="13" x14ac:dyDescent="0.15"/>
    <row r="7776" customFormat="1" ht="13" x14ac:dyDescent="0.15"/>
    <row r="7777" customFormat="1" ht="13" x14ac:dyDescent="0.15"/>
    <row r="7778" customFormat="1" ht="13" x14ac:dyDescent="0.15"/>
    <row r="7779" customFormat="1" ht="13" x14ac:dyDescent="0.15"/>
    <row r="7780" customFormat="1" ht="13" x14ac:dyDescent="0.15"/>
    <row r="7781" customFormat="1" ht="13" x14ac:dyDescent="0.15"/>
    <row r="7782" customFormat="1" ht="13" x14ac:dyDescent="0.15"/>
    <row r="7783" customFormat="1" ht="13" x14ac:dyDescent="0.15"/>
    <row r="7784" customFormat="1" ht="13" x14ac:dyDescent="0.15"/>
    <row r="7785" customFormat="1" ht="13" x14ac:dyDescent="0.15"/>
    <row r="7786" customFormat="1" ht="13" x14ac:dyDescent="0.15"/>
    <row r="7787" customFormat="1" ht="13" x14ac:dyDescent="0.15"/>
    <row r="7788" customFormat="1" ht="13" x14ac:dyDescent="0.15"/>
    <row r="7789" customFormat="1" ht="13" x14ac:dyDescent="0.15"/>
    <row r="7790" customFormat="1" ht="13" x14ac:dyDescent="0.15"/>
    <row r="7791" customFormat="1" ht="13" x14ac:dyDescent="0.15"/>
    <row r="7792" customFormat="1" ht="13" x14ac:dyDescent="0.15"/>
    <row r="7793" customFormat="1" ht="13" x14ac:dyDescent="0.15"/>
    <row r="7794" customFormat="1" ht="13" x14ac:dyDescent="0.15"/>
    <row r="7795" customFormat="1" ht="13" x14ac:dyDescent="0.15"/>
    <row r="7796" customFormat="1" ht="13" x14ac:dyDescent="0.15"/>
    <row r="7797" customFormat="1" ht="13" x14ac:dyDescent="0.15"/>
    <row r="7798" customFormat="1" ht="13" x14ac:dyDescent="0.15"/>
    <row r="7799" customFormat="1" ht="13" x14ac:dyDescent="0.15"/>
    <row r="7800" customFormat="1" ht="13" x14ac:dyDescent="0.15"/>
    <row r="7801" customFormat="1" ht="13" x14ac:dyDescent="0.15"/>
    <row r="7802" customFormat="1" ht="13" x14ac:dyDescent="0.15"/>
    <row r="7803" customFormat="1" ht="13" x14ac:dyDescent="0.15"/>
    <row r="7804" customFormat="1" ht="13" x14ac:dyDescent="0.15"/>
    <row r="7805" customFormat="1" ht="13" x14ac:dyDescent="0.15"/>
    <row r="7806" customFormat="1" ht="13" x14ac:dyDescent="0.15"/>
    <row r="7807" customFormat="1" ht="13" x14ac:dyDescent="0.15"/>
    <row r="7808" customFormat="1" ht="13" x14ac:dyDescent="0.15"/>
    <row r="7809" customFormat="1" ht="13" x14ac:dyDescent="0.15"/>
    <row r="7810" customFormat="1" ht="13" x14ac:dyDescent="0.15"/>
    <row r="7811" customFormat="1" ht="13" x14ac:dyDescent="0.15"/>
    <row r="7812" customFormat="1" ht="13" x14ac:dyDescent="0.15"/>
    <row r="7813" customFormat="1" ht="13" x14ac:dyDescent="0.15"/>
    <row r="7814" customFormat="1" ht="13" x14ac:dyDescent="0.15"/>
    <row r="7815" customFormat="1" ht="13" x14ac:dyDescent="0.15"/>
    <row r="7816" customFormat="1" ht="13" x14ac:dyDescent="0.15"/>
    <row r="7817" customFormat="1" ht="13" x14ac:dyDescent="0.15"/>
    <row r="7818" customFormat="1" ht="13" x14ac:dyDescent="0.15"/>
    <row r="7819" customFormat="1" ht="13" x14ac:dyDescent="0.15"/>
    <row r="7820" customFormat="1" ht="13" x14ac:dyDescent="0.15"/>
    <row r="7821" customFormat="1" ht="13" x14ac:dyDescent="0.15"/>
    <row r="7822" customFormat="1" ht="13" x14ac:dyDescent="0.15"/>
    <row r="7823" customFormat="1" ht="13" x14ac:dyDescent="0.15"/>
    <row r="7824" customFormat="1" ht="13" x14ac:dyDescent="0.15"/>
    <row r="7825" customFormat="1" ht="13" x14ac:dyDescent="0.15"/>
    <row r="7826" customFormat="1" ht="13" x14ac:dyDescent="0.15"/>
    <row r="7827" customFormat="1" ht="13" x14ac:dyDescent="0.15"/>
    <row r="7828" customFormat="1" ht="13" x14ac:dyDescent="0.15"/>
    <row r="7829" customFormat="1" ht="13" x14ac:dyDescent="0.15"/>
    <row r="7830" customFormat="1" ht="13" x14ac:dyDescent="0.15"/>
    <row r="7831" customFormat="1" ht="13" x14ac:dyDescent="0.15"/>
    <row r="7832" customFormat="1" ht="13" x14ac:dyDescent="0.15"/>
    <row r="7833" customFormat="1" ht="13" x14ac:dyDescent="0.15"/>
    <row r="7834" customFormat="1" ht="13" x14ac:dyDescent="0.15"/>
    <row r="7835" customFormat="1" ht="13" x14ac:dyDescent="0.15"/>
    <row r="7836" customFormat="1" ht="13" x14ac:dyDescent="0.15"/>
    <row r="7837" customFormat="1" ht="13" x14ac:dyDescent="0.15"/>
    <row r="7838" customFormat="1" ht="13" x14ac:dyDescent="0.15"/>
    <row r="7839" customFormat="1" ht="13" x14ac:dyDescent="0.15"/>
    <row r="7840" customFormat="1" ht="13" x14ac:dyDescent="0.15"/>
    <row r="7841" customFormat="1" ht="13" x14ac:dyDescent="0.15"/>
    <row r="7842" customFormat="1" ht="13" x14ac:dyDescent="0.15"/>
    <row r="7843" customFormat="1" ht="13" x14ac:dyDescent="0.15"/>
    <row r="7844" customFormat="1" ht="13" x14ac:dyDescent="0.15"/>
    <row r="7845" customFormat="1" ht="13" x14ac:dyDescent="0.15"/>
    <row r="7846" customFormat="1" ht="13" x14ac:dyDescent="0.15"/>
    <row r="7847" customFormat="1" ht="13" x14ac:dyDescent="0.15"/>
    <row r="7848" customFormat="1" ht="13" x14ac:dyDescent="0.15"/>
    <row r="7849" customFormat="1" ht="13" x14ac:dyDescent="0.15"/>
    <row r="7850" customFormat="1" ht="13" x14ac:dyDescent="0.15"/>
    <row r="7851" customFormat="1" ht="13" x14ac:dyDescent="0.15"/>
    <row r="7852" customFormat="1" ht="13" x14ac:dyDescent="0.15"/>
    <row r="7853" customFormat="1" ht="13" x14ac:dyDescent="0.15"/>
    <row r="7854" customFormat="1" ht="13" x14ac:dyDescent="0.15"/>
    <row r="7855" customFormat="1" ht="13" x14ac:dyDescent="0.15"/>
    <row r="7856" customFormat="1" ht="13" x14ac:dyDescent="0.15"/>
    <row r="7857" customFormat="1" ht="13" x14ac:dyDescent="0.15"/>
    <row r="7858" customFormat="1" ht="13" x14ac:dyDescent="0.15"/>
    <row r="7859" customFormat="1" ht="13" x14ac:dyDescent="0.15"/>
    <row r="7860" customFormat="1" ht="13" x14ac:dyDescent="0.15"/>
    <row r="7861" customFormat="1" ht="13" x14ac:dyDescent="0.15"/>
    <row r="7862" customFormat="1" ht="13" x14ac:dyDescent="0.15"/>
    <row r="7863" customFormat="1" ht="13" x14ac:dyDescent="0.15"/>
    <row r="7864" customFormat="1" ht="13" x14ac:dyDescent="0.15"/>
    <row r="7865" customFormat="1" ht="13" x14ac:dyDescent="0.15"/>
    <row r="7866" customFormat="1" ht="13" x14ac:dyDescent="0.15"/>
    <row r="7867" customFormat="1" ht="13" x14ac:dyDescent="0.15"/>
    <row r="7868" customFormat="1" ht="13" x14ac:dyDescent="0.15"/>
    <row r="7869" customFormat="1" ht="13" x14ac:dyDescent="0.15"/>
    <row r="7870" customFormat="1" ht="13" x14ac:dyDescent="0.15"/>
    <row r="7871" customFormat="1" ht="13" x14ac:dyDescent="0.15"/>
    <row r="7872" customFormat="1" ht="13" x14ac:dyDescent="0.15"/>
    <row r="7873" customFormat="1" ht="13" x14ac:dyDescent="0.15"/>
    <row r="7874" customFormat="1" ht="13" x14ac:dyDescent="0.15"/>
    <row r="7875" customFormat="1" ht="13" x14ac:dyDescent="0.15"/>
    <row r="7876" customFormat="1" ht="13" x14ac:dyDescent="0.15"/>
    <row r="7877" customFormat="1" ht="13" x14ac:dyDescent="0.15"/>
    <row r="7878" customFormat="1" ht="13" x14ac:dyDescent="0.15"/>
    <row r="7879" customFormat="1" ht="13" x14ac:dyDescent="0.15"/>
    <row r="7880" customFormat="1" ht="13" x14ac:dyDescent="0.15"/>
    <row r="7881" customFormat="1" ht="13" x14ac:dyDescent="0.15"/>
    <row r="7882" customFormat="1" ht="13" x14ac:dyDescent="0.15"/>
    <row r="7883" customFormat="1" ht="13" x14ac:dyDescent="0.15"/>
    <row r="7884" customFormat="1" ht="13" x14ac:dyDescent="0.15"/>
    <row r="7885" customFormat="1" ht="13" x14ac:dyDescent="0.15"/>
    <row r="7886" customFormat="1" ht="13" x14ac:dyDescent="0.15"/>
    <row r="7887" customFormat="1" ht="13" x14ac:dyDescent="0.15"/>
    <row r="7888" customFormat="1" ht="13" x14ac:dyDescent="0.15"/>
    <row r="7889" customFormat="1" ht="13" x14ac:dyDescent="0.15"/>
    <row r="7890" customFormat="1" ht="13" x14ac:dyDescent="0.15"/>
    <row r="7891" customFormat="1" ht="13" x14ac:dyDescent="0.15"/>
    <row r="7892" customFormat="1" ht="13" x14ac:dyDescent="0.15"/>
    <row r="7893" customFormat="1" ht="13" x14ac:dyDescent="0.15"/>
    <row r="7894" customFormat="1" ht="13" x14ac:dyDescent="0.15"/>
    <row r="7895" customFormat="1" ht="13" x14ac:dyDescent="0.15"/>
    <row r="7896" customFormat="1" ht="13" x14ac:dyDescent="0.15"/>
    <row r="7897" customFormat="1" ht="13" x14ac:dyDescent="0.15"/>
    <row r="7898" customFormat="1" ht="13" x14ac:dyDescent="0.15"/>
    <row r="7899" customFormat="1" ht="13" x14ac:dyDescent="0.15"/>
    <row r="7900" customFormat="1" ht="13" x14ac:dyDescent="0.15"/>
    <row r="7901" customFormat="1" ht="13" x14ac:dyDescent="0.15"/>
    <row r="7902" customFormat="1" ht="13" x14ac:dyDescent="0.15"/>
    <row r="7903" customFormat="1" ht="13" x14ac:dyDescent="0.15"/>
    <row r="7904" customFormat="1" ht="13" x14ac:dyDescent="0.15"/>
    <row r="7905" customFormat="1" ht="13" x14ac:dyDescent="0.15"/>
    <row r="7906" customFormat="1" ht="13" x14ac:dyDescent="0.15"/>
    <row r="7907" customFormat="1" ht="13" x14ac:dyDescent="0.15"/>
    <row r="7908" customFormat="1" ht="13" x14ac:dyDescent="0.15"/>
    <row r="7909" customFormat="1" ht="13" x14ac:dyDescent="0.15"/>
    <row r="7910" customFormat="1" ht="13" x14ac:dyDescent="0.15"/>
    <row r="7911" customFormat="1" ht="13" x14ac:dyDescent="0.15"/>
    <row r="7912" customFormat="1" ht="13" x14ac:dyDescent="0.15"/>
    <row r="7913" customFormat="1" ht="13" x14ac:dyDescent="0.15"/>
    <row r="7914" customFormat="1" ht="13" x14ac:dyDescent="0.15"/>
    <row r="7915" customFormat="1" ht="13" x14ac:dyDescent="0.15"/>
    <row r="7916" customFormat="1" ht="13" x14ac:dyDescent="0.15"/>
    <row r="7917" customFormat="1" ht="13" x14ac:dyDescent="0.15"/>
    <row r="7918" customFormat="1" ht="13" x14ac:dyDescent="0.15"/>
    <row r="7919" customFormat="1" ht="13" x14ac:dyDescent="0.15"/>
    <row r="7920" customFormat="1" ht="13" x14ac:dyDescent="0.15"/>
    <row r="7921" customFormat="1" ht="13" x14ac:dyDescent="0.15"/>
    <row r="7922" customFormat="1" ht="13" x14ac:dyDescent="0.15"/>
    <row r="7923" customFormat="1" ht="13" x14ac:dyDescent="0.15"/>
    <row r="7924" customFormat="1" ht="13" x14ac:dyDescent="0.15"/>
    <row r="7925" customFormat="1" ht="13" x14ac:dyDescent="0.15"/>
    <row r="7926" customFormat="1" ht="13" x14ac:dyDescent="0.15"/>
    <row r="7927" customFormat="1" ht="13" x14ac:dyDescent="0.15"/>
    <row r="7928" customFormat="1" ht="13" x14ac:dyDescent="0.15"/>
    <row r="7929" customFormat="1" ht="13" x14ac:dyDescent="0.15"/>
    <row r="7930" customFormat="1" ht="13" x14ac:dyDescent="0.15"/>
    <row r="7931" customFormat="1" ht="13" x14ac:dyDescent="0.15"/>
    <row r="7932" customFormat="1" ht="13" x14ac:dyDescent="0.15"/>
    <row r="7933" customFormat="1" ht="13" x14ac:dyDescent="0.15"/>
    <row r="7934" customFormat="1" ht="13" x14ac:dyDescent="0.15"/>
    <row r="7935" customFormat="1" ht="13" x14ac:dyDescent="0.15"/>
    <row r="7936" customFormat="1" ht="13" x14ac:dyDescent="0.15"/>
    <row r="7937" customFormat="1" ht="13" x14ac:dyDescent="0.15"/>
    <row r="7938" customFormat="1" ht="13" x14ac:dyDescent="0.15"/>
    <row r="7939" customFormat="1" ht="13" x14ac:dyDescent="0.15"/>
    <row r="7940" customFormat="1" ht="13" x14ac:dyDescent="0.15"/>
    <row r="7941" customFormat="1" ht="13" x14ac:dyDescent="0.15"/>
    <row r="7942" customFormat="1" ht="13" x14ac:dyDescent="0.15"/>
    <row r="7943" customFormat="1" ht="13" x14ac:dyDescent="0.15"/>
    <row r="7944" customFormat="1" ht="13" x14ac:dyDescent="0.15"/>
    <row r="7945" customFormat="1" ht="13" x14ac:dyDescent="0.15"/>
    <row r="7946" customFormat="1" ht="13" x14ac:dyDescent="0.15"/>
    <row r="7947" customFormat="1" ht="13" x14ac:dyDescent="0.15"/>
    <row r="7948" customFormat="1" ht="13" x14ac:dyDescent="0.15"/>
    <row r="7949" customFormat="1" ht="13" x14ac:dyDescent="0.15"/>
    <row r="7950" customFormat="1" ht="13" x14ac:dyDescent="0.15"/>
    <row r="7951" customFormat="1" ht="13" x14ac:dyDescent="0.15"/>
    <row r="7952" customFormat="1" ht="13" x14ac:dyDescent="0.15"/>
    <row r="7953" customFormat="1" ht="13" x14ac:dyDescent="0.15"/>
    <row r="7954" customFormat="1" ht="13" x14ac:dyDescent="0.15"/>
    <row r="7955" customFormat="1" ht="13" x14ac:dyDescent="0.15"/>
    <row r="7956" customFormat="1" ht="13" x14ac:dyDescent="0.15"/>
    <row r="7957" customFormat="1" ht="13" x14ac:dyDescent="0.15"/>
    <row r="7958" customFormat="1" ht="13" x14ac:dyDescent="0.15"/>
    <row r="7959" customFormat="1" ht="13" x14ac:dyDescent="0.15"/>
    <row r="7960" customFormat="1" ht="13" x14ac:dyDescent="0.15"/>
    <row r="7961" customFormat="1" ht="13" x14ac:dyDescent="0.15"/>
    <row r="7962" customFormat="1" ht="13" x14ac:dyDescent="0.15"/>
    <row r="7963" customFormat="1" ht="13" x14ac:dyDescent="0.15"/>
    <row r="7964" customFormat="1" ht="13" x14ac:dyDescent="0.15"/>
    <row r="7965" customFormat="1" ht="13" x14ac:dyDescent="0.15"/>
    <row r="7966" customFormat="1" ht="13" x14ac:dyDescent="0.15"/>
    <row r="7967" customFormat="1" ht="13" x14ac:dyDescent="0.15"/>
    <row r="7968" customFormat="1" ht="13" x14ac:dyDescent="0.15"/>
    <row r="7969" customFormat="1" ht="13" x14ac:dyDescent="0.15"/>
    <row r="7970" customFormat="1" ht="13" x14ac:dyDescent="0.15"/>
    <row r="7971" customFormat="1" ht="13" x14ac:dyDescent="0.15"/>
    <row r="7972" customFormat="1" ht="13" x14ac:dyDescent="0.15"/>
    <row r="7973" customFormat="1" ht="13" x14ac:dyDescent="0.15"/>
    <row r="7974" customFormat="1" ht="13" x14ac:dyDescent="0.15"/>
    <row r="7975" customFormat="1" ht="13" x14ac:dyDescent="0.15"/>
    <row r="7976" customFormat="1" ht="13" x14ac:dyDescent="0.15"/>
    <row r="7977" customFormat="1" ht="13" x14ac:dyDescent="0.15"/>
    <row r="7978" customFormat="1" ht="13" x14ac:dyDescent="0.15"/>
    <row r="7979" customFormat="1" ht="13" x14ac:dyDescent="0.15"/>
    <row r="7980" customFormat="1" ht="13" x14ac:dyDescent="0.15"/>
    <row r="7981" customFormat="1" ht="13" x14ac:dyDescent="0.15"/>
    <row r="7982" customFormat="1" ht="13" x14ac:dyDescent="0.15"/>
    <row r="7983" customFormat="1" ht="13" x14ac:dyDescent="0.15"/>
    <row r="7984" customFormat="1" ht="13" x14ac:dyDescent="0.15"/>
    <row r="7985" customFormat="1" ht="13" x14ac:dyDescent="0.15"/>
    <row r="7986" customFormat="1" ht="13" x14ac:dyDescent="0.15"/>
    <row r="7987" customFormat="1" ht="13" x14ac:dyDescent="0.15"/>
    <row r="7988" customFormat="1" ht="13" x14ac:dyDescent="0.15"/>
    <row r="7989" customFormat="1" ht="13" x14ac:dyDescent="0.15"/>
    <row r="7990" customFormat="1" ht="13" x14ac:dyDescent="0.15"/>
    <row r="7991" customFormat="1" ht="13" x14ac:dyDescent="0.15"/>
    <row r="7992" customFormat="1" ht="13" x14ac:dyDescent="0.15"/>
    <row r="7993" customFormat="1" ht="13" x14ac:dyDescent="0.15"/>
    <row r="7994" customFormat="1" ht="13" x14ac:dyDescent="0.15"/>
    <row r="7995" customFormat="1" ht="13" x14ac:dyDescent="0.15"/>
    <row r="7996" customFormat="1" ht="13" x14ac:dyDescent="0.15"/>
    <row r="7997" customFormat="1" ht="13" x14ac:dyDescent="0.15"/>
    <row r="7998" customFormat="1" ht="13" x14ac:dyDescent="0.15"/>
    <row r="7999" customFormat="1" ht="13" x14ac:dyDescent="0.15"/>
    <row r="8000" customFormat="1" ht="13" x14ac:dyDescent="0.15"/>
    <row r="8001" customFormat="1" ht="13" x14ac:dyDescent="0.15"/>
    <row r="8002" customFormat="1" ht="13" x14ac:dyDescent="0.15"/>
    <row r="8003" customFormat="1" ht="13" x14ac:dyDescent="0.15"/>
    <row r="8004" customFormat="1" ht="13" x14ac:dyDescent="0.15"/>
    <row r="8005" customFormat="1" ht="13" x14ac:dyDescent="0.15"/>
    <row r="8006" customFormat="1" ht="13" x14ac:dyDescent="0.15"/>
    <row r="8007" customFormat="1" ht="13" x14ac:dyDescent="0.15"/>
    <row r="8008" customFormat="1" ht="13" x14ac:dyDescent="0.15"/>
    <row r="8009" customFormat="1" ht="13" x14ac:dyDescent="0.15"/>
    <row r="8010" customFormat="1" ht="13" x14ac:dyDescent="0.15"/>
    <row r="8011" customFormat="1" ht="13" x14ac:dyDescent="0.15"/>
    <row r="8012" customFormat="1" ht="13" x14ac:dyDescent="0.15"/>
    <row r="8013" customFormat="1" ht="13" x14ac:dyDescent="0.15"/>
    <row r="8014" customFormat="1" ht="13" x14ac:dyDescent="0.15"/>
    <row r="8015" customFormat="1" ht="13" x14ac:dyDescent="0.15"/>
    <row r="8016" customFormat="1" ht="13" x14ac:dyDescent="0.15"/>
    <row r="8017" customFormat="1" ht="13" x14ac:dyDescent="0.15"/>
    <row r="8018" customFormat="1" ht="13" x14ac:dyDescent="0.15"/>
    <row r="8019" customFormat="1" ht="13" x14ac:dyDescent="0.15"/>
    <row r="8020" customFormat="1" ht="13" x14ac:dyDescent="0.15"/>
    <row r="8021" customFormat="1" ht="13" x14ac:dyDescent="0.15"/>
    <row r="8022" customFormat="1" ht="13" x14ac:dyDescent="0.15"/>
    <row r="8023" customFormat="1" ht="13" x14ac:dyDescent="0.15"/>
    <row r="8024" customFormat="1" ht="13" x14ac:dyDescent="0.15"/>
    <row r="8025" customFormat="1" ht="13" x14ac:dyDescent="0.15"/>
    <row r="8026" customFormat="1" ht="13" x14ac:dyDescent="0.15"/>
    <row r="8027" customFormat="1" ht="13" x14ac:dyDescent="0.15"/>
    <row r="8028" customFormat="1" ht="13" x14ac:dyDescent="0.15"/>
    <row r="8029" customFormat="1" ht="13" x14ac:dyDescent="0.15"/>
    <row r="8030" customFormat="1" ht="13" x14ac:dyDescent="0.15"/>
    <row r="8031" customFormat="1" ht="13" x14ac:dyDescent="0.15"/>
    <row r="8032" customFormat="1" ht="13" x14ac:dyDescent="0.15"/>
    <row r="8033" customFormat="1" ht="13" x14ac:dyDescent="0.15"/>
    <row r="8034" customFormat="1" ht="13" x14ac:dyDescent="0.15"/>
    <row r="8035" customFormat="1" ht="13" x14ac:dyDescent="0.15"/>
    <row r="8036" customFormat="1" ht="13" x14ac:dyDescent="0.15"/>
    <row r="8037" customFormat="1" ht="13" x14ac:dyDescent="0.15"/>
    <row r="8038" customFormat="1" ht="13" x14ac:dyDescent="0.15"/>
    <row r="8039" customFormat="1" ht="13" x14ac:dyDescent="0.15"/>
    <row r="8040" customFormat="1" ht="13" x14ac:dyDescent="0.15"/>
    <row r="8041" customFormat="1" ht="13" x14ac:dyDescent="0.15"/>
    <row r="8042" customFormat="1" ht="13" x14ac:dyDescent="0.15"/>
    <row r="8043" customFormat="1" ht="13" x14ac:dyDescent="0.15"/>
    <row r="8044" customFormat="1" ht="13" x14ac:dyDescent="0.15"/>
    <row r="8045" customFormat="1" ht="13" x14ac:dyDescent="0.15"/>
    <row r="8046" customFormat="1" ht="13" x14ac:dyDescent="0.15"/>
    <row r="8047" customFormat="1" ht="13" x14ac:dyDescent="0.15"/>
    <row r="8048" customFormat="1" ht="13" x14ac:dyDescent="0.15"/>
    <row r="8049" customFormat="1" ht="13" x14ac:dyDescent="0.15"/>
    <row r="8050" customFormat="1" ht="13" x14ac:dyDescent="0.15"/>
    <row r="8051" customFormat="1" ht="13" x14ac:dyDescent="0.15"/>
    <row r="8052" customFormat="1" ht="13" x14ac:dyDescent="0.15"/>
    <row r="8053" customFormat="1" ht="13" x14ac:dyDescent="0.15"/>
    <row r="8054" customFormat="1" ht="13" x14ac:dyDescent="0.15"/>
    <row r="8055" customFormat="1" ht="13" x14ac:dyDescent="0.15"/>
    <row r="8056" customFormat="1" ht="13" x14ac:dyDescent="0.15"/>
    <row r="8057" customFormat="1" ht="13" x14ac:dyDescent="0.15"/>
    <row r="8058" customFormat="1" ht="13" x14ac:dyDescent="0.15"/>
    <row r="8059" customFormat="1" ht="13" x14ac:dyDescent="0.15"/>
    <row r="8060" customFormat="1" ht="13" x14ac:dyDescent="0.15"/>
    <row r="8061" customFormat="1" ht="13" x14ac:dyDescent="0.15"/>
    <row r="8062" customFormat="1" ht="13" x14ac:dyDescent="0.15"/>
    <row r="8063" customFormat="1" ht="13" x14ac:dyDescent="0.15"/>
    <row r="8064" customFormat="1" ht="13" x14ac:dyDescent="0.15"/>
    <row r="8065" customFormat="1" ht="13" x14ac:dyDescent="0.15"/>
    <row r="8066" customFormat="1" ht="13" x14ac:dyDescent="0.15"/>
    <row r="8067" customFormat="1" ht="13" x14ac:dyDescent="0.15"/>
    <row r="8068" customFormat="1" ht="13" x14ac:dyDescent="0.15"/>
    <row r="8069" customFormat="1" ht="13" x14ac:dyDescent="0.15"/>
    <row r="8070" customFormat="1" ht="13" x14ac:dyDescent="0.15"/>
    <row r="8071" customFormat="1" ht="13" x14ac:dyDescent="0.15"/>
    <row r="8072" customFormat="1" ht="13" x14ac:dyDescent="0.15"/>
    <row r="8073" customFormat="1" ht="13" x14ac:dyDescent="0.15"/>
    <row r="8074" customFormat="1" ht="13" x14ac:dyDescent="0.15"/>
    <row r="8075" customFormat="1" ht="13" x14ac:dyDescent="0.15"/>
    <row r="8076" customFormat="1" ht="13" x14ac:dyDescent="0.15"/>
    <row r="8077" customFormat="1" ht="13" x14ac:dyDescent="0.15"/>
    <row r="8078" customFormat="1" ht="13" x14ac:dyDescent="0.15"/>
    <row r="8079" customFormat="1" ht="13" x14ac:dyDescent="0.15"/>
    <row r="8080" customFormat="1" ht="13" x14ac:dyDescent="0.15"/>
    <row r="8081" customFormat="1" ht="13" x14ac:dyDescent="0.15"/>
    <row r="8082" customFormat="1" ht="13" x14ac:dyDescent="0.15"/>
    <row r="8083" customFormat="1" ht="13" x14ac:dyDescent="0.15"/>
    <row r="8084" customFormat="1" ht="13" x14ac:dyDescent="0.15"/>
    <row r="8085" customFormat="1" ht="13" x14ac:dyDescent="0.15"/>
    <row r="8086" customFormat="1" ht="13" x14ac:dyDescent="0.15"/>
    <row r="8087" customFormat="1" ht="13" x14ac:dyDescent="0.15"/>
    <row r="8088" customFormat="1" ht="13" x14ac:dyDescent="0.15"/>
    <row r="8089" customFormat="1" ht="13" x14ac:dyDescent="0.15"/>
    <row r="8090" customFormat="1" ht="13" x14ac:dyDescent="0.15"/>
    <row r="8091" customFormat="1" ht="13" x14ac:dyDescent="0.15"/>
    <row r="8092" customFormat="1" ht="13" x14ac:dyDescent="0.15"/>
    <row r="8093" customFormat="1" ht="13" x14ac:dyDescent="0.15"/>
    <row r="8094" customFormat="1" ht="13" x14ac:dyDescent="0.15"/>
    <row r="8095" customFormat="1" ht="13" x14ac:dyDescent="0.15"/>
    <row r="8096" customFormat="1" ht="13" x14ac:dyDescent="0.15"/>
    <row r="8097" customFormat="1" ht="13" x14ac:dyDescent="0.15"/>
    <row r="8098" customFormat="1" ht="13" x14ac:dyDescent="0.15"/>
    <row r="8099" customFormat="1" ht="13" x14ac:dyDescent="0.15"/>
    <row r="8100" customFormat="1" ht="13" x14ac:dyDescent="0.15"/>
    <row r="8101" customFormat="1" ht="13" x14ac:dyDescent="0.15"/>
    <row r="8102" customFormat="1" ht="13" x14ac:dyDescent="0.15"/>
    <row r="8103" customFormat="1" ht="13" x14ac:dyDescent="0.15"/>
    <row r="8104" customFormat="1" ht="13" x14ac:dyDescent="0.15"/>
    <row r="8105" customFormat="1" ht="13" x14ac:dyDescent="0.15"/>
    <row r="8106" customFormat="1" ht="13" x14ac:dyDescent="0.15"/>
    <row r="8107" customFormat="1" ht="13" x14ac:dyDescent="0.15"/>
    <row r="8108" customFormat="1" ht="13" x14ac:dyDescent="0.15"/>
    <row r="8109" customFormat="1" ht="13" x14ac:dyDescent="0.15"/>
    <row r="8110" customFormat="1" ht="13" x14ac:dyDescent="0.15"/>
    <row r="8111" customFormat="1" ht="13" x14ac:dyDescent="0.15"/>
    <row r="8112" customFormat="1" ht="13" x14ac:dyDescent="0.15"/>
    <row r="8113" customFormat="1" ht="13" x14ac:dyDescent="0.15"/>
    <row r="8114" customFormat="1" ht="13" x14ac:dyDescent="0.15"/>
    <row r="8115" customFormat="1" ht="13" x14ac:dyDescent="0.15"/>
    <row r="8116" customFormat="1" ht="13" x14ac:dyDescent="0.15"/>
    <row r="8117" customFormat="1" ht="13" x14ac:dyDescent="0.15"/>
    <row r="8118" customFormat="1" ht="13" x14ac:dyDescent="0.15"/>
    <row r="8119" customFormat="1" ht="13" x14ac:dyDescent="0.15"/>
    <row r="8120" customFormat="1" ht="13" x14ac:dyDescent="0.15"/>
    <row r="8121" customFormat="1" ht="13" x14ac:dyDescent="0.15"/>
    <row r="8122" customFormat="1" ht="13" x14ac:dyDescent="0.15"/>
    <row r="8123" customFormat="1" ht="13" x14ac:dyDescent="0.15"/>
    <row r="8124" customFormat="1" ht="13" x14ac:dyDescent="0.15"/>
    <row r="8125" customFormat="1" ht="13" x14ac:dyDescent="0.15"/>
    <row r="8126" customFormat="1" ht="13" x14ac:dyDescent="0.15"/>
    <row r="8127" customFormat="1" ht="13" x14ac:dyDescent="0.15"/>
    <row r="8128" customFormat="1" ht="13" x14ac:dyDescent="0.15"/>
    <row r="8129" customFormat="1" ht="13" x14ac:dyDescent="0.15"/>
    <row r="8130" customFormat="1" ht="13" x14ac:dyDescent="0.15"/>
    <row r="8131" customFormat="1" ht="13" x14ac:dyDescent="0.15"/>
    <row r="8132" customFormat="1" ht="13" x14ac:dyDescent="0.15"/>
    <row r="8133" customFormat="1" ht="13" x14ac:dyDescent="0.15"/>
    <row r="8134" customFormat="1" ht="13" x14ac:dyDescent="0.15"/>
    <row r="8135" customFormat="1" ht="13" x14ac:dyDescent="0.15"/>
    <row r="8136" customFormat="1" ht="13" x14ac:dyDescent="0.15"/>
    <row r="8137" customFormat="1" ht="13" x14ac:dyDescent="0.15"/>
    <row r="8138" customFormat="1" ht="13" x14ac:dyDescent="0.15"/>
    <row r="8139" customFormat="1" ht="13" x14ac:dyDescent="0.15"/>
    <row r="8140" customFormat="1" ht="13" x14ac:dyDescent="0.15"/>
    <row r="8141" customFormat="1" ht="13" x14ac:dyDescent="0.15"/>
    <row r="8142" customFormat="1" ht="13" x14ac:dyDescent="0.15"/>
    <row r="8143" customFormat="1" ht="13" x14ac:dyDescent="0.15"/>
    <row r="8144" customFormat="1" ht="13" x14ac:dyDescent="0.15"/>
    <row r="8145" customFormat="1" ht="13" x14ac:dyDescent="0.15"/>
    <row r="8146" customFormat="1" ht="13" x14ac:dyDescent="0.15"/>
    <row r="8147" customFormat="1" ht="13" x14ac:dyDescent="0.15"/>
    <row r="8148" customFormat="1" ht="13" x14ac:dyDescent="0.15"/>
    <row r="8149" customFormat="1" ht="13" x14ac:dyDescent="0.15"/>
    <row r="8150" customFormat="1" ht="13" x14ac:dyDescent="0.15"/>
    <row r="8151" customFormat="1" ht="13" x14ac:dyDescent="0.15"/>
    <row r="8152" customFormat="1" ht="13" x14ac:dyDescent="0.15"/>
    <row r="8153" customFormat="1" ht="13" x14ac:dyDescent="0.15"/>
    <row r="8154" customFormat="1" ht="13" x14ac:dyDescent="0.15"/>
    <row r="8155" customFormat="1" ht="13" x14ac:dyDescent="0.15"/>
    <row r="8156" customFormat="1" ht="13" x14ac:dyDescent="0.15"/>
    <row r="8157" customFormat="1" ht="13" x14ac:dyDescent="0.15"/>
    <row r="8158" customFormat="1" ht="13" x14ac:dyDescent="0.15"/>
    <row r="8159" customFormat="1" ht="13" x14ac:dyDescent="0.15"/>
    <row r="8160" customFormat="1" ht="13" x14ac:dyDescent="0.15"/>
    <row r="8161" customFormat="1" ht="13" x14ac:dyDescent="0.15"/>
    <row r="8162" customFormat="1" ht="13" x14ac:dyDescent="0.15"/>
    <row r="8163" customFormat="1" ht="13" x14ac:dyDescent="0.15"/>
    <row r="8164" customFormat="1" ht="13" x14ac:dyDescent="0.15"/>
    <row r="8165" customFormat="1" ht="13" x14ac:dyDescent="0.15"/>
    <row r="8166" customFormat="1" ht="13" x14ac:dyDescent="0.15"/>
    <row r="8167" customFormat="1" ht="13" x14ac:dyDescent="0.15"/>
    <row r="8168" customFormat="1" ht="13" x14ac:dyDescent="0.15"/>
    <row r="8169" customFormat="1" ht="13" x14ac:dyDescent="0.15"/>
    <row r="8170" customFormat="1" ht="13" x14ac:dyDescent="0.15"/>
    <row r="8171" customFormat="1" ht="13" x14ac:dyDescent="0.15"/>
    <row r="8172" customFormat="1" ht="13" x14ac:dyDescent="0.15"/>
    <row r="8173" customFormat="1" ht="13" x14ac:dyDescent="0.15"/>
    <row r="8174" customFormat="1" ht="13" x14ac:dyDescent="0.15"/>
    <row r="8175" customFormat="1" ht="13" x14ac:dyDescent="0.15"/>
    <row r="8176" customFormat="1" ht="13" x14ac:dyDescent="0.15"/>
    <row r="8177" customFormat="1" ht="13" x14ac:dyDescent="0.15"/>
    <row r="8178" customFormat="1" ht="13" x14ac:dyDescent="0.15"/>
    <row r="8179" customFormat="1" ht="13" x14ac:dyDescent="0.15"/>
    <row r="8180" customFormat="1" ht="13" x14ac:dyDescent="0.15"/>
    <row r="8181" customFormat="1" ht="13" x14ac:dyDescent="0.15"/>
    <row r="8182" customFormat="1" ht="13" x14ac:dyDescent="0.15"/>
    <row r="8183" customFormat="1" ht="13" x14ac:dyDescent="0.15"/>
    <row r="8184" customFormat="1" ht="13" x14ac:dyDescent="0.15"/>
    <row r="8185" customFormat="1" ht="13" x14ac:dyDescent="0.15"/>
    <row r="8186" customFormat="1" ht="13" x14ac:dyDescent="0.15"/>
    <row r="8187" customFormat="1" ht="13" x14ac:dyDescent="0.15"/>
    <row r="8188" customFormat="1" ht="13" x14ac:dyDescent="0.15"/>
    <row r="8189" customFormat="1" ht="13" x14ac:dyDescent="0.15"/>
    <row r="8190" customFormat="1" ht="13" x14ac:dyDescent="0.15"/>
    <row r="8191" customFormat="1" ht="13" x14ac:dyDescent="0.15"/>
    <row r="8192" customFormat="1" ht="13" x14ac:dyDescent="0.15"/>
    <row r="8193" customFormat="1" ht="13" x14ac:dyDescent="0.15"/>
    <row r="8194" customFormat="1" ht="13" x14ac:dyDescent="0.15"/>
    <row r="8195" customFormat="1" ht="13" x14ac:dyDescent="0.15"/>
    <row r="8196" customFormat="1" ht="13" x14ac:dyDescent="0.15"/>
    <row r="8197" customFormat="1" ht="13" x14ac:dyDescent="0.15"/>
    <row r="8198" customFormat="1" ht="13" x14ac:dyDescent="0.15"/>
    <row r="8199" customFormat="1" ht="13" x14ac:dyDescent="0.15"/>
    <row r="8200" customFormat="1" ht="13" x14ac:dyDescent="0.15"/>
    <row r="8201" customFormat="1" ht="13" x14ac:dyDescent="0.15"/>
    <row r="8202" customFormat="1" ht="13" x14ac:dyDescent="0.15"/>
    <row r="8203" customFormat="1" ht="13" x14ac:dyDescent="0.15"/>
    <row r="8204" customFormat="1" ht="13" x14ac:dyDescent="0.15"/>
    <row r="8205" customFormat="1" ht="13" x14ac:dyDescent="0.15"/>
    <row r="8206" customFormat="1" ht="13" x14ac:dyDescent="0.15"/>
    <row r="8207" customFormat="1" ht="13" x14ac:dyDescent="0.15"/>
    <row r="8208" customFormat="1" ht="13" x14ac:dyDescent="0.15"/>
    <row r="8209" customFormat="1" ht="13" x14ac:dyDescent="0.15"/>
    <row r="8210" customFormat="1" ht="13" x14ac:dyDescent="0.15"/>
    <row r="8211" customFormat="1" ht="13" x14ac:dyDescent="0.15"/>
    <row r="8212" customFormat="1" ht="13" x14ac:dyDescent="0.15"/>
    <row r="8213" customFormat="1" ht="13" x14ac:dyDescent="0.15"/>
    <row r="8214" customFormat="1" ht="13" x14ac:dyDescent="0.15"/>
    <row r="8215" customFormat="1" ht="13" x14ac:dyDescent="0.15"/>
    <row r="8216" customFormat="1" ht="13" x14ac:dyDescent="0.15"/>
    <row r="8217" customFormat="1" ht="13" x14ac:dyDescent="0.15"/>
    <row r="8218" customFormat="1" ht="13" x14ac:dyDescent="0.15"/>
    <row r="8219" customFormat="1" ht="13" x14ac:dyDescent="0.15"/>
    <row r="8220" customFormat="1" ht="13" x14ac:dyDescent="0.15"/>
    <row r="8221" customFormat="1" ht="13" x14ac:dyDescent="0.15"/>
    <row r="8222" customFormat="1" ht="13" x14ac:dyDescent="0.15"/>
    <row r="8223" customFormat="1" ht="13" x14ac:dyDescent="0.15"/>
    <row r="8224" customFormat="1" ht="13" x14ac:dyDescent="0.15"/>
    <row r="8225" customFormat="1" ht="13" x14ac:dyDescent="0.15"/>
    <row r="8226" customFormat="1" ht="13" x14ac:dyDescent="0.15"/>
    <row r="8227" customFormat="1" ht="13" x14ac:dyDescent="0.15"/>
    <row r="8228" customFormat="1" ht="13" x14ac:dyDescent="0.15"/>
    <row r="8229" customFormat="1" ht="13" x14ac:dyDescent="0.15"/>
    <row r="8230" customFormat="1" ht="13" x14ac:dyDescent="0.15"/>
    <row r="8231" customFormat="1" ht="13" x14ac:dyDescent="0.15"/>
    <row r="8232" customFormat="1" ht="13" x14ac:dyDescent="0.15"/>
    <row r="8233" customFormat="1" ht="13" x14ac:dyDescent="0.15"/>
    <row r="8234" customFormat="1" ht="13" x14ac:dyDescent="0.15"/>
    <row r="8235" customFormat="1" ht="13" x14ac:dyDescent="0.15"/>
    <row r="8236" customFormat="1" ht="13" x14ac:dyDescent="0.15"/>
    <row r="8237" customFormat="1" ht="13" x14ac:dyDescent="0.15"/>
    <row r="8238" customFormat="1" ht="13" x14ac:dyDescent="0.15"/>
    <row r="8239" customFormat="1" ht="13" x14ac:dyDescent="0.15"/>
    <row r="8240" customFormat="1" ht="13" x14ac:dyDescent="0.15"/>
    <row r="8241" customFormat="1" ht="13" x14ac:dyDescent="0.15"/>
    <row r="8242" customFormat="1" ht="13" x14ac:dyDescent="0.15"/>
    <row r="8243" customFormat="1" ht="13" x14ac:dyDescent="0.15"/>
    <row r="8244" customFormat="1" ht="13" x14ac:dyDescent="0.15"/>
    <row r="8245" customFormat="1" ht="13" x14ac:dyDescent="0.15"/>
    <row r="8246" customFormat="1" ht="13" x14ac:dyDescent="0.15"/>
    <row r="8247" customFormat="1" ht="13" x14ac:dyDescent="0.15"/>
    <row r="8248" customFormat="1" ht="13" x14ac:dyDescent="0.15"/>
    <row r="8249" customFormat="1" ht="13" x14ac:dyDescent="0.15"/>
    <row r="8250" customFormat="1" ht="13" x14ac:dyDescent="0.15"/>
    <row r="8251" customFormat="1" ht="13" x14ac:dyDescent="0.15"/>
    <row r="8252" customFormat="1" ht="13" x14ac:dyDescent="0.15"/>
    <row r="8253" customFormat="1" ht="13" x14ac:dyDescent="0.15"/>
    <row r="8254" customFormat="1" ht="13" x14ac:dyDescent="0.15"/>
    <row r="8255" customFormat="1" ht="13" x14ac:dyDescent="0.15"/>
    <row r="8256" customFormat="1" ht="13" x14ac:dyDescent="0.15"/>
    <row r="8257" customFormat="1" ht="13" x14ac:dyDescent="0.15"/>
    <row r="8258" customFormat="1" ht="13" x14ac:dyDescent="0.15"/>
    <row r="8259" customFormat="1" ht="13" x14ac:dyDescent="0.15"/>
    <row r="8260" customFormat="1" ht="13" x14ac:dyDescent="0.15"/>
    <row r="8261" customFormat="1" ht="13" x14ac:dyDescent="0.15"/>
    <row r="8262" customFormat="1" ht="13" x14ac:dyDescent="0.15"/>
    <row r="8263" customFormat="1" ht="13" x14ac:dyDescent="0.15"/>
    <row r="8264" customFormat="1" ht="13" x14ac:dyDescent="0.15"/>
    <row r="8265" customFormat="1" ht="13" x14ac:dyDescent="0.15"/>
    <row r="8266" customFormat="1" ht="13" x14ac:dyDescent="0.15"/>
    <row r="8267" customFormat="1" ht="13" x14ac:dyDescent="0.15"/>
    <row r="8268" customFormat="1" ht="13" x14ac:dyDescent="0.15"/>
    <row r="8269" customFormat="1" ht="13" x14ac:dyDescent="0.15"/>
    <row r="8270" customFormat="1" ht="13" x14ac:dyDescent="0.15"/>
    <row r="8271" customFormat="1" ht="13" x14ac:dyDescent="0.15"/>
    <row r="8272" customFormat="1" ht="13" x14ac:dyDescent="0.15"/>
    <row r="8273" customFormat="1" ht="13" x14ac:dyDescent="0.15"/>
    <row r="8274" customFormat="1" ht="13" x14ac:dyDescent="0.15"/>
    <row r="8275" customFormat="1" ht="13" x14ac:dyDescent="0.15"/>
    <row r="8276" customFormat="1" ht="13" x14ac:dyDescent="0.15"/>
    <row r="8277" customFormat="1" ht="13" x14ac:dyDescent="0.15"/>
    <row r="8278" customFormat="1" ht="13" x14ac:dyDescent="0.15"/>
    <row r="8279" customFormat="1" ht="13" x14ac:dyDescent="0.15"/>
    <row r="8280" customFormat="1" ht="13" x14ac:dyDescent="0.15"/>
    <row r="8281" customFormat="1" ht="13" x14ac:dyDescent="0.15"/>
    <row r="8282" customFormat="1" ht="13" x14ac:dyDescent="0.15"/>
    <row r="8283" customFormat="1" ht="13" x14ac:dyDescent="0.15"/>
    <row r="8284" customFormat="1" ht="13" x14ac:dyDescent="0.15"/>
    <row r="8285" customFormat="1" ht="13" x14ac:dyDescent="0.15"/>
    <row r="8286" customFormat="1" ht="13" x14ac:dyDescent="0.15"/>
    <row r="8287" customFormat="1" ht="13" x14ac:dyDescent="0.15"/>
    <row r="8288" customFormat="1" ht="13" x14ac:dyDescent="0.15"/>
    <row r="8289" customFormat="1" ht="13" x14ac:dyDescent="0.15"/>
    <row r="8290" customFormat="1" ht="13" x14ac:dyDescent="0.15"/>
    <row r="8291" customFormat="1" ht="13" x14ac:dyDescent="0.15"/>
    <row r="8292" customFormat="1" ht="13" x14ac:dyDescent="0.15"/>
    <row r="8293" customFormat="1" ht="13" x14ac:dyDescent="0.15"/>
    <row r="8294" customFormat="1" ht="13" x14ac:dyDescent="0.15"/>
    <row r="8295" customFormat="1" ht="13" x14ac:dyDescent="0.15"/>
    <row r="8296" customFormat="1" ht="13" x14ac:dyDescent="0.15"/>
    <row r="8297" customFormat="1" ht="13" x14ac:dyDescent="0.15"/>
    <row r="8298" customFormat="1" ht="13" x14ac:dyDescent="0.15"/>
    <row r="8299" customFormat="1" ht="13" x14ac:dyDescent="0.15"/>
    <row r="8300" customFormat="1" ht="13" x14ac:dyDescent="0.15"/>
    <row r="8301" customFormat="1" ht="13" x14ac:dyDescent="0.15"/>
    <row r="8302" customFormat="1" ht="13" x14ac:dyDescent="0.15"/>
    <row r="8303" customFormat="1" ht="13" x14ac:dyDescent="0.15"/>
    <row r="8304" customFormat="1" ht="13" x14ac:dyDescent="0.15"/>
    <row r="8305" customFormat="1" ht="13" x14ac:dyDescent="0.15"/>
    <row r="8306" customFormat="1" ht="13" x14ac:dyDescent="0.15"/>
    <row r="8307" customFormat="1" ht="13" x14ac:dyDescent="0.15"/>
    <row r="8308" customFormat="1" ht="13" x14ac:dyDescent="0.15"/>
    <row r="8309" customFormat="1" ht="13" x14ac:dyDescent="0.15"/>
    <row r="8310" customFormat="1" ht="13" x14ac:dyDescent="0.15"/>
    <row r="8311" customFormat="1" ht="13" x14ac:dyDescent="0.15"/>
    <row r="8312" customFormat="1" ht="13" x14ac:dyDescent="0.15"/>
    <row r="8313" customFormat="1" ht="13" x14ac:dyDescent="0.15"/>
    <row r="8314" customFormat="1" ht="13" x14ac:dyDescent="0.15"/>
    <row r="8315" customFormat="1" ht="13" x14ac:dyDescent="0.15"/>
    <row r="8316" customFormat="1" ht="13" x14ac:dyDescent="0.15"/>
    <row r="8317" customFormat="1" ht="13" x14ac:dyDescent="0.15"/>
    <row r="8318" customFormat="1" ht="13" x14ac:dyDescent="0.15"/>
    <row r="8319" customFormat="1" ht="13" x14ac:dyDescent="0.15"/>
    <row r="8320" customFormat="1" ht="13" x14ac:dyDescent="0.15"/>
    <row r="8321" customFormat="1" ht="13" x14ac:dyDescent="0.15"/>
    <row r="8322" customFormat="1" ht="13" x14ac:dyDescent="0.15"/>
    <row r="8323" customFormat="1" ht="13" x14ac:dyDescent="0.15"/>
    <row r="8324" customFormat="1" ht="13" x14ac:dyDescent="0.15"/>
    <row r="8325" customFormat="1" ht="13" x14ac:dyDescent="0.15"/>
    <row r="8326" customFormat="1" ht="13" x14ac:dyDescent="0.15"/>
    <row r="8327" customFormat="1" ht="13" x14ac:dyDescent="0.15"/>
    <row r="8328" customFormat="1" ht="13" x14ac:dyDescent="0.15"/>
    <row r="8329" customFormat="1" ht="13" x14ac:dyDescent="0.15"/>
    <row r="8330" customFormat="1" ht="13" x14ac:dyDescent="0.15"/>
    <row r="8331" customFormat="1" ht="13" x14ac:dyDescent="0.15"/>
    <row r="8332" customFormat="1" ht="13" x14ac:dyDescent="0.15"/>
    <row r="8333" customFormat="1" ht="13" x14ac:dyDescent="0.15"/>
    <row r="8334" customFormat="1" ht="13" x14ac:dyDescent="0.15"/>
    <row r="8335" customFormat="1" ht="13" x14ac:dyDescent="0.15"/>
    <row r="8336" customFormat="1" ht="13" x14ac:dyDescent="0.15"/>
    <row r="8337" customFormat="1" ht="13" x14ac:dyDescent="0.15"/>
    <row r="8338" customFormat="1" ht="13" x14ac:dyDescent="0.15"/>
    <row r="8339" customFormat="1" ht="13" x14ac:dyDescent="0.15"/>
    <row r="8340" customFormat="1" ht="13" x14ac:dyDescent="0.15"/>
    <row r="8341" customFormat="1" ht="13" x14ac:dyDescent="0.15"/>
    <row r="8342" customFormat="1" ht="13" x14ac:dyDescent="0.15"/>
    <row r="8343" customFormat="1" ht="13" x14ac:dyDescent="0.15"/>
    <row r="8344" customFormat="1" ht="13" x14ac:dyDescent="0.15"/>
    <row r="8345" customFormat="1" ht="13" x14ac:dyDescent="0.15"/>
    <row r="8346" customFormat="1" ht="13" x14ac:dyDescent="0.15"/>
    <row r="8347" customFormat="1" ht="13" x14ac:dyDescent="0.15"/>
    <row r="8348" customFormat="1" ht="13" x14ac:dyDescent="0.15"/>
    <row r="8349" customFormat="1" ht="13" x14ac:dyDescent="0.15"/>
    <row r="8350" customFormat="1" ht="13" x14ac:dyDescent="0.15"/>
    <row r="8351" customFormat="1" ht="13" x14ac:dyDescent="0.15"/>
    <row r="8352" customFormat="1" ht="13" x14ac:dyDescent="0.15"/>
    <row r="8353" customFormat="1" ht="13" x14ac:dyDescent="0.15"/>
    <row r="8354" customFormat="1" ht="13" x14ac:dyDescent="0.15"/>
    <row r="8355" customFormat="1" ht="13" x14ac:dyDescent="0.15"/>
    <row r="8356" customFormat="1" ht="13" x14ac:dyDescent="0.15"/>
    <row r="8357" customFormat="1" ht="13" x14ac:dyDescent="0.15"/>
    <row r="8358" customFormat="1" ht="13" x14ac:dyDescent="0.15"/>
    <row r="8359" customFormat="1" ht="13" x14ac:dyDescent="0.15"/>
    <row r="8360" customFormat="1" ht="13" x14ac:dyDescent="0.15"/>
    <row r="8361" customFormat="1" ht="13" x14ac:dyDescent="0.15"/>
    <row r="8362" customFormat="1" ht="13" x14ac:dyDescent="0.15"/>
    <row r="8363" customFormat="1" ht="13" x14ac:dyDescent="0.15"/>
    <row r="8364" customFormat="1" ht="13" x14ac:dyDescent="0.15"/>
    <row r="8365" customFormat="1" ht="13" x14ac:dyDescent="0.15"/>
    <row r="8366" customFormat="1" ht="13" x14ac:dyDescent="0.15"/>
    <row r="8367" customFormat="1" ht="13" x14ac:dyDescent="0.15"/>
    <row r="8368" customFormat="1" ht="13" x14ac:dyDescent="0.15"/>
    <row r="8369" customFormat="1" ht="13" x14ac:dyDescent="0.15"/>
    <row r="8370" customFormat="1" ht="13" x14ac:dyDescent="0.15"/>
    <row r="8371" customFormat="1" ht="13" x14ac:dyDescent="0.15"/>
    <row r="8372" customFormat="1" ht="13" x14ac:dyDescent="0.15"/>
    <row r="8373" customFormat="1" ht="13" x14ac:dyDescent="0.15"/>
    <row r="8374" customFormat="1" ht="13" x14ac:dyDescent="0.15"/>
    <row r="8375" customFormat="1" ht="13" x14ac:dyDescent="0.15"/>
    <row r="8376" customFormat="1" ht="13" x14ac:dyDescent="0.15"/>
    <row r="8377" customFormat="1" ht="13" x14ac:dyDescent="0.15"/>
    <row r="8378" customFormat="1" ht="13" x14ac:dyDescent="0.15"/>
    <row r="8379" customFormat="1" ht="13" x14ac:dyDescent="0.15"/>
    <row r="8380" customFormat="1" ht="13" x14ac:dyDescent="0.15"/>
    <row r="8381" customFormat="1" ht="13" x14ac:dyDescent="0.15"/>
    <row r="8382" customFormat="1" ht="13" x14ac:dyDescent="0.15"/>
    <row r="8383" customFormat="1" ht="13" x14ac:dyDescent="0.15"/>
    <row r="8384" customFormat="1" ht="13" x14ac:dyDescent="0.15"/>
    <row r="8385" customFormat="1" ht="13" x14ac:dyDescent="0.15"/>
    <row r="8386" customFormat="1" ht="13" x14ac:dyDescent="0.15"/>
    <row r="8387" customFormat="1" ht="13" x14ac:dyDescent="0.15"/>
    <row r="8388" customFormat="1" ht="13" x14ac:dyDescent="0.15"/>
    <row r="8389" customFormat="1" ht="13" x14ac:dyDescent="0.15"/>
    <row r="8390" customFormat="1" ht="13" x14ac:dyDescent="0.15"/>
    <row r="8391" customFormat="1" ht="13" x14ac:dyDescent="0.15"/>
    <row r="8392" customFormat="1" ht="13" x14ac:dyDescent="0.15"/>
    <row r="8393" customFormat="1" ht="13" x14ac:dyDescent="0.15"/>
    <row r="8394" customFormat="1" ht="13" x14ac:dyDescent="0.15"/>
    <row r="8395" customFormat="1" ht="13" x14ac:dyDescent="0.15"/>
    <row r="8396" customFormat="1" ht="13" x14ac:dyDescent="0.15"/>
    <row r="8397" customFormat="1" ht="13" x14ac:dyDescent="0.15"/>
    <row r="8398" customFormat="1" ht="13" x14ac:dyDescent="0.15"/>
    <row r="8399" customFormat="1" ht="13" x14ac:dyDescent="0.15"/>
    <row r="8400" customFormat="1" ht="13" x14ac:dyDescent="0.15"/>
    <row r="8401" customFormat="1" ht="13" x14ac:dyDescent="0.15"/>
    <row r="8402" customFormat="1" ht="13" x14ac:dyDescent="0.15"/>
    <row r="8403" customFormat="1" ht="13" x14ac:dyDescent="0.15"/>
    <row r="8404" customFormat="1" ht="13" x14ac:dyDescent="0.15"/>
    <row r="8405" customFormat="1" ht="13" x14ac:dyDescent="0.15"/>
    <row r="8406" customFormat="1" ht="13" x14ac:dyDescent="0.15"/>
    <row r="8407" customFormat="1" ht="13" x14ac:dyDescent="0.15"/>
    <row r="8408" customFormat="1" ht="13" x14ac:dyDescent="0.15"/>
    <row r="8409" customFormat="1" ht="13" x14ac:dyDescent="0.15"/>
    <row r="8410" customFormat="1" ht="13" x14ac:dyDescent="0.15"/>
    <row r="8411" customFormat="1" ht="13" x14ac:dyDescent="0.15"/>
    <row r="8412" customFormat="1" ht="13" x14ac:dyDescent="0.15"/>
    <row r="8413" customFormat="1" ht="13" x14ac:dyDescent="0.15"/>
    <row r="8414" customFormat="1" ht="13" x14ac:dyDescent="0.15"/>
    <row r="8415" customFormat="1" ht="13" x14ac:dyDescent="0.15"/>
    <row r="8416" customFormat="1" ht="13" x14ac:dyDescent="0.15"/>
    <row r="8417" customFormat="1" ht="13" x14ac:dyDescent="0.15"/>
    <row r="8418" customFormat="1" ht="13" x14ac:dyDescent="0.15"/>
    <row r="8419" customFormat="1" ht="13" x14ac:dyDescent="0.15"/>
    <row r="8420" customFormat="1" ht="13" x14ac:dyDescent="0.15"/>
    <row r="8421" customFormat="1" ht="13" x14ac:dyDescent="0.15"/>
    <row r="8422" customFormat="1" ht="13" x14ac:dyDescent="0.15"/>
    <row r="8423" customFormat="1" ht="13" x14ac:dyDescent="0.15"/>
    <row r="8424" customFormat="1" ht="13" x14ac:dyDescent="0.15"/>
    <row r="8425" customFormat="1" ht="13" x14ac:dyDescent="0.15"/>
    <row r="8426" customFormat="1" ht="13" x14ac:dyDescent="0.15"/>
    <row r="8427" customFormat="1" ht="13" x14ac:dyDescent="0.15"/>
    <row r="8428" customFormat="1" ht="13" x14ac:dyDescent="0.15"/>
    <row r="8429" customFormat="1" ht="13" x14ac:dyDescent="0.15"/>
    <row r="8430" customFormat="1" ht="13" x14ac:dyDescent="0.15"/>
    <row r="8431" customFormat="1" ht="13" x14ac:dyDescent="0.15"/>
    <row r="8432" customFormat="1" ht="13" x14ac:dyDescent="0.15"/>
    <row r="8433" customFormat="1" ht="13" x14ac:dyDescent="0.15"/>
    <row r="8434" customFormat="1" ht="13" x14ac:dyDescent="0.15"/>
    <row r="8435" customFormat="1" ht="13" x14ac:dyDescent="0.15"/>
    <row r="8436" customFormat="1" ht="13" x14ac:dyDescent="0.15"/>
    <row r="8437" customFormat="1" ht="13" x14ac:dyDescent="0.15"/>
    <row r="8438" customFormat="1" ht="13" x14ac:dyDescent="0.15"/>
    <row r="8439" customFormat="1" ht="13" x14ac:dyDescent="0.15"/>
    <row r="8440" customFormat="1" ht="13" x14ac:dyDescent="0.15"/>
    <row r="8441" customFormat="1" ht="13" x14ac:dyDescent="0.15"/>
    <row r="8442" customFormat="1" ht="13" x14ac:dyDescent="0.15"/>
    <row r="8443" customFormat="1" ht="13" x14ac:dyDescent="0.15"/>
    <row r="8444" customFormat="1" ht="13" x14ac:dyDescent="0.15"/>
    <row r="8445" customFormat="1" ht="13" x14ac:dyDescent="0.15"/>
    <row r="8446" customFormat="1" ht="13" x14ac:dyDescent="0.15"/>
    <row r="8447" customFormat="1" ht="13" x14ac:dyDescent="0.15"/>
    <row r="8448" customFormat="1" ht="13" x14ac:dyDescent="0.15"/>
    <row r="8449" customFormat="1" ht="13" x14ac:dyDescent="0.15"/>
    <row r="8450" customFormat="1" ht="13" x14ac:dyDescent="0.15"/>
    <row r="8451" customFormat="1" ht="13" x14ac:dyDescent="0.15"/>
    <row r="8452" customFormat="1" ht="13" x14ac:dyDescent="0.15"/>
    <row r="8453" customFormat="1" ht="13" x14ac:dyDescent="0.15"/>
    <row r="8454" customFormat="1" ht="13" x14ac:dyDescent="0.15"/>
    <row r="8455" customFormat="1" ht="13" x14ac:dyDescent="0.15"/>
    <row r="8456" customFormat="1" ht="13" x14ac:dyDescent="0.15"/>
    <row r="8457" customFormat="1" ht="13" x14ac:dyDescent="0.15"/>
    <row r="8458" customFormat="1" ht="13" x14ac:dyDescent="0.15"/>
    <row r="8459" customFormat="1" ht="13" x14ac:dyDescent="0.15"/>
    <row r="8460" customFormat="1" ht="13" x14ac:dyDescent="0.15"/>
    <row r="8461" customFormat="1" ht="13" x14ac:dyDescent="0.15"/>
    <row r="8462" customFormat="1" ht="13" x14ac:dyDescent="0.15"/>
    <row r="8463" customFormat="1" ht="13" x14ac:dyDescent="0.15"/>
    <row r="8464" customFormat="1" ht="13" x14ac:dyDescent="0.15"/>
    <row r="8465" customFormat="1" ht="13" x14ac:dyDescent="0.15"/>
    <row r="8466" customFormat="1" ht="13" x14ac:dyDescent="0.15"/>
    <row r="8467" customFormat="1" ht="13" x14ac:dyDescent="0.15"/>
    <row r="8468" customFormat="1" ht="13" x14ac:dyDescent="0.15"/>
    <row r="8469" customFormat="1" ht="13" x14ac:dyDescent="0.15"/>
    <row r="8470" customFormat="1" ht="13" x14ac:dyDescent="0.15"/>
    <row r="8471" customFormat="1" ht="13" x14ac:dyDescent="0.15"/>
    <row r="8472" customFormat="1" ht="13" x14ac:dyDescent="0.15"/>
    <row r="8473" customFormat="1" ht="13" x14ac:dyDescent="0.15"/>
    <row r="8474" customFormat="1" ht="13" x14ac:dyDescent="0.15"/>
    <row r="8475" customFormat="1" ht="13" x14ac:dyDescent="0.15"/>
    <row r="8476" customFormat="1" ht="13" x14ac:dyDescent="0.15"/>
    <row r="8477" customFormat="1" ht="13" x14ac:dyDescent="0.15"/>
    <row r="8478" customFormat="1" ht="13" x14ac:dyDescent="0.15"/>
    <row r="8479" customFormat="1" ht="13" x14ac:dyDescent="0.15"/>
    <row r="8480" customFormat="1" ht="13" x14ac:dyDescent="0.15"/>
    <row r="8481" customFormat="1" ht="13" x14ac:dyDescent="0.15"/>
    <row r="8482" customFormat="1" ht="13" x14ac:dyDescent="0.15"/>
    <row r="8483" customFormat="1" ht="13" x14ac:dyDescent="0.15"/>
    <row r="8484" customFormat="1" ht="13" x14ac:dyDescent="0.15"/>
    <row r="8485" customFormat="1" ht="13" x14ac:dyDescent="0.15"/>
    <row r="8486" customFormat="1" ht="13" x14ac:dyDescent="0.15"/>
    <row r="8487" customFormat="1" ht="13" x14ac:dyDescent="0.15"/>
    <row r="8488" customFormat="1" ht="13" x14ac:dyDescent="0.15"/>
    <row r="8489" customFormat="1" ht="13" x14ac:dyDescent="0.15"/>
    <row r="8490" customFormat="1" ht="13" x14ac:dyDescent="0.15"/>
    <row r="8491" customFormat="1" ht="13" x14ac:dyDescent="0.15"/>
    <row r="8492" customFormat="1" ht="13" x14ac:dyDescent="0.15"/>
    <row r="8493" customFormat="1" ht="13" x14ac:dyDescent="0.15"/>
    <row r="8494" customFormat="1" ht="13" x14ac:dyDescent="0.15"/>
    <row r="8495" customFormat="1" ht="13" x14ac:dyDescent="0.15"/>
    <row r="8496" customFormat="1" ht="13" x14ac:dyDescent="0.15"/>
    <row r="8497" customFormat="1" ht="13" x14ac:dyDescent="0.15"/>
    <row r="8498" customFormat="1" ht="13" x14ac:dyDescent="0.15"/>
    <row r="8499" customFormat="1" ht="13" x14ac:dyDescent="0.15"/>
    <row r="8500" customFormat="1" ht="13" x14ac:dyDescent="0.15"/>
    <row r="8501" customFormat="1" ht="13" x14ac:dyDescent="0.15"/>
    <row r="8502" customFormat="1" ht="13" x14ac:dyDescent="0.15"/>
    <row r="8503" customFormat="1" ht="13" x14ac:dyDescent="0.15"/>
    <row r="8504" customFormat="1" ht="13" x14ac:dyDescent="0.15"/>
    <row r="8505" customFormat="1" ht="13" x14ac:dyDescent="0.15"/>
    <row r="8506" customFormat="1" ht="13" x14ac:dyDescent="0.15"/>
    <row r="8507" customFormat="1" ht="13" x14ac:dyDescent="0.15"/>
    <row r="8508" customFormat="1" ht="13" x14ac:dyDescent="0.15"/>
    <row r="8509" customFormat="1" ht="13" x14ac:dyDescent="0.15"/>
    <row r="8510" customFormat="1" ht="13" x14ac:dyDescent="0.15"/>
    <row r="8511" customFormat="1" ht="13" x14ac:dyDescent="0.15"/>
    <row r="8512" customFormat="1" ht="13" x14ac:dyDescent="0.15"/>
    <row r="8513" customFormat="1" ht="13" x14ac:dyDescent="0.15"/>
    <row r="8514" customFormat="1" ht="13" x14ac:dyDescent="0.15"/>
    <row r="8515" customFormat="1" ht="13" x14ac:dyDescent="0.15"/>
    <row r="8516" customFormat="1" ht="13" x14ac:dyDescent="0.15"/>
    <row r="8517" customFormat="1" ht="13" x14ac:dyDescent="0.15"/>
    <row r="8518" customFormat="1" ht="13" x14ac:dyDescent="0.15"/>
    <row r="8519" customFormat="1" ht="13" x14ac:dyDescent="0.15"/>
    <row r="8520" customFormat="1" ht="13" x14ac:dyDescent="0.15"/>
    <row r="8521" customFormat="1" ht="13" x14ac:dyDescent="0.15"/>
    <row r="8522" customFormat="1" ht="13" x14ac:dyDescent="0.15"/>
    <row r="8523" customFormat="1" ht="13" x14ac:dyDescent="0.15"/>
    <row r="8524" customFormat="1" ht="13" x14ac:dyDescent="0.15"/>
    <row r="8525" customFormat="1" ht="13" x14ac:dyDescent="0.15"/>
    <row r="8526" customFormat="1" ht="13" x14ac:dyDescent="0.15"/>
    <row r="8527" customFormat="1" ht="13" x14ac:dyDescent="0.15"/>
    <row r="8528" customFormat="1" ht="13" x14ac:dyDescent="0.15"/>
    <row r="8529" customFormat="1" ht="13" x14ac:dyDescent="0.15"/>
    <row r="8530" customFormat="1" ht="13" x14ac:dyDescent="0.15"/>
    <row r="8531" customFormat="1" ht="13" x14ac:dyDescent="0.15"/>
    <row r="8532" customFormat="1" ht="13" x14ac:dyDescent="0.15"/>
    <row r="8533" customFormat="1" ht="13" x14ac:dyDescent="0.15"/>
    <row r="8534" customFormat="1" ht="13" x14ac:dyDescent="0.15"/>
    <row r="8535" customFormat="1" ht="13" x14ac:dyDescent="0.15"/>
    <row r="8536" customFormat="1" ht="13" x14ac:dyDescent="0.15"/>
    <row r="8537" customFormat="1" ht="13" x14ac:dyDescent="0.15"/>
    <row r="8538" customFormat="1" ht="13" x14ac:dyDescent="0.15"/>
    <row r="8539" customFormat="1" ht="13" x14ac:dyDescent="0.15"/>
    <row r="8540" customFormat="1" ht="13" x14ac:dyDescent="0.15"/>
    <row r="8541" customFormat="1" ht="13" x14ac:dyDescent="0.15"/>
    <row r="8542" customFormat="1" ht="13" x14ac:dyDescent="0.15"/>
    <row r="8543" customFormat="1" ht="13" x14ac:dyDescent="0.15"/>
    <row r="8544" customFormat="1" ht="13" x14ac:dyDescent="0.15"/>
    <row r="8545" customFormat="1" ht="13" x14ac:dyDescent="0.15"/>
    <row r="8546" customFormat="1" ht="13" x14ac:dyDescent="0.15"/>
    <row r="8547" customFormat="1" ht="13" x14ac:dyDescent="0.15"/>
    <row r="8548" customFormat="1" ht="13" x14ac:dyDescent="0.15"/>
    <row r="8549" customFormat="1" ht="13" x14ac:dyDescent="0.15"/>
    <row r="8550" customFormat="1" ht="13" x14ac:dyDescent="0.15"/>
    <row r="8551" customFormat="1" ht="13" x14ac:dyDescent="0.15"/>
    <row r="8552" customFormat="1" ht="13" x14ac:dyDescent="0.15"/>
    <row r="8553" customFormat="1" ht="13" x14ac:dyDescent="0.15"/>
    <row r="8554" customFormat="1" ht="13" x14ac:dyDescent="0.15"/>
    <row r="8555" customFormat="1" ht="13" x14ac:dyDescent="0.15"/>
    <row r="8556" customFormat="1" ht="13" x14ac:dyDescent="0.15"/>
    <row r="8557" customFormat="1" ht="13" x14ac:dyDescent="0.15"/>
    <row r="8558" customFormat="1" ht="13" x14ac:dyDescent="0.15"/>
    <row r="8559" customFormat="1" ht="13" x14ac:dyDescent="0.15"/>
    <row r="8560" customFormat="1" ht="13" x14ac:dyDescent="0.15"/>
    <row r="8561" customFormat="1" ht="13" x14ac:dyDescent="0.15"/>
    <row r="8562" customFormat="1" ht="13" x14ac:dyDescent="0.15"/>
    <row r="8563" customFormat="1" ht="13" x14ac:dyDescent="0.15"/>
    <row r="8564" customFormat="1" ht="13" x14ac:dyDescent="0.15"/>
    <row r="8565" customFormat="1" ht="13" x14ac:dyDescent="0.15"/>
    <row r="8566" customFormat="1" ht="13" x14ac:dyDescent="0.15"/>
    <row r="8567" customFormat="1" ht="13" x14ac:dyDescent="0.15"/>
    <row r="8568" customFormat="1" ht="13" x14ac:dyDescent="0.15"/>
    <row r="8569" customFormat="1" ht="13" x14ac:dyDescent="0.15"/>
    <row r="8570" customFormat="1" ht="13" x14ac:dyDescent="0.15"/>
    <row r="8571" customFormat="1" ht="13" x14ac:dyDescent="0.15"/>
    <row r="8572" customFormat="1" ht="13" x14ac:dyDescent="0.15"/>
    <row r="8573" customFormat="1" ht="13" x14ac:dyDescent="0.15"/>
    <row r="8574" customFormat="1" ht="13" x14ac:dyDescent="0.15"/>
    <row r="8575" customFormat="1" ht="13" x14ac:dyDescent="0.15"/>
    <row r="8576" customFormat="1" ht="13" x14ac:dyDescent="0.15"/>
    <row r="8577" customFormat="1" ht="13" x14ac:dyDescent="0.15"/>
    <row r="8578" customFormat="1" ht="13" x14ac:dyDescent="0.15"/>
    <row r="8579" customFormat="1" ht="13" x14ac:dyDescent="0.15"/>
    <row r="8580" customFormat="1" ht="13" x14ac:dyDescent="0.15"/>
    <row r="8581" customFormat="1" ht="13" x14ac:dyDescent="0.15"/>
    <row r="8582" customFormat="1" ht="13" x14ac:dyDescent="0.15"/>
    <row r="8583" customFormat="1" ht="13" x14ac:dyDescent="0.15"/>
    <row r="8584" customFormat="1" ht="13" x14ac:dyDescent="0.15"/>
    <row r="8585" customFormat="1" ht="13" x14ac:dyDescent="0.15"/>
    <row r="8586" customFormat="1" ht="13" x14ac:dyDescent="0.15"/>
    <row r="8587" customFormat="1" ht="13" x14ac:dyDescent="0.15"/>
    <row r="8588" customFormat="1" ht="13" x14ac:dyDescent="0.15"/>
    <row r="8589" customFormat="1" ht="13" x14ac:dyDescent="0.15"/>
    <row r="8590" customFormat="1" ht="13" x14ac:dyDescent="0.15"/>
    <row r="8591" customFormat="1" ht="13" x14ac:dyDescent="0.15"/>
    <row r="8592" customFormat="1" ht="13" x14ac:dyDescent="0.15"/>
    <row r="8593" customFormat="1" ht="13" x14ac:dyDescent="0.15"/>
    <row r="8594" customFormat="1" ht="13" x14ac:dyDescent="0.15"/>
    <row r="8595" customFormat="1" ht="13" x14ac:dyDescent="0.15"/>
    <row r="8596" customFormat="1" ht="13" x14ac:dyDescent="0.15"/>
    <row r="8597" customFormat="1" ht="13" x14ac:dyDescent="0.15"/>
    <row r="8598" customFormat="1" ht="13" x14ac:dyDescent="0.15"/>
    <row r="8599" customFormat="1" ht="13" x14ac:dyDescent="0.15"/>
    <row r="8600" customFormat="1" ht="13" x14ac:dyDescent="0.15"/>
    <row r="8601" customFormat="1" ht="13" x14ac:dyDescent="0.15"/>
    <row r="8602" customFormat="1" ht="13" x14ac:dyDescent="0.15"/>
    <row r="8603" customFormat="1" ht="13" x14ac:dyDescent="0.15"/>
    <row r="8604" customFormat="1" ht="13" x14ac:dyDescent="0.15"/>
    <row r="8605" customFormat="1" ht="13" x14ac:dyDescent="0.15"/>
    <row r="8606" customFormat="1" ht="13" x14ac:dyDescent="0.15"/>
    <row r="8607" customFormat="1" ht="13" x14ac:dyDescent="0.15"/>
    <row r="8608" customFormat="1" ht="13" x14ac:dyDescent="0.15"/>
    <row r="8609" customFormat="1" ht="13" x14ac:dyDescent="0.15"/>
    <row r="8610" customFormat="1" ht="13" x14ac:dyDescent="0.15"/>
    <row r="8611" customFormat="1" ht="13" x14ac:dyDescent="0.15"/>
    <row r="8612" customFormat="1" ht="13" x14ac:dyDescent="0.15"/>
    <row r="8613" customFormat="1" ht="13" x14ac:dyDescent="0.15"/>
    <row r="8614" customFormat="1" ht="13" x14ac:dyDescent="0.15"/>
    <row r="8615" customFormat="1" ht="13" x14ac:dyDescent="0.15"/>
    <row r="8616" customFormat="1" ht="13" x14ac:dyDescent="0.15"/>
    <row r="8617" customFormat="1" ht="13" x14ac:dyDescent="0.15"/>
    <row r="8618" customFormat="1" ht="13" x14ac:dyDescent="0.15"/>
    <row r="8619" customFormat="1" ht="13" x14ac:dyDescent="0.15"/>
    <row r="8620" customFormat="1" ht="13" x14ac:dyDescent="0.15"/>
    <row r="8621" customFormat="1" ht="13" x14ac:dyDescent="0.15"/>
    <row r="8622" customFormat="1" ht="13" x14ac:dyDescent="0.15"/>
    <row r="8623" customFormat="1" ht="13" x14ac:dyDescent="0.15"/>
    <row r="8624" customFormat="1" ht="13" x14ac:dyDescent="0.15"/>
    <row r="8625" customFormat="1" ht="13" x14ac:dyDescent="0.15"/>
    <row r="8626" customFormat="1" ht="13" x14ac:dyDescent="0.15"/>
    <row r="8627" customFormat="1" ht="13" x14ac:dyDescent="0.15"/>
    <row r="8628" customFormat="1" ht="13" x14ac:dyDescent="0.15"/>
    <row r="8629" customFormat="1" ht="13" x14ac:dyDescent="0.15"/>
    <row r="8630" customFormat="1" ht="13" x14ac:dyDescent="0.15"/>
    <row r="8631" customFormat="1" ht="13" x14ac:dyDescent="0.15"/>
    <row r="8632" customFormat="1" ht="13" x14ac:dyDescent="0.15"/>
    <row r="8633" customFormat="1" ht="13" x14ac:dyDescent="0.15"/>
    <row r="8634" customFormat="1" ht="13" x14ac:dyDescent="0.15"/>
    <row r="8635" customFormat="1" ht="13" x14ac:dyDescent="0.15"/>
    <row r="8636" customFormat="1" ht="13" x14ac:dyDescent="0.15"/>
    <row r="8637" customFormat="1" ht="13" x14ac:dyDescent="0.15"/>
    <row r="8638" customFormat="1" ht="13" x14ac:dyDescent="0.15"/>
    <row r="8639" customFormat="1" ht="13" x14ac:dyDescent="0.15"/>
    <row r="8640" customFormat="1" ht="13" x14ac:dyDescent="0.15"/>
    <row r="8641" customFormat="1" ht="13" x14ac:dyDescent="0.15"/>
    <row r="8642" customFormat="1" ht="13" x14ac:dyDescent="0.15"/>
    <row r="8643" customFormat="1" ht="13" x14ac:dyDescent="0.15"/>
    <row r="8644" customFormat="1" ht="13" x14ac:dyDescent="0.15"/>
    <row r="8645" customFormat="1" ht="13" x14ac:dyDescent="0.15"/>
    <row r="8646" customFormat="1" ht="13" x14ac:dyDescent="0.15"/>
    <row r="8647" customFormat="1" ht="13" x14ac:dyDescent="0.15"/>
    <row r="8648" customFormat="1" ht="13" x14ac:dyDescent="0.15"/>
    <row r="8649" customFormat="1" ht="13" x14ac:dyDescent="0.15"/>
    <row r="8650" customFormat="1" ht="13" x14ac:dyDescent="0.15"/>
    <row r="8651" customFormat="1" ht="13" x14ac:dyDescent="0.15"/>
    <row r="8652" customFormat="1" ht="13" x14ac:dyDescent="0.15"/>
    <row r="8653" customFormat="1" ht="13" x14ac:dyDescent="0.15"/>
    <row r="8654" customFormat="1" ht="13" x14ac:dyDescent="0.15"/>
    <row r="8655" customFormat="1" ht="13" x14ac:dyDescent="0.15"/>
    <row r="8656" customFormat="1" ht="13" x14ac:dyDescent="0.15"/>
    <row r="8657" customFormat="1" ht="13" x14ac:dyDescent="0.15"/>
    <row r="8658" customFormat="1" ht="13" x14ac:dyDescent="0.15"/>
    <row r="8659" customFormat="1" ht="13" x14ac:dyDescent="0.15"/>
    <row r="8660" customFormat="1" ht="13" x14ac:dyDescent="0.15"/>
    <row r="8661" customFormat="1" ht="13" x14ac:dyDescent="0.15"/>
    <row r="8662" customFormat="1" ht="13" x14ac:dyDescent="0.15"/>
    <row r="8663" customFormat="1" ht="13" x14ac:dyDescent="0.15"/>
    <row r="8664" customFormat="1" ht="13" x14ac:dyDescent="0.15"/>
    <row r="8665" customFormat="1" ht="13" x14ac:dyDescent="0.15"/>
    <row r="8666" customFormat="1" ht="13" x14ac:dyDescent="0.15"/>
    <row r="8667" customFormat="1" ht="13" x14ac:dyDescent="0.15"/>
    <row r="8668" customFormat="1" ht="13" x14ac:dyDescent="0.15"/>
    <row r="8669" customFormat="1" ht="13" x14ac:dyDescent="0.15"/>
    <row r="8670" customFormat="1" ht="13" x14ac:dyDescent="0.15"/>
    <row r="8671" customFormat="1" ht="13" x14ac:dyDescent="0.15"/>
    <row r="8672" customFormat="1" ht="13" x14ac:dyDescent="0.15"/>
    <row r="8673" customFormat="1" ht="13" x14ac:dyDescent="0.15"/>
    <row r="8674" customFormat="1" ht="13" x14ac:dyDescent="0.15"/>
    <row r="8675" customFormat="1" ht="13" x14ac:dyDescent="0.15"/>
    <row r="8676" customFormat="1" ht="13" x14ac:dyDescent="0.15"/>
    <row r="8677" customFormat="1" ht="13" x14ac:dyDescent="0.15"/>
    <row r="8678" customFormat="1" ht="13" x14ac:dyDescent="0.15"/>
    <row r="8679" customFormat="1" ht="13" x14ac:dyDescent="0.15"/>
    <row r="8680" customFormat="1" ht="13" x14ac:dyDescent="0.15"/>
    <row r="8681" customFormat="1" ht="13" x14ac:dyDescent="0.15"/>
    <row r="8682" customFormat="1" ht="13" x14ac:dyDescent="0.15"/>
    <row r="8683" customFormat="1" ht="13" x14ac:dyDescent="0.15"/>
    <row r="8684" customFormat="1" ht="13" x14ac:dyDescent="0.15"/>
    <row r="8685" customFormat="1" ht="13" x14ac:dyDescent="0.15"/>
    <row r="8686" customFormat="1" ht="13" x14ac:dyDescent="0.15"/>
    <row r="8687" customFormat="1" ht="13" x14ac:dyDescent="0.15"/>
    <row r="8688" customFormat="1" ht="13" x14ac:dyDescent="0.15"/>
    <row r="8689" customFormat="1" ht="13" x14ac:dyDescent="0.15"/>
    <row r="8690" customFormat="1" ht="13" x14ac:dyDescent="0.15"/>
    <row r="8691" customFormat="1" ht="13" x14ac:dyDescent="0.15"/>
    <row r="8692" customFormat="1" ht="13" x14ac:dyDescent="0.15"/>
    <row r="8693" customFormat="1" ht="13" x14ac:dyDescent="0.15"/>
    <row r="8694" customFormat="1" ht="13" x14ac:dyDescent="0.15"/>
    <row r="8695" customFormat="1" ht="13" x14ac:dyDescent="0.15"/>
    <row r="8696" customFormat="1" ht="13" x14ac:dyDescent="0.15"/>
    <row r="8697" customFormat="1" ht="13" x14ac:dyDescent="0.15"/>
    <row r="8698" customFormat="1" ht="13" x14ac:dyDescent="0.15"/>
    <row r="8699" customFormat="1" ht="13" x14ac:dyDescent="0.15"/>
    <row r="8700" customFormat="1" ht="13" x14ac:dyDescent="0.15"/>
    <row r="8701" customFormat="1" ht="13" x14ac:dyDescent="0.15"/>
    <row r="8702" customFormat="1" ht="13" x14ac:dyDescent="0.15"/>
    <row r="8703" customFormat="1" ht="13" x14ac:dyDescent="0.15"/>
    <row r="8704" customFormat="1" ht="13" x14ac:dyDescent="0.15"/>
    <row r="8705" customFormat="1" ht="13" x14ac:dyDescent="0.15"/>
    <row r="8706" customFormat="1" ht="13" x14ac:dyDescent="0.15"/>
    <row r="8707" customFormat="1" ht="13" x14ac:dyDescent="0.15"/>
    <row r="8708" customFormat="1" ht="13" x14ac:dyDescent="0.15"/>
    <row r="8709" customFormat="1" ht="13" x14ac:dyDescent="0.15"/>
    <row r="8710" customFormat="1" ht="13" x14ac:dyDescent="0.15"/>
    <row r="8711" customFormat="1" ht="13" x14ac:dyDescent="0.15"/>
    <row r="8712" customFormat="1" ht="13" x14ac:dyDescent="0.15"/>
    <row r="8713" customFormat="1" ht="13" x14ac:dyDescent="0.15"/>
    <row r="8714" customFormat="1" ht="13" x14ac:dyDescent="0.15"/>
    <row r="8715" customFormat="1" ht="13" x14ac:dyDescent="0.15"/>
    <row r="8716" customFormat="1" ht="13" x14ac:dyDescent="0.15"/>
    <row r="8717" customFormat="1" ht="13" x14ac:dyDescent="0.15"/>
    <row r="8718" customFormat="1" ht="13" x14ac:dyDescent="0.15"/>
    <row r="8719" customFormat="1" ht="13" x14ac:dyDescent="0.15"/>
    <row r="8720" customFormat="1" ht="13" x14ac:dyDescent="0.15"/>
    <row r="8721" customFormat="1" ht="13" x14ac:dyDescent="0.15"/>
    <row r="8722" customFormat="1" ht="13" x14ac:dyDescent="0.15"/>
    <row r="8723" customFormat="1" ht="13" x14ac:dyDescent="0.15"/>
    <row r="8724" customFormat="1" ht="13" x14ac:dyDescent="0.15"/>
    <row r="8725" customFormat="1" ht="13" x14ac:dyDescent="0.15"/>
    <row r="8726" customFormat="1" ht="13" x14ac:dyDescent="0.15"/>
    <row r="8727" customFormat="1" ht="13" x14ac:dyDescent="0.15"/>
    <row r="8728" customFormat="1" ht="13" x14ac:dyDescent="0.15"/>
    <row r="8729" customFormat="1" ht="13" x14ac:dyDescent="0.15"/>
    <row r="8730" customFormat="1" ht="13" x14ac:dyDescent="0.15"/>
    <row r="8731" customFormat="1" ht="13" x14ac:dyDescent="0.15"/>
    <row r="8732" customFormat="1" ht="13" x14ac:dyDescent="0.15"/>
    <row r="8733" customFormat="1" ht="13" x14ac:dyDescent="0.15"/>
    <row r="8734" customFormat="1" ht="13" x14ac:dyDescent="0.15"/>
    <row r="8735" customFormat="1" ht="13" x14ac:dyDescent="0.15"/>
    <row r="8736" customFormat="1" ht="13" x14ac:dyDescent="0.15"/>
    <row r="8737" customFormat="1" ht="13" x14ac:dyDescent="0.15"/>
    <row r="8738" customFormat="1" ht="13" x14ac:dyDescent="0.15"/>
    <row r="8739" customFormat="1" ht="13" x14ac:dyDescent="0.15"/>
    <row r="8740" customFormat="1" ht="13" x14ac:dyDescent="0.15"/>
    <row r="8741" customFormat="1" ht="13" x14ac:dyDescent="0.15"/>
    <row r="8742" customFormat="1" ht="13" x14ac:dyDescent="0.15"/>
    <row r="8743" customFormat="1" ht="13" x14ac:dyDescent="0.15"/>
    <row r="8744" customFormat="1" ht="13" x14ac:dyDescent="0.15"/>
    <row r="8745" customFormat="1" ht="13" x14ac:dyDescent="0.15"/>
    <row r="8746" customFormat="1" ht="13" x14ac:dyDescent="0.15"/>
    <row r="8747" customFormat="1" ht="13" x14ac:dyDescent="0.15"/>
    <row r="8748" customFormat="1" ht="13" x14ac:dyDescent="0.15"/>
    <row r="8749" customFormat="1" ht="13" x14ac:dyDescent="0.15"/>
    <row r="8750" customFormat="1" ht="13" x14ac:dyDescent="0.15"/>
    <row r="8751" customFormat="1" ht="13" x14ac:dyDescent="0.15"/>
    <row r="8752" customFormat="1" ht="13" x14ac:dyDescent="0.15"/>
    <row r="8753" customFormat="1" ht="13" x14ac:dyDescent="0.15"/>
    <row r="8754" customFormat="1" ht="13" x14ac:dyDescent="0.15"/>
    <row r="8755" customFormat="1" ht="13" x14ac:dyDescent="0.15"/>
    <row r="8756" customFormat="1" ht="13" x14ac:dyDescent="0.15"/>
    <row r="8757" customFormat="1" ht="13" x14ac:dyDescent="0.15"/>
    <row r="8758" customFormat="1" ht="13" x14ac:dyDescent="0.15"/>
    <row r="8759" customFormat="1" ht="13" x14ac:dyDescent="0.15"/>
    <row r="8760" customFormat="1" ht="13" x14ac:dyDescent="0.15"/>
    <row r="8761" customFormat="1" ht="13" x14ac:dyDescent="0.15"/>
    <row r="8762" customFormat="1" ht="13" x14ac:dyDescent="0.15"/>
    <row r="8763" customFormat="1" ht="13" x14ac:dyDescent="0.15"/>
    <row r="8764" customFormat="1" ht="13" x14ac:dyDescent="0.15"/>
    <row r="8765" customFormat="1" ht="13" x14ac:dyDescent="0.15"/>
    <row r="8766" customFormat="1" ht="13" x14ac:dyDescent="0.15"/>
    <row r="8767" customFormat="1" ht="13" x14ac:dyDescent="0.15"/>
    <row r="8768" customFormat="1" ht="13" x14ac:dyDescent="0.15"/>
    <row r="8769" customFormat="1" ht="13" x14ac:dyDescent="0.15"/>
    <row r="8770" customFormat="1" ht="13" x14ac:dyDescent="0.15"/>
    <row r="8771" customFormat="1" ht="13" x14ac:dyDescent="0.15"/>
    <row r="8772" customFormat="1" ht="13" x14ac:dyDescent="0.15"/>
    <row r="8773" customFormat="1" ht="13" x14ac:dyDescent="0.15"/>
    <row r="8774" customFormat="1" ht="13" x14ac:dyDescent="0.15"/>
    <row r="8775" customFormat="1" ht="13" x14ac:dyDescent="0.15"/>
    <row r="8776" customFormat="1" ht="13" x14ac:dyDescent="0.15"/>
    <row r="8777" customFormat="1" ht="13" x14ac:dyDescent="0.15"/>
    <row r="8778" customFormat="1" ht="13" x14ac:dyDescent="0.15"/>
    <row r="8779" customFormat="1" ht="13" x14ac:dyDescent="0.15"/>
    <row r="8780" customFormat="1" ht="13" x14ac:dyDescent="0.15"/>
    <row r="8781" customFormat="1" ht="13" x14ac:dyDescent="0.15"/>
    <row r="8782" customFormat="1" ht="13" x14ac:dyDescent="0.15"/>
    <row r="8783" customFormat="1" ht="13" x14ac:dyDescent="0.15"/>
    <row r="8784" customFormat="1" ht="13" x14ac:dyDescent="0.15"/>
    <row r="8785" customFormat="1" ht="13" x14ac:dyDescent="0.15"/>
    <row r="8786" customFormat="1" ht="13" x14ac:dyDescent="0.15"/>
    <row r="8787" customFormat="1" ht="13" x14ac:dyDescent="0.15"/>
    <row r="8788" customFormat="1" ht="13" x14ac:dyDescent="0.15"/>
    <row r="8789" customFormat="1" ht="13" x14ac:dyDescent="0.15"/>
    <row r="8790" customFormat="1" ht="13" x14ac:dyDescent="0.15"/>
    <row r="8791" customFormat="1" ht="13" x14ac:dyDescent="0.15"/>
    <row r="8792" customFormat="1" ht="13" x14ac:dyDescent="0.15"/>
    <row r="8793" customFormat="1" ht="13" x14ac:dyDescent="0.15"/>
    <row r="8794" customFormat="1" ht="13" x14ac:dyDescent="0.15"/>
    <row r="8795" customFormat="1" ht="13" x14ac:dyDescent="0.15"/>
    <row r="8796" customFormat="1" ht="13" x14ac:dyDescent="0.15"/>
    <row r="8797" customFormat="1" ht="13" x14ac:dyDescent="0.15"/>
    <row r="8798" customFormat="1" ht="13" x14ac:dyDescent="0.15"/>
    <row r="8799" customFormat="1" ht="13" x14ac:dyDescent="0.15"/>
    <row r="8800" customFormat="1" ht="13" x14ac:dyDescent="0.15"/>
    <row r="8801" customFormat="1" ht="13" x14ac:dyDescent="0.15"/>
    <row r="8802" customFormat="1" ht="13" x14ac:dyDescent="0.15"/>
    <row r="8803" customFormat="1" ht="13" x14ac:dyDescent="0.15"/>
    <row r="8804" customFormat="1" ht="13" x14ac:dyDescent="0.15"/>
    <row r="8805" customFormat="1" ht="13" x14ac:dyDescent="0.15"/>
    <row r="8806" customFormat="1" ht="13" x14ac:dyDescent="0.15"/>
    <row r="8807" customFormat="1" ht="13" x14ac:dyDescent="0.15"/>
    <row r="8808" customFormat="1" ht="13" x14ac:dyDescent="0.15"/>
    <row r="8809" customFormat="1" ht="13" x14ac:dyDescent="0.15"/>
    <row r="8810" customFormat="1" ht="13" x14ac:dyDescent="0.15"/>
    <row r="8811" customFormat="1" ht="13" x14ac:dyDescent="0.15"/>
    <row r="8812" customFormat="1" ht="13" x14ac:dyDescent="0.15"/>
    <row r="8813" customFormat="1" ht="13" x14ac:dyDescent="0.15"/>
    <row r="8814" customFormat="1" ht="13" x14ac:dyDescent="0.15"/>
    <row r="8815" customFormat="1" ht="13" x14ac:dyDescent="0.15"/>
    <row r="8816" customFormat="1" ht="13" x14ac:dyDescent="0.15"/>
    <row r="8817" customFormat="1" ht="13" x14ac:dyDescent="0.15"/>
    <row r="8818" customFormat="1" ht="13" x14ac:dyDescent="0.15"/>
    <row r="8819" customFormat="1" ht="13" x14ac:dyDescent="0.15"/>
    <row r="8820" customFormat="1" ht="13" x14ac:dyDescent="0.15"/>
    <row r="8821" customFormat="1" ht="13" x14ac:dyDescent="0.15"/>
    <row r="8822" customFormat="1" ht="13" x14ac:dyDescent="0.15"/>
    <row r="8823" customFormat="1" ht="13" x14ac:dyDescent="0.15"/>
    <row r="8824" customFormat="1" ht="13" x14ac:dyDescent="0.15"/>
    <row r="8825" customFormat="1" ht="13" x14ac:dyDescent="0.15"/>
    <row r="8826" customFormat="1" ht="13" x14ac:dyDescent="0.15"/>
    <row r="8827" customFormat="1" ht="13" x14ac:dyDescent="0.15"/>
    <row r="8828" customFormat="1" ht="13" x14ac:dyDescent="0.15"/>
    <row r="8829" customFormat="1" ht="13" x14ac:dyDescent="0.15"/>
    <row r="8830" customFormat="1" ht="13" x14ac:dyDescent="0.15"/>
    <row r="8831" customFormat="1" ht="13" x14ac:dyDescent="0.15"/>
    <row r="8832" customFormat="1" ht="13" x14ac:dyDescent="0.15"/>
    <row r="8833" customFormat="1" ht="13" x14ac:dyDescent="0.15"/>
    <row r="8834" customFormat="1" ht="13" x14ac:dyDescent="0.15"/>
    <row r="8835" customFormat="1" ht="13" x14ac:dyDescent="0.15"/>
    <row r="8836" customFormat="1" ht="13" x14ac:dyDescent="0.15"/>
    <row r="8837" customFormat="1" ht="13" x14ac:dyDescent="0.15"/>
    <row r="8838" customFormat="1" ht="13" x14ac:dyDescent="0.15"/>
    <row r="8839" customFormat="1" ht="13" x14ac:dyDescent="0.15"/>
    <row r="8840" customFormat="1" ht="13" x14ac:dyDescent="0.15"/>
    <row r="8841" customFormat="1" ht="13" x14ac:dyDescent="0.15"/>
    <row r="8842" customFormat="1" ht="13" x14ac:dyDescent="0.15"/>
    <row r="8843" customFormat="1" ht="13" x14ac:dyDescent="0.15"/>
    <row r="8844" customFormat="1" ht="13" x14ac:dyDescent="0.15"/>
    <row r="8845" customFormat="1" ht="13" x14ac:dyDescent="0.15"/>
    <row r="8846" customFormat="1" ht="13" x14ac:dyDescent="0.15"/>
    <row r="8847" customFormat="1" ht="13" x14ac:dyDescent="0.15"/>
    <row r="8848" customFormat="1" ht="13" x14ac:dyDescent="0.15"/>
    <row r="8849" customFormat="1" ht="13" x14ac:dyDescent="0.15"/>
    <row r="8850" customFormat="1" ht="13" x14ac:dyDescent="0.15"/>
    <row r="8851" customFormat="1" ht="13" x14ac:dyDescent="0.15"/>
    <row r="8852" customFormat="1" ht="13" x14ac:dyDescent="0.15"/>
    <row r="8853" customFormat="1" ht="13" x14ac:dyDescent="0.15"/>
    <row r="8854" customFormat="1" ht="13" x14ac:dyDescent="0.15"/>
    <row r="8855" customFormat="1" ht="13" x14ac:dyDescent="0.15"/>
    <row r="8856" customFormat="1" ht="13" x14ac:dyDescent="0.15"/>
    <row r="8857" customFormat="1" ht="13" x14ac:dyDescent="0.15"/>
    <row r="8858" customFormat="1" ht="13" x14ac:dyDescent="0.15"/>
    <row r="8859" customFormat="1" ht="13" x14ac:dyDescent="0.15"/>
    <row r="8860" customFormat="1" ht="13" x14ac:dyDescent="0.15"/>
    <row r="8861" customFormat="1" ht="13" x14ac:dyDescent="0.15"/>
    <row r="8862" customFormat="1" ht="13" x14ac:dyDescent="0.15"/>
    <row r="8863" customFormat="1" ht="13" x14ac:dyDescent="0.15"/>
    <row r="8864" customFormat="1" ht="13" x14ac:dyDescent="0.15"/>
    <row r="8865" customFormat="1" ht="13" x14ac:dyDescent="0.15"/>
    <row r="8866" customFormat="1" ht="13" x14ac:dyDescent="0.15"/>
    <row r="8867" customFormat="1" ht="13" x14ac:dyDescent="0.15"/>
    <row r="8868" customFormat="1" ht="13" x14ac:dyDescent="0.15"/>
    <row r="8869" customFormat="1" ht="13" x14ac:dyDescent="0.15"/>
    <row r="8870" customFormat="1" ht="13" x14ac:dyDescent="0.15"/>
    <row r="8871" customFormat="1" ht="13" x14ac:dyDescent="0.15"/>
    <row r="8872" customFormat="1" ht="13" x14ac:dyDescent="0.15"/>
    <row r="8873" customFormat="1" ht="13" x14ac:dyDescent="0.15"/>
    <row r="8874" customFormat="1" ht="13" x14ac:dyDescent="0.15"/>
    <row r="8875" customFormat="1" ht="13" x14ac:dyDescent="0.15"/>
    <row r="8876" customFormat="1" ht="13" x14ac:dyDescent="0.15"/>
    <row r="8877" customFormat="1" ht="13" x14ac:dyDescent="0.15"/>
    <row r="8878" customFormat="1" ht="13" x14ac:dyDescent="0.15"/>
    <row r="8879" customFormat="1" ht="13" x14ac:dyDescent="0.15"/>
    <row r="8880" customFormat="1" ht="13" x14ac:dyDescent="0.15"/>
    <row r="8881" customFormat="1" ht="13" x14ac:dyDescent="0.15"/>
    <row r="8882" customFormat="1" ht="13" x14ac:dyDescent="0.15"/>
    <row r="8883" customFormat="1" ht="13" x14ac:dyDescent="0.15"/>
    <row r="8884" customFormat="1" ht="13" x14ac:dyDescent="0.15"/>
    <row r="8885" customFormat="1" ht="13" x14ac:dyDescent="0.15"/>
    <row r="8886" customFormat="1" ht="13" x14ac:dyDescent="0.15"/>
    <row r="8887" customFormat="1" ht="13" x14ac:dyDescent="0.15"/>
    <row r="8888" customFormat="1" ht="13" x14ac:dyDescent="0.15"/>
    <row r="8889" customFormat="1" ht="13" x14ac:dyDescent="0.15"/>
    <row r="8890" customFormat="1" ht="13" x14ac:dyDescent="0.15"/>
    <row r="8891" customFormat="1" ht="13" x14ac:dyDescent="0.15"/>
    <row r="8892" customFormat="1" ht="13" x14ac:dyDescent="0.15"/>
    <row r="8893" customFormat="1" ht="13" x14ac:dyDescent="0.15"/>
    <row r="8894" customFormat="1" ht="13" x14ac:dyDescent="0.15"/>
    <row r="8895" customFormat="1" ht="13" x14ac:dyDescent="0.15"/>
    <row r="8896" customFormat="1" ht="13" x14ac:dyDescent="0.15"/>
    <row r="8897" customFormat="1" ht="13" x14ac:dyDescent="0.15"/>
    <row r="8898" customFormat="1" ht="13" x14ac:dyDescent="0.15"/>
    <row r="8899" customFormat="1" ht="13" x14ac:dyDescent="0.15"/>
    <row r="8900" customFormat="1" ht="13" x14ac:dyDescent="0.15"/>
    <row r="8901" customFormat="1" ht="13" x14ac:dyDescent="0.15"/>
    <row r="8902" customFormat="1" ht="13" x14ac:dyDescent="0.15"/>
    <row r="8903" customFormat="1" ht="13" x14ac:dyDescent="0.15"/>
    <row r="8904" customFormat="1" ht="13" x14ac:dyDescent="0.15"/>
    <row r="8905" customFormat="1" ht="13" x14ac:dyDescent="0.15"/>
    <row r="8906" customFormat="1" ht="13" x14ac:dyDescent="0.15"/>
    <row r="8907" customFormat="1" ht="13" x14ac:dyDescent="0.15"/>
    <row r="8908" customFormat="1" ht="13" x14ac:dyDescent="0.15"/>
    <row r="8909" customFormat="1" ht="13" x14ac:dyDescent="0.15"/>
    <row r="8910" customFormat="1" ht="13" x14ac:dyDescent="0.15"/>
    <row r="8911" customFormat="1" ht="13" x14ac:dyDescent="0.15"/>
    <row r="8912" customFormat="1" ht="13" x14ac:dyDescent="0.15"/>
    <row r="8913" customFormat="1" ht="13" x14ac:dyDescent="0.15"/>
    <row r="8914" customFormat="1" ht="13" x14ac:dyDescent="0.15"/>
    <row r="8915" customFormat="1" ht="13" x14ac:dyDescent="0.15"/>
    <row r="8916" customFormat="1" ht="13" x14ac:dyDescent="0.15"/>
    <row r="8917" customFormat="1" ht="13" x14ac:dyDescent="0.15"/>
    <row r="8918" customFormat="1" ht="13" x14ac:dyDescent="0.15"/>
    <row r="8919" customFormat="1" ht="13" x14ac:dyDescent="0.15"/>
    <row r="8920" customFormat="1" ht="13" x14ac:dyDescent="0.15"/>
    <row r="8921" customFormat="1" ht="13" x14ac:dyDescent="0.15"/>
    <row r="8922" customFormat="1" ht="13" x14ac:dyDescent="0.15"/>
    <row r="8923" customFormat="1" ht="13" x14ac:dyDescent="0.15"/>
    <row r="8924" customFormat="1" ht="13" x14ac:dyDescent="0.15"/>
    <row r="8925" customFormat="1" ht="13" x14ac:dyDescent="0.15"/>
    <row r="8926" customFormat="1" ht="13" x14ac:dyDescent="0.15"/>
    <row r="8927" customFormat="1" ht="13" x14ac:dyDescent="0.15"/>
    <row r="8928" customFormat="1" ht="13" x14ac:dyDescent="0.15"/>
    <row r="8929" customFormat="1" ht="13" x14ac:dyDescent="0.15"/>
    <row r="8930" customFormat="1" ht="13" x14ac:dyDescent="0.15"/>
    <row r="8931" customFormat="1" ht="13" x14ac:dyDescent="0.15"/>
    <row r="8932" customFormat="1" ht="13" x14ac:dyDescent="0.15"/>
    <row r="8933" customFormat="1" ht="13" x14ac:dyDescent="0.15"/>
    <row r="8934" customFormat="1" ht="13" x14ac:dyDescent="0.15"/>
    <row r="8935" customFormat="1" ht="13" x14ac:dyDescent="0.15"/>
    <row r="8936" customFormat="1" ht="13" x14ac:dyDescent="0.15"/>
    <row r="8937" customFormat="1" ht="13" x14ac:dyDescent="0.15"/>
    <row r="8938" customFormat="1" ht="13" x14ac:dyDescent="0.15"/>
    <row r="8939" customFormat="1" ht="13" x14ac:dyDescent="0.15"/>
    <row r="8940" customFormat="1" ht="13" x14ac:dyDescent="0.15"/>
    <row r="8941" customFormat="1" ht="13" x14ac:dyDescent="0.15"/>
    <row r="8942" customFormat="1" ht="13" x14ac:dyDescent="0.15"/>
    <row r="8943" customFormat="1" ht="13" x14ac:dyDescent="0.15"/>
    <row r="8944" customFormat="1" ht="13" x14ac:dyDescent="0.15"/>
    <row r="8945" customFormat="1" ht="13" x14ac:dyDescent="0.15"/>
    <row r="8946" customFormat="1" ht="13" x14ac:dyDescent="0.15"/>
    <row r="8947" customFormat="1" ht="13" x14ac:dyDescent="0.15"/>
    <row r="8948" customFormat="1" ht="13" x14ac:dyDescent="0.15"/>
    <row r="8949" customFormat="1" ht="13" x14ac:dyDescent="0.15"/>
    <row r="8950" customFormat="1" ht="13" x14ac:dyDescent="0.15"/>
    <row r="8951" customFormat="1" ht="13" x14ac:dyDescent="0.15"/>
    <row r="8952" customFormat="1" ht="13" x14ac:dyDescent="0.15"/>
    <row r="8953" customFormat="1" ht="13" x14ac:dyDescent="0.15"/>
    <row r="8954" customFormat="1" ht="13" x14ac:dyDescent="0.15"/>
    <row r="8955" customFormat="1" ht="13" x14ac:dyDescent="0.15"/>
    <row r="8956" customFormat="1" ht="13" x14ac:dyDescent="0.15"/>
    <row r="8957" customFormat="1" ht="13" x14ac:dyDescent="0.15"/>
    <row r="8958" customFormat="1" ht="13" x14ac:dyDescent="0.15"/>
    <row r="8959" customFormat="1" ht="13" x14ac:dyDescent="0.15"/>
    <row r="8960" customFormat="1" ht="13" x14ac:dyDescent="0.15"/>
    <row r="8961" customFormat="1" ht="13" x14ac:dyDescent="0.15"/>
    <row r="8962" customFormat="1" ht="13" x14ac:dyDescent="0.15"/>
    <row r="8963" customFormat="1" ht="13" x14ac:dyDescent="0.15"/>
    <row r="8964" customFormat="1" ht="13" x14ac:dyDescent="0.15"/>
    <row r="8965" customFormat="1" ht="13" x14ac:dyDescent="0.15"/>
    <row r="8966" customFormat="1" ht="13" x14ac:dyDescent="0.15"/>
    <row r="8967" customFormat="1" ht="13" x14ac:dyDescent="0.15"/>
    <row r="8968" customFormat="1" ht="13" x14ac:dyDescent="0.15"/>
    <row r="8969" customFormat="1" ht="13" x14ac:dyDescent="0.15"/>
    <row r="8970" customFormat="1" ht="13" x14ac:dyDescent="0.15"/>
    <row r="8971" customFormat="1" ht="13" x14ac:dyDescent="0.15"/>
    <row r="8972" customFormat="1" ht="13" x14ac:dyDescent="0.15"/>
    <row r="8973" customFormat="1" ht="13" x14ac:dyDescent="0.15"/>
    <row r="8974" customFormat="1" ht="13" x14ac:dyDescent="0.15"/>
    <row r="8975" customFormat="1" ht="13" x14ac:dyDescent="0.15"/>
    <row r="8976" customFormat="1" ht="13" x14ac:dyDescent="0.15"/>
    <row r="8977" customFormat="1" ht="13" x14ac:dyDescent="0.15"/>
    <row r="8978" customFormat="1" ht="13" x14ac:dyDescent="0.15"/>
    <row r="8979" customFormat="1" ht="13" x14ac:dyDescent="0.15"/>
    <row r="8980" customFormat="1" ht="13" x14ac:dyDescent="0.15"/>
    <row r="8981" customFormat="1" ht="13" x14ac:dyDescent="0.15"/>
    <row r="8982" customFormat="1" ht="13" x14ac:dyDescent="0.15"/>
    <row r="8983" customFormat="1" ht="13" x14ac:dyDescent="0.15"/>
    <row r="8984" customFormat="1" ht="13" x14ac:dyDescent="0.15"/>
    <row r="8985" customFormat="1" ht="13" x14ac:dyDescent="0.15"/>
    <row r="8986" customFormat="1" ht="13" x14ac:dyDescent="0.15"/>
    <row r="8987" customFormat="1" ht="13" x14ac:dyDescent="0.15"/>
    <row r="8988" customFormat="1" ht="13" x14ac:dyDescent="0.15"/>
    <row r="8989" customFormat="1" ht="13" x14ac:dyDescent="0.15"/>
    <row r="8990" customFormat="1" ht="13" x14ac:dyDescent="0.15"/>
    <row r="8991" customFormat="1" ht="13" x14ac:dyDescent="0.15"/>
    <row r="8992" customFormat="1" ht="13" x14ac:dyDescent="0.15"/>
    <row r="8993" customFormat="1" ht="13" x14ac:dyDescent="0.15"/>
    <row r="8994" customFormat="1" ht="13" x14ac:dyDescent="0.15"/>
    <row r="8995" customFormat="1" ht="13" x14ac:dyDescent="0.15"/>
    <row r="8996" customFormat="1" ht="13" x14ac:dyDescent="0.15"/>
    <row r="8997" customFormat="1" ht="13" x14ac:dyDescent="0.15"/>
    <row r="8998" customFormat="1" ht="13" x14ac:dyDescent="0.15"/>
    <row r="8999" customFormat="1" ht="13" x14ac:dyDescent="0.15"/>
    <row r="9000" customFormat="1" ht="13" x14ac:dyDescent="0.15"/>
    <row r="9001" customFormat="1" ht="13" x14ac:dyDescent="0.15"/>
    <row r="9002" customFormat="1" ht="13" x14ac:dyDescent="0.15"/>
    <row r="9003" customFormat="1" ht="13" x14ac:dyDescent="0.15"/>
    <row r="9004" customFormat="1" ht="13" x14ac:dyDescent="0.15"/>
    <row r="9005" customFormat="1" ht="13" x14ac:dyDescent="0.15"/>
    <row r="9006" customFormat="1" ht="13" x14ac:dyDescent="0.15"/>
    <row r="9007" customFormat="1" ht="13" x14ac:dyDescent="0.15"/>
    <row r="9008" customFormat="1" ht="13" x14ac:dyDescent="0.15"/>
    <row r="9009" customFormat="1" ht="13" x14ac:dyDescent="0.15"/>
    <row r="9010" customFormat="1" ht="13" x14ac:dyDescent="0.15"/>
    <row r="9011" customFormat="1" ht="13" x14ac:dyDescent="0.15"/>
    <row r="9012" customFormat="1" ht="13" x14ac:dyDescent="0.15"/>
    <row r="9013" customFormat="1" ht="13" x14ac:dyDescent="0.15"/>
    <row r="9014" customFormat="1" ht="13" x14ac:dyDescent="0.15"/>
    <row r="9015" customFormat="1" ht="13" x14ac:dyDescent="0.15"/>
    <row r="9016" customFormat="1" ht="13" x14ac:dyDescent="0.15"/>
    <row r="9017" customFormat="1" ht="13" x14ac:dyDescent="0.15"/>
    <row r="9018" customFormat="1" ht="13" x14ac:dyDescent="0.15"/>
    <row r="9019" customFormat="1" ht="13" x14ac:dyDescent="0.15"/>
    <row r="9020" customFormat="1" ht="13" x14ac:dyDescent="0.15"/>
    <row r="9021" customFormat="1" ht="13" x14ac:dyDescent="0.15"/>
    <row r="9022" customFormat="1" ht="13" x14ac:dyDescent="0.15"/>
    <row r="9023" customFormat="1" ht="13" x14ac:dyDescent="0.15"/>
    <row r="9024" customFormat="1" ht="13" x14ac:dyDescent="0.15"/>
    <row r="9025" customFormat="1" ht="13" x14ac:dyDescent="0.15"/>
    <row r="9026" customFormat="1" ht="13" x14ac:dyDescent="0.15"/>
    <row r="9027" customFormat="1" ht="13" x14ac:dyDescent="0.15"/>
    <row r="9028" customFormat="1" ht="13" x14ac:dyDescent="0.15"/>
    <row r="9029" customFormat="1" ht="13" x14ac:dyDescent="0.15"/>
    <row r="9030" customFormat="1" ht="13" x14ac:dyDescent="0.15"/>
    <row r="9031" customFormat="1" ht="13" x14ac:dyDescent="0.15"/>
    <row r="9032" customFormat="1" ht="13" x14ac:dyDescent="0.15"/>
    <row r="9033" customFormat="1" ht="13" x14ac:dyDescent="0.15"/>
    <row r="9034" customFormat="1" ht="13" x14ac:dyDescent="0.15"/>
    <row r="9035" customFormat="1" ht="13" x14ac:dyDescent="0.15"/>
    <row r="9036" customFormat="1" ht="13" x14ac:dyDescent="0.15"/>
    <row r="9037" customFormat="1" ht="13" x14ac:dyDescent="0.15"/>
    <row r="9038" customFormat="1" ht="13" x14ac:dyDescent="0.15"/>
    <row r="9039" customFormat="1" ht="13" x14ac:dyDescent="0.15"/>
    <row r="9040" customFormat="1" ht="13" x14ac:dyDescent="0.15"/>
    <row r="9041" customFormat="1" ht="13" x14ac:dyDescent="0.15"/>
    <row r="9042" customFormat="1" ht="13" x14ac:dyDescent="0.15"/>
    <row r="9043" customFormat="1" ht="13" x14ac:dyDescent="0.15"/>
    <row r="9044" customFormat="1" ht="13" x14ac:dyDescent="0.15"/>
    <row r="9045" customFormat="1" ht="13" x14ac:dyDescent="0.15"/>
    <row r="9046" customFormat="1" ht="13" x14ac:dyDescent="0.15"/>
    <row r="9047" customFormat="1" ht="13" x14ac:dyDescent="0.15"/>
    <row r="9048" customFormat="1" ht="13" x14ac:dyDescent="0.15"/>
    <row r="9049" customFormat="1" ht="13" x14ac:dyDescent="0.15"/>
    <row r="9050" customFormat="1" ht="13" x14ac:dyDescent="0.15"/>
    <row r="9051" customFormat="1" ht="13" x14ac:dyDescent="0.15"/>
    <row r="9052" customFormat="1" ht="13" x14ac:dyDescent="0.15"/>
    <row r="9053" customFormat="1" ht="13" x14ac:dyDescent="0.15"/>
    <row r="9054" customFormat="1" ht="13" x14ac:dyDescent="0.15"/>
    <row r="9055" customFormat="1" ht="13" x14ac:dyDescent="0.15"/>
    <row r="9056" customFormat="1" ht="13" x14ac:dyDescent="0.15"/>
    <row r="9057" customFormat="1" ht="13" x14ac:dyDescent="0.15"/>
    <row r="9058" customFormat="1" ht="13" x14ac:dyDescent="0.15"/>
    <row r="9059" customFormat="1" ht="13" x14ac:dyDescent="0.15"/>
    <row r="9060" customFormat="1" ht="13" x14ac:dyDescent="0.15"/>
    <row r="9061" customFormat="1" ht="13" x14ac:dyDescent="0.15"/>
    <row r="9062" customFormat="1" ht="13" x14ac:dyDescent="0.15"/>
    <row r="9063" customFormat="1" ht="13" x14ac:dyDescent="0.15"/>
    <row r="9064" customFormat="1" ht="13" x14ac:dyDescent="0.15"/>
    <row r="9065" customFormat="1" ht="13" x14ac:dyDescent="0.15"/>
    <row r="9066" customFormat="1" ht="13" x14ac:dyDescent="0.15"/>
    <row r="9067" customFormat="1" ht="13" x14ac:dyDescent="0.15"/>
    <row r="9068" customFormat="1" ht="13" x14ac:dyDescent="0.15"/>
    <row r="9069" customFormat="1" ht="13" x14ac:dyDescent="0.15"/>
    <row r="9070" customFormat="1" ht="13" x14ac:dyDescent="0.15"/>
    <row r="9071" customFormat="1" ht="13" x14ac:dyDescent="0.15"/>
    <row r="9072" customFormat="1" ht="13" x14ac:dyDescent="0.15"/>
    <row r="9073" customFormat="1" ht="13" x14ac:dyDescent="0.15"/>
    <row r="9074" customFormat="1" ht="13" x14ac:dyDescent="0.15"/>
    <row r="9075" customFormat="1" ht="13" x14ac:dyDescent="0.15"/>
    <row r="9076" customFormat="1" ht="13" x14ac:dyDescent="0.15"/>
    <row r="9077" customFormat="1" ht="13" x14ac:dyDescent="0.15"/>
    <row r="9078" customFormat="1" ht="13" x14ac:dyDescent="0.15"/>
    <row r="9079" customFormat="1" ht="13" x14ac:dyDescent="0.15"/>
    <row r="9080" customFormat="1" ht="13" x14ac:dyDescent="0.15"/>
    <row r="9081" customFormat="1" ht="13" x14ac:dyDescent="0.15"/>
    <row r="9082" customFormat="1" ht="13" x14ac:dyDescent="0.15"/>
    <row r="9083" customFormat="1" ht="13" x14ac:dyDescent="0.15"/>
    <row r="9084" customFormat="1" ht="13" x14ac:dyDescent="0.15"/>
    <row r="9085" customFormat="1" ht="13" x14ac:dyDescent="0.15"/>
    <row r="9086" customFormat="1" ht="13" x14ac:dyDescent="0.15"/>
    <row r="9087" customFormat="1" ht="13" x14ac:dyDescent="0.15"/>
    <row r="9088" customFormat="1" ht="13" x14ac:dyDescent="0.15"/>
    <row r="9089" customFormat="1" ht="13" x14ac:dyDescent="0.15"/>
    <row r="9090" customFormat="1" ht="13" x14ac:dyDescent="0.15"/>
    <row r="9091" customFormat="1" ht="13" x14ac:dyDescent="0.15"/>
    <row r="9092" customFormat="1" ht="13" x14ac:dyDescent="0.15"/>
    <row r="9093" customFormat="1" ht="13" x14ac:dyDescent="0.15"/>
    <row r="9094" customFormat="1" ht="13" x14ac:dyDescent="0.15"/>
    <row r="9095" customFormat="1" ht="13" x14ac:dyDescent="0.15"/>
    <row r="9096" customFormat="1" ht="13" x14ac:dyDescent="0.15"/>
    <row r="9097" customFormat="1" ht="13" x14ac:dyDescent="0.15"/>
    <row r="9098" customFormat="1" ht="13" x14ac:dyDescent="0.15"/>
    <row r="9099" customFormat="1" ht="13" x14ac:dyDescent="0.15"/>
    <row r="9100" customFormat="1" ht="13" x14ac:dyDescent="0.15"/>
    <row r="9101" customFormat="1" ht="13" x14ac:dyDescent="0.15"/>
    <row r="9102" customFormat="1" ht="13" x14ac:dyDescent="0.15"/>
    <row r="9103" customFormat="1" ht="13" x14ac:dyDescent="0.15"/>
    <row r="9104" customFormat="1" ht="13" x14ac:dyDescent="0.15"/>
    <row r="9105" customFormat="1" ht="13" x14ac:dyDescent="0.15"/>
    <row r="9106" customFormat="1" ht="13" x14ac:dyDescent="0.15"/>
    <row r="9107" customFormat="1" ht="13" x14ac:dyDescent="0.15"/>
    <row r="9108" customFormat="1" ht="13" x14ac:dyDescent="0.15"/>
    <row r="9109" customFormat="1" ht="13" x14ac:dyDescent="0.15"/>
    <row r="9110" customFormat="1" ht="13" x14ac:dyDescent="0.15"/>
    <row r="9111" customFormat="1" ht="13" x14ac:dyDescent="0.15"/>
    <row r="9112" customFormat="1" ht="13" x14ac:dyDescent="0.15"/>
    <row r="9113" customFormat="1" ht="13" x14ac:dyDescent="0.15"/>
    <row r="9114" customFormat="1" ht="13" x14ac:dyDescent="0.15"/>
    <row r="9115" customFormat="1" ht="13" x14ac:dyDescent="0.15"/>
    <row r="9116" customFormat="1" ht="13" x14ac:dyDescent="0.15"/>
    <row r="9117" customFormat="1" ht="13" x14ac:dyDescent="0.15"/>
    <row r="9118" customFormat="1" ht="13" x14ac:dyDescent="0.15"/>
    <row r="9119" customFormat="1" ht="13" x14ac:dyDescent="0.15"/>
    <row r="9120" customFormat="1" ht="13" x14ac:dyDescent="0.15"/>
    <row r="9121" customFormat="1" ht="13" x14ac:dyDescent="0.15"/>
    <row r="9122" customFormat="1" ht="13" x14ac:dyDescent="0.15"/>
    <row r="9123" customFormat="1" ht="13" x14ac:dyDescent="0.15"/>
    <row r="9124" customFormat="1" ht="13" x14ac:dyDescent="0.15"/>
    <row r="9125" customFormat="1" ht="13" x14ac:dyDescent="0.15"/>
    <row r="9126" customFormat="1" ht="13" x14ac:dyDescent="0.15"/>
    <row r="9127" customFormat="1" ht="13" x14ac:dyDescent="0.15"/>
    <row r="9128" customFormat="1" ht="13" x14ac:dyDescent="0.15"/>
    <row r="9129" customFormat="1" ht="13" x14ac:dyDescent="0.15"/>
    <row r="9130" customFormat="1" ht="13" x14ac:dyDescent="0.15"/>
    <row r="9131" customFormat="1" ht="13" x14ac:dyDescent="0.15"/>
    <row r="9132" customFormat="1" ht="13" x14ac:dyDescent="0.15"/>
    <row r="9133" customFormat="1" ht="13" x14ac:dyDescent="0.15"/>
    <row r="9134" customFormat="1" ht="13" x14ac:dyDescent="0.15"/>
    <row r="9135" customFormat="1" ht="13" x14ac:dyDescent="0.15"/>
    <row r="9136" customFormat="1" ht="13" x14ac:dyDescent="0.15"/>
    <row r="9137" customFormat="1" ht="13" x14ac:dyDescent="0.15"/>
    <row r="9138" customFormat="1" ht="13" x14ac:dyDescent="0.15"/>
    <row r="9139" customFormat="1" ht="13" x14ac:dyDescent="0.15"/>
    <row r="9140" customFormat="1" ht="13" x14ac:dyDescent="0.15"/>
    <row r="9141" customFormat="1" ht="13" x14ac:dyDescent="0.15"/>
    <row r="9142" customFormat="1" ht="13" x14ac:dyDescent="0.15"/>
    <row r="9143" customFormat="1" ht="13" x14ac:dyDescent="0.15"/>
    <row r="9144" customFormat="1" ht="13" x14ac:dyDescent="0.15"/>
    <row r="9145" customFormat="1" ht="13" x14ac:dyDescent="0.15"/>
    <row r="9146" customFormat="1" ht="13" x14ac:dyDescent="0.15"/>
    <row r="9147" customFormat="1" ht="13" x14ac:dyDescent="0.15"/>
    <row r="9148" customFormat="1" ht="13" x14ac:dyDescent="0.15"/>
    <row r="9149" customFormat="1" ht="13" x14ac:dyDescent="0.15"/>
    <row r="9150" customFormat="1" ht="13" x14ac:dyDescent="0.15"/>
    <row r="9151" customFormat="1" ht="13" x14ac:dyDescent="0.15"/>
    <row r="9152" customFormat="1" ht="13" x14ac:dyDescent="0.15"/>
    <row r="9153" customFormat="1" ht="13" x14ac:dyDescent="0.15"/>
    <row r="9154" customFormat="1" ht="13" x14ac:dyDescent="0.15"/>
    <row r="9155" customFormat="1" ht="13" x14ac:dyDescent="0.15"/>
    <row r="9156" customFormat="1" ht="13" x14ac:dyDescent="0.15"/>
    <row r="9157" customFormat="1" ht="13" x14ac:dyDescent="0.15"/>
    <row r="9158" customFormat="1" ht="13" x14ac:dyDescent="0.15"/>
    <row r="9159" customFormat="1" ht="13" x14ac:dyDescent="0.15"/>
    <row r="9160" customFormat="1" ht="13" x14ac:dyDescent="0.15"/>
    <row r="9161" customFormat="1" ht="13" x14ac:dyDescent="0.15"/>
    <row r="9162" customFormat="1" ht="13" x14ac:dyDescent="0.15"/>
    <row r="9163" customFormat="1" ht="13" x14ac:dyDescent="0.15"/>
    <row r="9164" customFormat="1" ht="13" x14ac:dyDescent="0.15"/>
    <row r="9165" customFormat="1" ht="13" x14ac:dyDescent="0.15"/>
    <row r="9166" customFormat="1" ht="13" x14ac:dyDescent="0.15"/>
    <row r="9167" customFormat="1" ht="13" x14ac:dyDescent="0.15"/>
    <row r="9168" customFormat="1" ht="13" x14ac:dyDescent="0.15"/>
    <row r="9169" customFormat="1" ht="13" x14ac:dyDescent="0.15"/>
    <row r="9170" customFormat="1" ht="13" x14ac:dyDescent="0.15"/>
    <row r="9171" customFormat="1" ht="13" x14ac:dyDescent="0.15"/>
    <row r="9172" customFormat="1" ht="13" x14ac:dyDescent="0.15"/>
    <row r="9173" customFormat="1" ht="13" x14ac:dyDescent="0.15"/>
    <row r="9174" customFormat="1" ht="13" x14ac:dyDescent="0.15"/>
    <row r="9175" customFormat="1" ht="13" x14ac:dyDescent="0.15"/>
    <row r="9176" customFormat="1" ht="13" x14ac:dyDescent="0.15"/>
    <row r="9177" customFormat="1" ht="13" x14ac:dyDescent="0.15"/>
    <row r="9178" customFormat="1" ht="13" x14ac:dyDescent="0.15"/>
    <row r="9179" customFormat="1" ht="13" x14ac:dyDescent="0.15"/>
    <row r="9180" customFormat="1" ht="13" x14ac:dyDescent="0.15"/>
    <row r="9181" customFormat="1" ht="13" x14ac:dyDescent="0.15"/>
    <row r="9182" customFormat="1" ht="13" x14ac:dyDescent="0.15"/>
    <row r="9183" customFormat="1" ht="13" x14ac:dyDescent="0.15"/>
    <row r="9184" customFormat="1" ht="13" x14ac:dyDescent="0.15"/>
    <row r="9185" customFormat="1" ht="13" x14ac:dyDescent="0.15"/>
    <row r="9186" customFormat="1" ht="13" x14ac:dyDescent="0.15"/>
    <row r="9187" customFormat="1" ht="13" x14ac:dyDescent="0.15"/>
    <row r="9188" customFormat="1" ht="13" x14ac:dyDescent="0.15"/>
    <row r="9189" customFormat="1" ht="13" x14ac:dyDescent="0.15"/>
    <row r="9190" customFormat="1" ht="13" x14ac:dyDescent="0.15"/>
    <row r="9191" customFormat="1" ht="13" x14ac:dyDescent="0.15"/>
    <row r="9192" customFormat="1" ht="13" x14ac:dyDescent="0.15"/>
    <row r="9193" customFormat="1" ht="13" x14ac:dyDescent="0.15"/>
    <row r="9194" customFormat="1" ht="13" x14ac:dyDescent="0.15"/>
    <row r="9195" customFormat="1" ht="13" x14ac:dyDescent="0.15"/>
    <row r="9196" customFormat="1" ht="13" x14ac:dyDescent="0.15"/>
    <row r="9197" customFormat="1" ht="13" x14ac:dyDescent="0.15"/>
    <row r="9198" customFormat="1" ht="13" x14ac:dyDescent="0.15"/>
    <row r="9199" customFormat="1" ht="13" x14ac:dyDescent="0.15"/>
    <row r="9200" customFormat="1" ht="13" x14ac:dyDescent="0.15"/>
    <row r="9201" customFormat="1" ht="13" x14ac:dyDescent="0.15"/>
    <row r="9202" customFormat="1" ht="13" x14ac:dyDescent="0.15"/>
    <row r="9203" customFormat="1" ht="13" x14ac:dyDescent="0.15"/>
    <row r="9204" customFormat="1" ht="13" x14ac:dyDescent="0.15"/>
    <row r="9205" customFormat="1" ht="13" x14ac:dyDescent="0.15"/>
    <row r="9206" customFormat="1" ht="13" x14ac:dyDescent="0.15"/>
    <row r="9207" customFormat="1" ht="13" x14ac:dyDescent="0.15"/>
    <row r="9208" customFormat="1" ht="13" x14ac:dyDescent="0.15"/>
    <row r="9209" customFormat="1" ht="13" x14ac:dyDescent="0.15"/>
    <row r="9210" customFormat="1" ht="13" x14ac:dyDescent="0.15"/>
    <row r="9211" customFormat="1" ht="13" x14ac:dyDescent="0.15"/>
    <row r="9212" customFormat="1" ht="13" x14ac:dyDescent="0.15"/>
    <row r="9213" customFormat="1" ht="13" x14ac:dyDescent="0.15"/>
    <row r="9214" customFormat="1" ht="13" x14ac:dyDescent="0.15"/>
    <row r="9215" customFormat="1" ht="13" x14ac:dyDescent="0.15"/>
    <row r="9216" customFormat="1" ht="13" x14ac:dyDescent="0.15"/>
    <row r="9217" customFormat="1" ht="13" x14ac:dyDescent="0.15"/>
    <row r="9218" customFormat="1" ht="13" x14ac:dyDescent="0.15"/>
    <row r="9219" customFormat="1" ht="13" x14ac:dyDescent="0.15"/>
    <row r="9220" customFormat="1" ht="13" x14ac:dyDescent="0.15"/>
    <row r="9221" customFormat="1" ht="13" x14ac:dyDescent="0.15"/>
    <row r="9222" customFormat="1" ht="13" x14ac:dyDescent="0.15"/>
    <row r="9223" customFormat="1" ht="13" x14ac:dyDescent="0.15"/>
    <row r="9224" customFormat="1" ht="13" x14ac:dyDescent="0.15"/>
    <row r="9225" customFormat="1" ht="13" x14ac:dyDescent="0.15"/>
    <row r="9226" customFormat="1" ht="13" x14ac:dyDescent="0.15"/>
    <row r="9227" customFormat="1" ht="13" x14ac:dyDescent="0.15"/>
    <row r="9228" customFormat="1" ht="13" x14ac:dyDescent="0.15"/>
    <row r="9229" customFormat="1" ht="13" x14ac:dyDescent="0.15"/>
    <row r="9230" customFormat="1" ht="13" x14ac:dyDescent="0.15"/>
    <row r="9231" customFormat="1" ht="13" x14ac:dyDescent="0.15"/>
    <row r="9232" customFormat="1" ht="13" x14ac:dyDescent="0.15"/>
    <row r="9233" customFormat="1" ht="13" x14ac:dyDescent="0.15"/>
    <row r="9234" customFormat="1" ht="13" x14ac:dyDescent="0.15"/>
    <row r="9235" customFormat="1" ht="13" x14ac:dyDescent="0.15"/>
    <row r="9236" customFormat="1" ht="13" x14ac:dyDescent="0.15"/>
    <row r="9237" customFormat="1" ht="13" x14ac:dyDescent="0.15"/>
    <row r="9238" customFormat="1" ht="13" x14ac:dyDescent="0.15"/>
    <row r="9239" customFormat="1" ht="13" x14ac:dyDescent="0.15"/>
    <row r="9240" customFormat="1" ht="13" x14ac:dyDescent="0.15"/>
    <row r="9241" customFormat="1" ht="13" x14ac:dyDescent="0.15"/>
    <row r="9242" customFormat="1" ht="13" x14ac:dyDescent="0.15"/>
    <row r="9243" customFormat="1" ht="13" x14ac:dyDescent="0.15"/>
    <row r="9244" customFormat="1" ht="13" x14ac:dyDescent="0.15"/>
    <row r="9245" customFormat="1" ht="13" x14ac:dyDescent="0.15"/>
    <row r="9246" customFormat="1" ht="13" x14ac:dyDescent="0.15"/>
    <row r="9247" customFormat="1" ht="13" x14ac:dyDescent="0.15"/>
    <row r="9248" customFormat="1" ht="13" x14ac:dyDescent="0.15"/>
    <row r="9249" customFormat="1" ht="13" x14ac:dyDescent="0.15"/>
    <row r="9250" customFormat="1" ht="13" x14ac:dyDescent="0.15"/>
    <row r="9251" customFormat="1" ht="13" x14ac:dyDescent="0.15"/>
    <row r="9252" customFormat="1" ht="13" x14ac:dyDescent="0.15"/>
    <row r="9253" customFormat="1" ht="13" x14ac:dyDescent="0.15"/>
    <row r="9254" customFormat="1" ht="13" x14ac:dyDescent="0.15"/>
    <row r="9255" customFormat="1" ht="13" x14ac:dyDescent="0.15"/>
    <row r="9256" customFormat="1" ht="13" x14ac:dyDescent="0.15"/>
    <row r="9257" customFormat="1" ht="13" x14ac:dyDescent="0.15"/>
    <row r="9258" customFormat="1" ht="13" x14ac:dyDescent="0.15"/>
    <row r="9259" customFormat="1" ht="13" x14ac:dyDescent="0.15"/>
    <row r="9260" customFormat="1" ht="13" x14ac:dyDescent="0.15"/>
    <row r="9261" customFormat="1" ht="13" x14ac:dyDescent="0.15"/>
    <row r="9262" customFormat="1" ht="13" x14ac:dyDescent="0.15"/>
    <row r="9263" customFormat="1" ht="13" x14ac:dyDescent="0.15"/>
    <row r="9264" customFormat="1" ht="13" x14ac:dyDescent="0.15"/>
    <row r="9265" customFormat="1" ht="13" x14ac:dyDescent="0.15"/>
    <row r="9266" customFormat="1" ht="13" x14ac:dyDescent="0.15"/>
    <row r="9267" customFormat="1" ht="13" x14ac:dyDescent="0.15"/>
    <row r="9268" customFormat="1" ht="13" x14ac:dyDescent="0.15"/>
    <row r="9269" customFormat="1" ht="13" x14ac:dyDescent="0.15"/>
    <row r="9270" customFormat="1" ht="13" x14ac:dyDescent="0.15"/>
    <row r="9271" customFormat="1" ht="13" x14ac:dyDescent="0.15"/>
    <row r="9272" customFormat="1" ht="13" x14ac:dyDescent="0.15"/>
    <row r="9273" customFormat="1" ht="13" x14ac:dyDescent="0.15"/>
    <row r="9274" customFormat="1" ht="13" x14ac:dyDescent="0.15"/>
    <row r="9275" customFormat="1" ht="13" x14ac:dyDescent="0.15"/>
    <row r="9276" customFormat="1" ht="13" x14ac:dyDescent="0.15"/>
    <row r="9277" customFormat="1" ht="13" x14ac:dyDescent="0.15"/>
    <row r="9278" customFormat="1" ht="13" x14ac:dyDescent="0.15"/>
    <row r="9279" customFormat="1" ht="13" x14ac:dyDescent="0.15"/>
    <row r="9280" customFormat="1" ht="13" x14ac:dyDescent="0.15"/>
    <row r="9281" customFormat="1" ht="13" x14ac:dyDescent="0.15"/>
    <row r="9282" customFormat="1" ht="13" x14ac:dyDescent="0.15"/>
    <row r="9283" customFormat="1" ht="13" x14ac:dyDescent="0.15"/>
    <row r="9284" customFormat="1" ht="13" x14ac:dyDescent="0.15"/>
    <row r="9285" customFormat="1" ht="13" x14ac:dyDescent="0.15"/>
    <row r="9286" customFormat="1" ht="13" x14ac:dyDescent="0.15"/>
    <row r="9287" customFormat="1" ht="13" x14ac:dyDescent="0.15"/>
    <row r="9288" customFormat="1" ht="13" x14ac:dyDescent="0.15"/>
    <row r="9289" customFormat="1" ht="13" x14ac:dyDescent="0.15"/>
    <row r="9290" customFormat="1" ht="13" x14ac:dyDescent="0.15"/>
    <row r="9291" customFormat="1" ht="13" x14ac:dyDescent="0.15"/>
    <row r="9292" customFormat="1" ht="13" x14ac:dyDescent="0.15"/>
    <row r="9293" customFormat="1" ht="13" x14ac:dyDescent="0.15"/>
    <row r="9294" customFormat="1" ht="13" x14ac:dyDescent="0.15"/>
    <row r="9295" customFormat="1" ht="13" x14ac:dyDescent="0.15"/>
    <row r="9296" customFormat="1" ht="13" x14ac:dyDescent="0.15"/>
    <row r="9297" customFormat="1" ht="13" x14ac:dyDescent="0.15"/>
    <row r="9298" customFormat="1" ht="13" x14ac:dyDescent="0.15"/>
    <row r="9299" customFormat="1" ht="13" x14ac:dyDescent="0.15"/>
    <row r="9300" customFormat="1" ht="13" x14ac:dyDescent="0.15"/>
    <row r="9301" customFormat="1" ht="13" x14ac:dyDescent="0.15"/>
    <row r="9302" customFormat="1" ht="13" x14ac:dyDescent="0.15"/>
    <row r="9303" customFormat="1" ht="13" x14ac:dyDescent="0.15"/>
    <row r="9304" customFormat="1" ht="13" x14ac:dyDescent="0.15"/>
    <row r="9305" customFormat="1" ht="13" x14ac:dyDescent="0.15"/>
    <row r="9306" customFormat="1" ht="13" x14ac:dyDescent="0.15"/>
    <row r="9307" customFormat="1" ht="13" x14ac:dyDescent="0.15"/>
    <row r="9308" customFormat="1" ht="13" x14ac:dyDescent="0.15"/>
    <row r="9309" customFormat="1" ht="13" x14ac:dyDescent="0.15"/>
    <row r="9310" customFormat="1" ht="13" x14ac:dyDescent="0.15"/>
    <row r="9311" customFormat="1" ht="13" x14ac:dyDescent="0.15"/>
    <row r="9312" customFormat="1" ht="13" x14ac:dyDescent="0.15"/>
    <row r="9313" customFormat="1" ht="13" x14ac:dyDescent="0.15"/>
    <row r="9314" customFormat="1" ht="13" x14ac:dyDescent="0.15"/>
    <row r="9315" customFormat="1" ht="13" x14ac:dyDescent="0.15"/>
    <row r="9316" customFormat="1" ht="13" x14ac:dyDescent="0.15"/>
    <row r="9317" customFormat="1" ht="13" x14ac:dyDescent="0.15"/>
    <row r="9318" customFormat="1" ht="13" x14ac:dyDescent="0.15"/>
    <row r="9319" customFormat="1" ht="13" x14ac:dyDescent="0.15"/>
    <row r="9320" customFormat="1" ht="13" x14ac:dyDescent="0.15"/>
    <row r="9321" customFormat="1" ht="13" x14ac:dyDescent="0.15"/>
    <row r="9322" customFormat="1" ht="13" x14ac:dyDescent="0.15"/>
    <row r="9323" customFormat="1" ht="13" x14ac:dyDescent="0.15"/>
    <row r="9324" customFormat="1" ht="13" x14ac:dyDescent="0.15"/>
    <row r="9325" customFormat="1" ht="13" x14ac:dyDescent="0.15"/>
    <row r="9326" customFormat="1" ht="13" x14ac:dyDescent="0.15"/>
    <row r="9327" customFormat="1" ht="13" x14ac:dyDescent="0.15"/>
    <row r="9328" customFormat="1" ht="13" x14ac:dyDescent="0.15"/>
    <row r="9329" customFormat="1" ht="13" x14ac:dyDescent="0.15"/>
    <row r="9330" customFormat="1" ht="13" x14ac:dyDescent="0.15"/>
    <row r="9331" customFormat="1" ht="13" x14ac:dyDescent="0.15"/>
    <row r="9332" customFormat="1" ht="13" x14ac:dyDescent="0.15"/>
    <row r="9333" customFormat="1" ht="13" x14ac:dyDescent="0.15"/>
    <row r="9334" customFormat="1" ht="13" x14ac:dyDescent="0.15"/>
    <row r="9335" customFormat="1" ht="13" x14ac:dyDescent="0.15"/>
    <row r="9336" customFormat="1" ht="13" x14ac:dyDescent="0.15"/>
    <row r="9337" customFormat="1" ht="13" x14ac:dyDescent="0.15"/>
    <row r="9338" customFormat="1" ht="13" x14ac:dyDescent="0.15"/>
    <row r="9339" customFormat="1" ht="13" x14ac:dyDescent="0.15"/>
    <row r="9340" customFormat="1" ht="13" x14ac:dyDescent="0.15"/>
    <row r="9341" customFormat="1" ht="13" x14ac:dyDescent="0.15"/>
    <row r="9342" customFormat="1" ht="13" x14ac:dyDescent="0.15"/>
    <row r="9343" customFormat="1" ht="13" x14ac:dyDescent="0.15"/>
    <row r="9344" customFormat="1" ht="13" x14ac:dyDescent="0.15"/>
    <row r="9345" customFormat="1" ht="13" x14ac:dyDescent="0.15"/>
    <row r="9346" customFormat="1" ht="13" x14ac:dyDescent="0.15"/>
    <row r="9347" customFormat="1" ht="13" x14ac:dyDescent="0.15"/>
    <row r="9348" customFormat="1" ht="13" x14ac:dyDescent="0.15"/>
    <row r="9349" customFormat="1" ht="13" x14ac:dyDescent="0.15"/>
    <row r="9350" customFormat="1" ht="13" x14ac:dyDescent="0.15"/>
    <row r="9351" customFormat="1" ht="13" x14ac:dyDescent="0.15"/>
    <row r="9352" customFormat="1" ht="13" x14ac:dyDescent="0.15"/>
    <row r="9353" customFormat="1" ht="13" x14ac:dyDescent="0.15"/>
    <row r="9354" customFormat="1" ht="13" x14ac:dyDescent="0.15"/>
    <row r="9355" customFormat="1" ht="13" x14ac:dyDescent="0.15"/>
    <row r="9356" customFormat="1" ht="13" x14ac:dyDescent="0.15"/>
    <row r="9357" customFormat="1" ht="13" x14ac:dyDescent="0.15"/>
    <row r="9358" customFormat="1" ht="13" x14ac:dyDescent="0.15"/>
    <row r="9359" customFormat="1" ht="13" x14ac:dyDescent="0.15"/>
    <row r="9360" customFormat="1" ht="13" x14ac:dyDescent="0.15"/>
    <row r="9361" customFormat="1" ht="13" x14ac:dyDescent="0.15"/>
    <row r="9362" customFormat="1" ht="13" x14ac:dyDescent="0.15"/>
    <row r="9363" customFormat="1" ht="13" x14ac:dyDescent="0.15"/>
    <row r="9364" customFormat="1" ht="13" x14ac:dyDescent="0.15"/>
    <row r="9365" customFormat="1" ht="13" x14ac:dyDescent="0.15"/>
    <row r="9366" customFormat="1" ht="13" x14ac:dyDescent="0.15"/>
    <row r="9367" customFormat="1" ht="13" x14ac:dyDescent="0.15"/>
    <row r="9368" customFormat="1" ht="13" x14ac:dyDescent="0.15"/>
    <row r="9369" customFormat="1" ht="13" x14ac:dyDescent="0.15"/>
    <row r="9370" customFormat="1" ht="13" x14ac:dyDescent="0.15"/>
    <row r="9371" customFormat="1" ht="13" x14ac:dyDescent="0.15"/>
    <row r="9372" customFormat="1" ht="13" x14ac:dyDescent="0.15"/>
    <row r="9373" customFormat="1" ht="13" x14ac:dyDescent="0.15"/>
    <row r="9374" customFormat="1" ht="13" x14ac:dyDescent="0.15"/>
    <row r="9375" customFormat="1" ht="13" x14ac:dyDescent="0.15"/>
    <row r="9376" customFormat="1" ht="13" x14ac:dyDescent="0.15"/>
    <row r="9377" customFormat="1" ht="13" x14ac:dyDescent="0.15"/>
    <row r="9378" customFormat="1" ht="13" x14ac:dyDescent="0.15"/>
    <row r="9379" customFormat="1" ht="13" x14ac:dyDescent="0.15"/>
    <row r="9380" customFormat="1" ht="13" x14ac:dyDescent="0.15"/>
    <row r="9381" customFormat="1" ht="13" x14ac:dyDescent="0.15"/>
    <row r="9382" customFormat="1" ht="13" x14ac:dyDescent="0.15"/>
    <row r="9383" customFormat="1" ht="13" x14ac:dyDescent="0.15"/>
    <row r="9384" customFormat="1" ht="13" x14ac:dyDescent="0.15"/>
    <row r="9385" customFormat="1" ht="13" x14ac:dyDescent="0.15"/>
    <row r="9386" customFormat="1" ht="13" x14ac:dyDescent="0.15"/>
    <row r="9387" customFormat="1" ht="13" x14ac:dyDescent="0.15"/>
    <row r="9388" customFormat="1" ht="13" x14ac:dyDescent="0.15"/>
    <row r="9389" customFormat="1" ht="13" x14ac:dyDescent="0.15"/>
    <row r="9390" customFormat="1" ht="13" x14ac:dyDescent="0.15"/>
    <row r="9391" customFormat="1" ht="13" x14ac:dyDescent="0.15"/>
    <row r="9392" customFormat="1" ht="13" x14ac:dyDescent="0.15"/>
    <row r="9393" customFormat="1" ht="13" x14ac:dyDescent="0.15"/>
    <row r="9394" customFormat="1" ht="13" x14ac:dyDescent="0.15"/>
    <row r="9395" customFormat="1" ht="13" x14ac:dyDescent="0.15"/>
    <row r="9396" customFormat="1" ht="13" x14ac:dyDescent="0.15"/>
    <row r="9397" customFormat="1" ht="13" x14ac:dyDescent="0.15"/>
    <row r="9398" customFormat="1" ht="13" x14ac:dyDescent="0.15"/>
    <row r="9399" customFormat="1" ht="13" x14ac:dyDescent="0.15"/>
    <row r="9400" customFormat="1" ht="13" x14ac:dyDescent="0.15"/>
    <row r="9401" customFormat="1" ht="13" x14ac:dyDescent="0.15"/>
    <row r="9402" customFormat="1" ht="13" x14ac:dyDescent="0.15"/>
    <row r="9403" customFormat="1" ht="13" x14ac:dyDescent="0.15"/>
    <row r="9404" customFormat="1" ht="13" x14ac:dyDescent="0.15"/>
    <row r="9405" customFormat="1" ht="13" x14ac:dyDescent="0.15"/>
    <row r="9406" customFormat="1" ht="13" x14ac:dyDescent="0.15"/>
    <row r="9407" customFormat="1" ht="13" x14ac:dyDescent="0.15"/>
    <row r="9408" customFormat="1" ht="13" x14ac:dyDescent="0.15"/>
    <row r="9409" customFormat="1" ht="13" x14ac:dyDescent="0.15"/>
    <row r="9410" customFormat="1" ht="13" x14ac:dyDescent="0.15"/>
    <row r="9411" customFormat="1" ht="13" x14ac:dyDescent="0.15"/>
    <row r="9412" customFormat="1" ht="13" x14ac:dyDescent="0.15"/>
    <row r="9413" customFormat="1" ht="13" x14ac:dyDescent="0.15"/>
    <row r="9414" customFormat="1" ht="13" x14ac:dyDescent="0.15"/>
    <row r="9415" customFormat="1" ht="13" x14ac:dyDescent="0.15"/>
    <row r="9416" customFormat="1" ht="13" x14ac:dyDescent="0.15"/>
    <row r="9417" customFormat="1" ht="13" x14ac:dyDescent="0.15"/>
    <row r="9418" customFormat="1" ht="13" x14ac:dyDescent="0.15"/>
    <row r="9419" customFormat="1" ht="13" x14ac:dyDescent="0.15"/>
    <row r="9420" customFormat="1" ht="13" x14ac:dyDescent="0.15"/>
    <row r="9421" customFormat="1" ht="13" x14ac:dyDescent="0.15"/>
    <row r="9422" customFormat="1" ht="13" x14ac:dyDescent="0.15"/>
    <row r="9423" customFormat="1" ht="13" x14ac:dyDescent="0.15"/>
    <row r="9424" customFormat="1" ht="13" x14ac:dyDescent="0.15"/>
    <row r="9425" customFormat="1" ht="13" x14ac:dyDescent="0.15"/>
    <row r="9426" customFormat="1" ht="13" x14ac:dyDescent="0.15"/>
    <row r="9427" customFormat="1" ht="13" x14ac:dyDescent="0.15"/>
    <row r="9428" customFormat="1" ht="13" x14ac:dyDescent="0.15"/>
    <row r="9429" customFormat="1" ht="13" x14ac:dyDescent="0.15"/>
    <row r="9430" customFormat="1" ht="13" x14ac:dyDescent="0.15"/>
    <row r="9431" customFormat="1" ht="13" x14ac:dyDescent="0.15"/>
    <row r="9432" customFormat="1" ht="13" x14ac:dyDescent="0.15"/>
    <row r="9433" customFormat="1" ht="13" x14ac:dyDescent="0.15"/>
    <row r="9434" customFormat="1" ht="13" x14ac:dyDescent="0.15"/>
    <row r="9435" customFormat="1" ht="13" x14ac:dyDescent="0.15"/>
    <row r="9436" customFormat="1" ht="13" x14ac:dyDescent="0.15"/>
    <row r="9437" customFormat="1" ht="13" x14ac:dyDescent="0.15"/>
    <row r="9438" customFormat="1" ht="13" x14ac:dyDescent="0.15"/>
    <row r="9439" customFormat="1" ht="13" x14ac:dyDescent="0.15"/>
    <row r="9440" customFormat="1" ht="13" x14ac:dyDescent="0.15"/>
    <row r="9441" customFormat="1" ht="13" x14ac:dyDescent="0.15"/>
    <row r="9442" customFormat="1" ht="13" x14ac:dyDescent="0.15"/>
    <row r="9443" customFormat="1" ht="13" x14ac:dyDescent="0.15"/>
    <row r="9444" customFormat="1" ht="13" x14ac:dyDescent="0.15"/>
    <row r="9445" customFormat="1" ht="13" x14ac:dyDescent="0.15"/>
    <row r="9446" customFormat="1" ht="13" x14ac:dyDescent="0.15"/>
    <row r="9447" customFormat="1" ht="13" x14ac:dyDescent="0.15"/>
    <row r="9448" customFormat="1" ht="13" x14ac:dyDescent="0.15"/>
    <row r="9449" customFormat="1" ht="13" x14ac:dyDescent="0.15"/>
    <row r="9450" customFormat="1" ht="13" x14ac:dyDescent="0.15"/>
    <row r="9451" customFormat="1" ht="13" x14ac:dyDescent="0.15"/>
    <row r="9452" customFormat="1" ht="13" x14ac:dyDescent="0.15"/>
    <row r="9453" customFormat="1" ht="13" x14ac:dyDescent="0.15"/>
    <row r="9454" customFormat="1" ht="13" x14ac:dyDescent="0.15"/>
    <row r="9455" customFormat="1" ht="13" x14ac:dyDescent="0.15"/>
    <row r="9456" customFormat="1" ht="13" x14ac:dyDescent="0.15"/>
    <row r="9457" customFormat="1" ht="13" x14ac:dyDescent="0.15"/>
    <row r="9458" customFormat="1" ht="13" x14ac:dyDescent="0.15"/>
    <row r="9459" customFormat="1" ht="13" x14ac:dyDescent="0.15"/>
    <row r="9460" customFormat="1" ht="13" x14ac:dyDescent="0.15"/>
    <row r="9461" customFormat="1" ht="13" x14ac:dyDescent="0.15"/>
    <row r="9462" customFormat="1" ht="13" x14ac:dyDescent="0.15"/>
    <row r="9463" customFormat="1" ht="13" x14ac:dyDescent="0.15"/>
    <row r="9464" customFormat="1" ht="13" x14ac:dyDescent="0.15"/>
    <row r="9465" customFormat="1" ht="13" x14ac:dyDescent="0.15"/>
    <row r="9466" customFormat="1" ht="13" x14ac:dyDescent="0.15"/>
    <row r="9467" customFormat="1" ht="13" x14ac:dyDescent="0.15"/>
    <row r="9468" customFormat="1" ht="13" x14ac:dyDescent="0.15"/>
    <row r="9469" customFormat="1" ht="13" x14ac:dyDescent="0.15"/>
    <row r="9470" customFormat="1" ht="13" x14ac:dyDescent="0.15"/>
    <row r="9471" customFormat="1" ht="13" x14ac:dyDescent="0.15"/>
    <row r="9472" customFormat="1" ht="13" x14ac:dyDescent="0.15"/>
    <row r="9473" customFormat="1" ht="13" x14ac:dyDescent="0.15"/>
    <row r="9474" customFormat="1" ht="13" x14ac:dyDescent="0.15"/>
    <row r="9475" customFormat="1" ht="13" x14ac:dyDescent="0.15"/>
    <row r="9476" customFormat="1" ht="13" x14ac:dyDescent="0.15"/>
    <row r="9477" customFormat="1" ht="13" x14ac:dyDescent="0.15"/>
    <row r="9478" customFormat="1" ht="13" x14ac:dyDescent="0.15"/>
    <row r="9479" customFormat="1" ht="13" x14ac:dyDescent="0.15"/>
    <row r="9480" customFormat="1" ht="13" x14ac:dyDescent="0.15"/>
    <row r="9481" customFormat="1" ht="13" x14ac:dyDescent="0.15"/>
    <row r="9482" customFormat="1" ht="13" x14ac:dyDescent="0.15"/>
    <row r="9483" customFormat="1" ht="13" x14ac:dyDescent="0.15"/>
    <row r="9484" customFormat="1" ht="13" x14ac:dyDescent="0.15"/>
    <row r="9485" customFormat="1" ht="13" x14ac:dyDescent="0.15"/>
    <row r="9486" customFormat="1" ht="13" x14ac:dyDescent="0.15"/>
    <row r="9487" customFormat="1" ht="13" x14ac:dyDescent="0.15"/>
    <row r="9488" customFormat="1" ht="13" x14ac:dyDescent="0.15"/>
    <row r="9489" customFormat="1" ht="13" x14ac:dyDescent="0.15"/>
    <row r="9490" customFormat="1" ht="13" x14ac:dyDescent="0.15"/>
    <row r="9491" customFormat="1" ht="13" x14ac:dyDescent="0.15"/>
    <row r="9492" customFormat="1" ht="13" x14ac:dyDescent="0.15"/>
    <row r="9493" customFormat="1" ht="13" x14ac:dyDescent="0.15"/>
    <row r="9494" customFormat="1" ht="13" x14ac:dyDescent="0.15"/>
    <row r="9495" customFormat="1" ht="13" x14ac:dyDescent="0.15"/>
    <row r="9496" customFormat="1" ht="13" x14ac:dyDescent="0.15"/>
    <row r="9497" customFormat="1" ht="13" x14ac:dyDescent="0.15"/>
    <row r="9498" customFormat="1" ht="13" x14ac:dyDescent="0.15"/>
    <row r="9499" customFormat="1" ht="13" x14ac:dyDescent="0.15"/>
    <row r="9500" customFormat="1" ht="13" x14ac:dyDescent="0.15"/>
    <row r="9501" customFormat="1" ht="13" x14ac:dyDescent="0.15"/>
    <row r="9502" customFormat="1" ht="13" x14ac:dyDescent="0.15"/>
    <row r="9503" customFormat="1" ht="13" x14ac:dyDescent="0.15"/>
    <row r="9504" customFormat="1" ht="13" x14ac:dyDescent="0.15"/>
    <row r="9505" customFormat="1" ht="13" x14ac:dyDescent="0.15"/>
    <row r="9506" customFormat="1" ht="13" x14ac:dyDescent="0.15"/>
    <row r="9507" customFormat="1" ht="13" x14ac:dyDescent="0.15"/>
    <row r="9508" customFormat="1" ht="13" x14ac:dyDescent="0.15"/>
    <row r="9509" customFormat="1" ht="13" x14ac:dyDescent="0.15"/>
    <row r="9510" customFormat="1" ht="13" x14ac:dyDescent="0.15"/>
    <row r="9511" customFormat="1" ht="13" x14ac:dyDescent="0.15"/>
    <row r="9512" customFormat="1" ht="13" x14ac:dyDescent="0.15"/>
    <row r="9513" customFormat="1" ht="13" x14ac:dyDescent="0.15"/>
    <row r="9514" customFormat="1" ht="13" x14ac:dyDescent="0.15"/>
    <row r="9515" customFormat="1" ht="13" x14ac:dyDescent="0.15"/>
    <row r="9516" customFormat="1" ht="13" x14ac:dyDescent="0.15"/>
    <row r="9517" customFormat="1" ht="13" x14ac:dyDescent="0.15"/>
    <row r="9518" customFormat="1" ht="13" x14ac:dyDescent="0.15"/>
    <row r="9519" customFormat="1" ht="13" x14ac:dyDescent="0.15"/>
    <row r="9520" customFormat="1" ht="13" x14ac:dyDescent="0.15"/>
    <row r="9521" customFormat="1" ht="13" x14ac:dyDescent="0.15"/>
    <row r="9522" customFormat="1" ht="13" x14ac:dyDescent="0.15"/>
    <row r="9523" customFormat="1" ht="13" x14ac:dyDescent="0.15"/>
    <row r="9524" customFormat="1" ht="13" x14ac:dyDescent="0.15"/>
    <row r="9525" customFormat="1" ht="13" x14ac:dyDescent="0.15"/>
    <row r="9526" customFormat="1" ht="13" x14ac:dyDescent="0.15"/>
    <row r="9527" customFormat="1" ht="13" x14ac:dyDescent="0.15"/>
    <row r="9528" customFormat="1" ht="13" x14ac:dyDescent="0.15"/>
    <row r="9529" customFormat="1" ht="13" x14ac:dyDescent="0.15"/>
    <row r="9530" customFormat="1" ht="13" x14ac:dyDescent="0.15"/>
    <row r="9531" customFormat="1" ht="13" x14ac:dyDescent="0.15"/>
    <row r="9532" customFormat="1" ht="13" x14ac:dyDescent="0.15"/>
    <row r="9533" customFormat="1" ht="13" x14ac:dyDescent="0.15"/>
    <row r="9534" customFormat="1" ht="13" x14ac:dyDescent="0.15"/>
    <row r="9535" customFormat="1" ht="13" x14ac:dyDescent="0.15"/>
    <row r="9536" customFormat="1" ht="13" x14ac:dyDescent="0.15"/>
    <row r="9537" customFormat="1" ht="13" x14ac:dyDescent="0.15"/>
    <row r="9538" customFormat="1" ht="13" x14ac:dyDescent="0.15"/>
    <row r="9539" customFormat="1" ht="13" x14ac:dyDescent="0.15"/>
    <row r="9540" customFormat="1" ht="13" x14ac:dyDescent="0.15"/>
    <row r="9541" customFormat="1" ht="13" x14ac:dyDescent="0.15"/>
    <row r="9542" customFormat="1" ht="13" x14ac:dyDescent="0.15"/>
    <row r="9543" customFormat="1" ht="13" x14ac:dyDescent="0.15"/>
    <row r="9544" customFormat="1" ht="13" x14ac:dyDescent="0.15"/>
    <row r="9545" customFormat="1" ht="13" x14ac:dyDescent="0.15"/>
    <row r="9546" customFormat="1" ht="13" x14ac:dyDescent="0.15"/>
    <row r="9547" customFormat="1" ht="13" x14ac:dyDescent="0.15"/>
    <row r="9548" customFormat="1" ht="13" x14ac:dyDescent="0.15"/>
    <row r="9549" customFormat="1" ht="13" x14ac:dyDescent="0.15"/>
    <row r="9550" customFormat="1" ht="13" x14ac:dyDescent="0.15"/>
    <row r="9551" customFormat="1" ht="13" x14ac:dyDescent="0.15"/>
    <row r="9552" customFormat="1" ht="13" x14ac:dyDescent="0.15"/>
    <row r="9553" customFormat="1" ht="13" x14ac:dyDescent="0.15"/>
    <row r="9554" customFormat="1" ht="13" x14ac:dyDescent="0.15"/>
    <row r="9555" customFormat="1" ht="13" x14ac:dyDescent="0.15"/>
    <row r="9556" customFormat="1" ht="13" x14ac:dyDescent="0.15"/>
    <row r="9557" customFormat="1" ht="13" x14ac:dyDescent="0.15"/>
    <row r="9558" customFormat="1" ht="13" x14ac:dyDescent="0.15"/>
    <row r="9559" customFormat="1" ht="13" x14ac:dyDescent="0.15"/>
    <row r="9560" customFormat="1" ht="13" x14ac:dyDescent="0.15"/>
    <row r="9561" customFormat="1" ht="13" x14ac:dyDescent="0.15"/>
    <row r="9562" customFormat="1" ht="13" x14ac:dyDescent="0.15"/>
    <row r="9563" customFormat="1" ht="13" x14ac:dyDescent="0.15"/>
    <row r="9564" customFormat="1" ht="13" x14ac:dyDescent="0.15"/>
    <row r="9565" customFormat="1" ht="13" x14ac:dyDescent="0.15"/>
    <row r="9566" customFormat="1" ht="13" x14ac:dyDescent="0.15"/>
    <row r="9567" customFormat="1" ht="13" x14ac:dyDescent="0.15"/>
    <row r="9568" customFormat="1" ht="13" x14ac:dyDescent="0.15"/>
    <row r="9569" customFormat="1" ht="13" x14ac:dyDescent="0.15"/>
    <row r="9570" customFormat="1" ht="13" x14ac:dyDescent="0.15"/>
    <row r="9571" customFormat="1" ht="13" x14ac:dyDescent="0.15"/>
    <row r="9572" customFormat="1" ht="13" x14ac:dyDescent="0.15"/>
    <row r="9573" customFormat="1" ht="13" x14ac:dyDescent="0.15"/>
    <row r="9574" customFormat="1" ht="13" x14ac:dyDescent="0.15"/>
    <row r="9575" customFormat="1" ht="13" x14ac:dyDescent="0.15"/>
    <row r="9576" customFormat="1" ht="13" x14ac:dyDescent="0.15"/>
    <row r="9577" customFormat="1" ht="13" x14ac:dyDescent="0.15"/>
    <row r="9578" customFormat="1" ht="13" x14ac:dyDescent="0.15"/>
    <row r="9579" customFormat="1" ht="13" x14ac:dyDescent="0.15"/>
    <row r="9580" customFormat="1" ht="13" x14ac:dyDescent="0.15"/>
    <row r="9581" customFormat="1" ht="13" x14ac:dyDescent="0.15"/>
    <row r="9582" customFormat="1" ht="13" x14ac:dyDescent="0.15"/>
    <row r="9583" customFormat="1" ht="13" x14ac:dyDescent="0.15"/>
    <row r="9584" customFormat="1" ht="13" x14ac:dyDescent="0.15"/>
    <row r="9585" customFormat="1" ht="13" x14ac:dyDescent="0.15"/>
    <row r="9586" customFormat="1" ht="13" x14ac:dyDescent="0.15"/>
    <row r="9587" customFormat="1" ht="13" x14ac:dyDescent="0.15"/>
    <row r="9588" customFormat="1" ht="13" x14ac:dyDescent="0.15"/>
    <row r="9589" customFormat="1" ht="13" x14ac:dyDescent="0.15"/>
    <row r="9590" customFormat="1" ht="13" x14ac:dyDescent="0.15"/>
    <row r="9591" customFormat="1" ht="13" x14ac:dyDescent="0.15"/>
    <row r="9592" customFormat="1" ht="13" x14ac:dyDescent="0.15"/>
    <row r="9593" customFormat="1" ht="13" x14ac:dyDescent="0.15"/>
    <row r="9594" customFormat="1" ht="13" x14ac:dyDescent="0.15"/>
    <row r="9595" customFormat="1" ht="13" x14ac:dyDescent="0.15"/>
    <row r="9596" customFormat="1" ht="13" x14ac:dyDescent="0.15"/>
    <row r="9597" customFormat="1" ht="13" x14ac:dyDescent="0.15"/>
    <row r="9598" customFormat="1" ht="13" x14ac:dyDescent="0.15"/>
    <row r="9599" customFormat="1" ht="13" x14ac:dyDescent="0.15"/>
    <row r="9600" customFormat="1" ht="13" x14ac:dyDescent="0.15"/>
    <row r="9601" customFormat="1" ht="13" x14ac:dyDescent="0.15"/>
    <row r="9602" customFormat="1" ht="13" x14ac:dyDescent="0.15"/>
    <row r="9603" customFormat="1" ht="13" x14ac:dyDescent="0.15"/>
    <row r="9604" customFormat="1" ht="13" x14ac:dyDescent="0.15"/>
    <row r="9605" customFormat="1" ht="13" x14ac:dyDescent="0.15"/>
    <row r="9606" customFormat="1" ht="13" x14ac:dyDescent="0.15"/>
    <row r="9607" customFormat="1" ht="13" x14ac:dyDescent="0.15"/>
    <row r="9608" customFormat="1" ht="13" x14ac:dyDescent="0.15"/>
    <row r="9609" customFormat="1" ht="13" x14ac:dyDescent="0.15"/>
    <row r="9610" customFormat="1" ht="13" x14ac:dyDescent="0.15"/>
    <row r="9611" customFormat="1" ht="13" x14ac:dyDescent="0.15"/>
    <row r="9612" customFormat="1" ht="13" x14ac:dyDescent="0.15"/>
    <row r="9613" customFormat="1" ht="13" x14ac:dyDescent="0.15"/>
    <row r="9614" customFormat="1" ht="13" x14ac:dyDescent="0.15"/>
    <row r="9615" customFormat="1" ht="13" x14ac:dyDescent="0.15"/>
    <row r="9616" customFormat="1" ht="13" x14ac:dyDescent="0.15"/>
    <row r="9617" customFormat="1" ht="13" x14ac:dyDescent="0.15"/>
    <row r="9618" customFormat="1" ht="13" x14ac:dyDescent="0.15"/>
    <row r="9619" customFormat="1" ht="13" x14ac:dyDescent="0.15"/>
    <row r="9620" customFormat="1" ht="13" x14ac:dyDescent="0.15"/>
    <row r="9621" customFormat="1" ht="13" x14ac:dyDescent="0.15"/>
    <row r="9622" customFormat="1" ht="13" x14ac:dyDescent="0.15"/>
    <row r="9623" customFormat="1" ht="13" x14ac:dyDescent="0.15"/>
    <row r="9624" customFormat="1" ht="13" x14ac:dyDescent="0.15"/>
    <row r="9625" customFormat="1" ht="13" x14ac:dyDescent="0.15"/>
    <row r="9626" customFormat="1" ht="13" x14ac:dyDescent="0.15"/>
    <row r="9627" customFormat="1" ht="13" x14ac:dyDescent="0.15"/>
    <row r="9628" customFormat="1" ht="13" x14ac:dyDescent="0.15"/>
    <row r="9629" customFormat="1" ht="13" x14ac:dyDescent="0.15"/>
    <row r="9630" customFormat="1" ht="13" x14ac:dyDescent="0.15"/>
    <row r="9631" customFormat="1" ht="13" x14ac:dyDescent="0.15"/>
    <row r="9632" customFormat="1" ht="13" x14ac:dyDescent="0.15"/>
    <row r="9633" customFormat="1" ht="13" x14ac:dyDescent="0.15"/>
    <row r="9634" customFormat="1" ht="13" x14ac:dyDescent="0.15"/>
    <row r="9635" customFormat="1" ht="13" x14ac:dyDescent="0.15"/>
    <row r="9636" customFormat="1" ht="13" x14ac:dyDescent="0.15"/>
    <row r="9637" customFormat="1" ht="13" x14ac:dyDescent="0.15"/>
    <row r="9638" customFormat="1" ht="13" x14ac:dyDescent="0.15"/>
    <row r="9639" customFormat="1" ht="13" x14ac:dyDescent="0.15"/>
    <row r="9640" customFormat="1" ht="13" x14ac:dyDescent="0.15"/>
    <row r="9641" customFormat="1" ht="13" x14ac:dyDescent="0.15"/>
    <row r="9642" customFormat="1" ht="13" x14ac:dyDescent="0.15"/>
    <row r="9643" customFormat="1" ht="13" x14ac:dyDescent="0.15"/>
    <row r="9644" customFormat="1" ht="13" x14ac:dyDescent="0.15"/>
    <row r="9645" customFormat="1" ht="13" x14ac:dyDescent="0.15"/>
    <row r="9646" customFormat="1" ht="13" x14ac:dyDescent="0.15"/>
    <row r="9647" customFormat="1" ht="13" x14ac:dyDescent="0.15"/>
    <row r="9648" customFormat="1" ht="13" x14ac:dyDescent="0.15"/>
    <row r="9649" customFormat="1" ht="13" x14ac:dyDescent="0.15"/>
    <row r="9650" customFormat="1" ht="13" x14ac:dyDescent="0.15"/>
    <row r="9651" customFormat="1" ht="13" x14ac:dyDescent="0.15"/>
    <row r="9652" customFormat="1" ht="13" x14ac:dyDescent="0.15"/>
    <row r="9653" customFormat="1" ht="13" x14ac:dyDescent="0.15"/>
    <row r="9654" customFormat="1" ht="13" x14ac:dyDescent="0.15"/>
    <row r="9655" customFormat="1" ht="13" x14ac:dyDescent="0.15"/>
    <row r="9656" customFormat="1" ht="13" x14ac:dyDescent="0.15"/>
    <row r="9657" customFormat="1" ht="13" x14ac:dyDescent="0.15"/>
    <row r="9658" customFormat="1" ht="13" x14ac:dyDescent="0.15"/>
    <row r="9659" customFormat="1" ht="13" x14ac:dyDescent="0.15"/>
    <row r="9660" customFormat="1" ht="13" x14ac:dyDescent="0.15"/>
    <row r="9661" customFormat="1" ht="13" x14ac:dyDescent="0.15"/>
    <row r="9662" customFormat="1" ht="13" x14ac:dyDescent="0.15"/>
    <row r="9663" customFormat="1" ht="13" x14ac:dyDescent="0.15"/>
    <row r="9664" customFormat="1" ht="13" x14ac:dyDescent="0.15"/>
    <row r="9665" customFormat="1" ht="13" x14ac:dyDescent="0.15"/>
    <row r="9666" customFormat="1" ht="13" x14ac:dyDescent="0.15"/>
    <row r="9667" customFormat="1" ht="13" x14ac:dyDescent="0.15"/>
    <row r="9668" customFormat="1" ht="13" x14ac:dyDescent="0.15"/>
    <row r="9669" customFormat="1" ht="13" x14ac:dyDescent="0.15"/>
    <row r="9670" customFormat="1" ht="13" x14ac:dyDescent="0.15"/>
    <row r="9671" customFormat="1" ht="13" x14ac:dyDescent="0.15"/>
    <row r="9672" customFormat="1" ht="13" x14ac:dyDescent="0.15"/>
    <row r="9673" customFormat="1" ht="13" x14ac:dyDescent="0.15"/>
    <row r="9674" customFormat="1" ht="13" x14ac:dyDescent="0.15"/>
    <row r="9675" customFormat="1" ht="13" x14ac:dyDescent="0.15"/>
    <row r="9676" customFormat="1" ht="13" x14ac:dyDescent="0.15"/>
    <row r="9677" customFormat="1" ht="13" x14ac:dyDescent="0.15"/>
    <row r="9678" customFormat="1" ht="13" x14ac:dyDescent="0.15"/>
    <row r="9679" customFormat="1" ht="13" x14ac:dyDescent="0.15"/>
    <row r="9680" customFormat="1" ht="13" x14ac:dyDescent="0.15"/>
    <row r="9681" customFormat="1" ht="13" x14ac:dyDescent="0.15"/>
    <row r="9682" customFormat="1" ht="13" x14ac:dyDescent="0.15"/>
    <row r="9683" customFormat="1" ht="13" x14ac:dyDescent="0.15"/>
    <row r="9684" customFormat="1" ht="13" x14ac:dyDescent="0.15"/>
    <row r="9685" customFormat="1" ht="13" x14ac:dyDescent="0.15"/>
    <row r="9686" customFormat="1" ht="13" x14ac:dyDescent="0.15"/>
    <row r="9687" customFormat="1" ht="13" x14ac:dyDescent="0.15"/>
    <row r="9688" customFormat="1" ht="13" x14ac:dyDescent="0.15"/>
    <row r="9689" customFormat="1" ht="13" x14ac:dyDescent="0.15"/>
    <row r="9690" customFormat="1" ht="13" x14ac:dyDescent="0.15"/>
    <row r="9691" customFormat="1" ht="13" x14ac:dyDescent="0.15"/>
    <row r="9692" customFormat="1" ht="13" x14ac:dyDescent="0.15"/>
    <row r="9693" customFormat="1" ht="13" x14ac:dyDescent="0.15"/>
    <row r="9694" customFormat="1" ht="13" x14ac:dyDescent="0.15"/>
    <row r="9695" customFormat="1" ht="13" x14ac:dyDescent="0.15"/>
    <row r="9696" customFormat="1" ht="13" x14ac:dyDescent="0.15"/>
    <row r="9697" customFormat="1" ht="13" x14ac:dyDescent="0.15"/>
    <row r="9698" customFormat="1" ht="13" x14ac:dyDescent="0.15"/>
    <row r="9699" customFormat="1" ht="13" x14ac:dyDescent="0.15"/>
    <row r="9700" customFormat="1" ht="13" x14ac:dyDescent="0.15"/>
    <row r="9701" customFormat="1" ht="13" x14ac:dyDescent="0.15"/>
    <row r="9702" customFormat="1" ht="13" x14ac:dyDescent="0.15"/>
    <row r="9703" customFormat="1" ht="13" x14ac:dyDescent="0.15"/>
    <row r="9704" customFormat="1" ht="13" x14ac:dyDescent="0.15"/>
    <row r="9705" customFormat="1" ht="13" x14ac:dyDescent="0.15"/>
    <row r="9706" customFormat="1" ht="13" x14ac:dyDescent="0.15"/>
    <row r="9707" customFormat="1" ht="13" x14ac:dyDescent="0.15"/>
    <row r="9708" customFormat="1" ht="13" x14ac:dyDescent="0.15"/>
    <row r="9709" customFormat="1" ht="13" x14ac:dyDescent="0.15"/>
    <row r="9710" customFormat="1" ht="13" x14ac:dyDescent="0.15"/>
    <row r="9711" customFormat="1" ht="13" x14ac:dyDescent="0.15"/>
    <row r="9712" customFormat="1" ht="13" x14ac:dyDescent="0.15"/>
    <row r="9713" customFormat="1" ht="13" x14ac:dyDescent="0.15"/>
    <row r="9714" customFormat="1" ht="13" x14ac:dyDescent="0.15"/>
    <row r="9715" customFormat="1" ht="13" x14ac:dyDescent="0.15"/>
    <row r="9716" customFormat="1" ht="13" x14ac:dyDescent="0.15"/>
    <row r="9717" customFormat="1" ht="13" x14ac:dyDescent="0.15"/>
    <row r="9718" customFormat="1" ht="13" x14ac:dyDescent="0.15"/>
    <row r="9719" customFormat="1" ht="13" x14ac:dyDescent="0.15"/>
    <row r="9720" customFormat="1" ht="13" x14ac:dyDescent="0.15"/>
    <row r="9721" customFormat="1" ht="13" x14ac:dyDescent="0.15"/>
    <row r="9722" customFormat="1" ht="13" x14ac:dyDescent="0.15"/>
    <row r="9723" customFormat="1" ht="13" x14ac:dyDescent="0.15"/>
    <row r="9724" customFormat="1" ht="13" x14ac:dyDescent="0.15"/>
    <row r="9725" customFormat="1" ht="13" x14ac:dyDescent="0.15"/>
    <row r="9726" customFormat="1" ht="13" x14ac:dyDescent="0.15"/>
    <row r="9727" customFormat="1" ht="13" x14ac:dyDescent="0.15"/>
    <row r="9728" customFormat="1" ht="13" x14ac:dyDescent="0.15"/>
    <row r="9729" customFormat="1" ht="13" x14ac:dyDescent="0.15"/>
    <row r="9730" customFormat="1" ht="13" x14ac:dyDescent="0.15"/>
    <row r="9731" customFormat="1" ht="13" x14ac:dyDescent="0.15"/>
    <row r="9732" customFormat="1" ht="13" x14ac:dyDescent="0.15"/>
    <row r="9733" customFormat="1" ht="13" x14ac:dyDescent="0.15"/>
    <row r="9734" customFormat="1" ht="13" x14ac:dyDescent="0.15"/>
    <row r="9735" customFormat="1" ht="13" x14ac:dyDescent="0.15"/>
    <row r="9736" customFormat="1" ht="13" x14ac:dyDescent="0.15"/>
    <row r="9737" customFormat="1" ht="13" x14ac:dyDescent="0.15"/>
    <row r="9738" customFormat="1" ht="13" x14ac:dyDescent="0.15"/>
    <row r="9739" customFormat="1" ht="13" x14ac:dyDescent="0.15"/>
    <row r="9740" customFormat="1" ht="13" x14ac:dyDescent="0.15"/>
    <row r="9741" customFormat="1" ht="13" x14ac:dyDescent="0.15"/>
    <row r="9742" customFormat="1" ht="13" x14ac:dyDescent="0.15"/>
    <row r="9743" customFormat="1" ht="13" x14ac:dyDescent="0.15"/>
    <row r="9744" customFormat="1" ht="13" x14ac:dyDescent="0.15"/>
    <row r="9745" customFormat="1" ht="13" x14ac:dyDescent="0.15"/>
    <row r="9746" customFormat="1" ht="13" x14ac:dyDescent="0.15"/>
    <row r="9747" customFormat="1" ht="13" x14ac:dyDescent="0.15"/>
    <row r="9748" customFormat="1" ht="13" x14ac:dyDescent="0.15"/>
    <row r="9749" customFormat="1" ht="13" x14ac:dyDescent="0.15"/>
    <row r="9750" customFormat="1" ht="13" x14ac:dyDescent="0.15"/>
    <row r="9751" customFormat="1" ht="13" x14ac:dyDescent="0.15"/>
    <row r="9752" customFormat="1" ht="13" x14ac:dyDescent="0.15"/>
    <row r="9753" customFormat="1" ht="13" x14ac:dyDescent="0.15"/>
    <row r="9754" customFormat="1" ht="13" x14ac:dyDescent="0.15"/>
    <row r="9755" customFormat="1" ht="13" x14ac:dyDescent="0.15"/>
    <row r="9756" customFormat="1" ht="13" x14ac:dyDescent="0.15"/>
    <row r="9757" customFormat="1" ht="13" x14ac:dyDescent="0.15"/>
    <row r="9758" customFormat="1" ht="13" x14ac:dyDescent="0.15"/>
    <row r="9759" customFormat="1" ht="13" x14ac:dyDescent="0.15"/>
    <row r="9760" customFormat="1" ht="13" x14ac:dyDescent="0.15"/>
    <row r="9761" customFormat="1" ht="13" x14ac:dyDescent="0.15"/>
    <row r="9762" customFormat="1" ht="13" x14ac:dyDescent="0.15"/>
    <row r="9763" customFormat="1" ht="13" x14ac:dyDescent="0.15"/>
    <row r="9764" customFormat="1" ht="13" x14ac:dyDescent="0.15"/>
    <row r="9765" customFormat="1" ht="13" x14ac:dyDescent="0.15"/>
    <row r="9766" customFormat="1" ht="13" x14ac:dyDescent="0.15"/>
    <row r="9767" customFormat="1" ht="13" x14ac:dyDescent="0.15"/>
    <row r="9768" customFormat="1" ht="13" x14ac:dyDescent="0.15"/>
    <row r="9769" customFormat="1" ht="13" x14ac:dyDescent="0.15"/>
    <row r="9770" customFormat="1" ht="13" x14ac:dyDescent="0.15"/>
    <row r="9771" customFormat="1" ht="13" x14ac:dyDescent="0.15"/>
    <row r="9772" customFormat="1" ht="13" x14ac:dyDescent="0.15"/>
    <row r="9773" customFormat="1" ht="13" x14ac:dyDescent="0.15"/>
    <row r="9774" customFormat="1" ht="13" x14ac:dyDescent="0.15"/>
    <row r="9775" customFormat="1" ht="13" x14ac:dyDescent="0.15"/>
    <row r="9776" customFormat="1" ht="13" x14ac:dyDescent="0.15"/>
    <row r="9777" customFormat="1" ht="13" x14ac:dyDescent="0.15"/>
    <row r="9778" customFormat="1" ht="13" x14ac:dyDescent="0.15"/>
    <row r="9779" customFormat="1" ht="13" x14ac:dyDescent="0.15"/>
    <row r="9780" customFormat="1" ht="13" x14ac:dyDescent="0.15"/>
    <row r="9781" customFormat="1" ht="13" x14ac:dyDescent="0.15"/>
    <row r="9782" customFormat="1" ht="13" x14ac:dyDescent="0.15"/>
    <row r="9783" customFormat="1" ht="13" x14ac:dyDescent="0.15"/>
    <row r="9784" customFormat="1" ht="13" x14ac:dyDescent="0.15"/>
    <row r="9785" customFormat="1" ht="13" x14ac:dyDescent="0.15"/>
    <row r="9786" customFormat="1" ht="13" x14ac:dyDescent="0.15"/>
    <row r="9787" customFormat="1" ht="13" x14ac:dyDescent="0.15"/>
    <row r="9788" customFormat="1" ht="13" x14ac:dyDescent="0.15"/>
    <row r="9789" customFormat="1" ht="13" x14ac:dyDescent="0.15"/>
    <row r="9790" customFormat="1" ht="13" x14ac:dyDescent="0.15"/>
    <row r="9791" customFormat="1" ht="13" x14ac:dyDescent="0.15"/>
    <row r="9792" customFormat="1" ht="13" x14ac:dyDescent="0.15"/>
    <row r="9793" customFormat="1" ht="13" x14ac:dyDescent="0.15"/>
    <row r="9794" customFormat="1" ht="13" x14ac:dyDescent="0.15"/>
    <row r="9795" customFormat="1" ht="13" x14ac:dyDescent="0.15"/>
    <row r="9796" customFormat="1" ht="13" x14ac:dyDescent="0.15"/>
    <row r="9797" customFormat="1" ht="13" x14ac:dyDescent="0.15"/>
    <row r="9798" customFormat="1" ht="13" x14ac:dyDescent="0.15"/>
    <row r="9799" customFormat="1" ht="13" x14ac:dyDescent="0.15"/>
    <row r="9800" customFormat="1" ht="13" x14ac:dyDescent="0.15"/>
    <row r="9801" customFormat="1" ht="13" x14ac:dyDescent="0.15"/>
    <row r="9802" customFormat="1" ht="13" x14ac:dyDescent="0.15"/>
    <row r="9803" customFormat="1" ht="13" x14ac:dyDescent="0.15"/>
    <row r="9804" customFormat="1" ht="13" x14ac:dyDescent="0.15"/>
    <row r="9805" customFormat="1" ht="13" x14ac:dyDescent="0.15"/>
    <row r="9806" customFormat="1" ht="13" x14ac:dyDescent="0.15"/>
    <row r="9807" customFormat="1" ht="13" x14ac:dyDescent="0.15"/>
    <row r="9808" customFormat="1" ht="13" x14ac:dyDescent="0.15"/>
    <row r="9809" customFormat="1" ht="13" x14ac:dyDescent="0.15"/>
    <row r="9810" customFormat="1" ht="13" x14ac:dyDescent="0.15"/>
    <row r="9811" customFormat="1" ht="13" x14ac:dyDescent="0.15"/>
    <row r="9812" customFormat="1" ht="13" x14ac:dyDescent="0.15"/>
    <row r="9813" customFormat="1" ht="13" x14ac:dyDescent="0.15"/>
    <row r="9814" customFormat="1" ht="13" x14ac:dyDescent="0.15"/>
    <row r="9815" customFormat="1" ht="13" x14ac:dyDescent="0.15"/>
    <row r="9816" customFormat="1" ht="13" x14ac:dyDescent="0.15"/>
    <row r="9817" customFormat="1" ht="13" x14ac:dyDescent="0.15"/>
    <row r="9818" customFormat="1" ht="13" x14ac:dyDescent="0.15"/>
    <row r="9819" customFormat="1" ht="13" x14ac:dyDescent="0.15"/>
    <row r="9820" customFormat="1" ht="13" x14ac:dyDescent="0.15"/>
    <row r="9821" customFormat="1" ht="13" x14ac:dyDescent="0.15"/>
    <row r="9822" customFormat="1" ht="13" x14ac:dyDescent="0.15"/>
    <row r="9823" customFormat="1" ht="13" x14ac:dyDescent="0.15"/>
    <row r="9824" customFormat="1" ht="13" x14ac:dyDescent="0.15"/>
    <row r="9825" customFormat="1" ht="13" x14ac:dyDescent="0.15"/>
    <row r="9826" customFormat="1" ht="13" x14ac:dyDescent="0.15"/>
    <row r="9827" customFormat="1" ht="13" x14ac:dyDescent="0.15"/>
    <row r="9828" customFormat="1" ht="13" x14ac:dyDescent="0.15"/>
    <row r="9829" customFormat="1" ht="13" x14ac:dyDescent="0.15"/>
    <row r="9830" customFormat="1" ht="13" x14ac:dyDescent="0.15"/>
    <row r="9831" customFormat="1" ht="13" x14ac:dyDescent="0.15"/>
    <row r="9832" customFormat="1" ht="13" x14ac:dyDescent="0.15"/>
    <row r="9833" customFormat="1" ht="13" x14ac:dyDescent="0.15"/>
    <row r="9834" customFormat="1" ht="13" x14ac:dyDescent="0.15"/>
    <row r="9835" customFormat="1" ht="13" x14ac:dyDescent="0.15"/>
    <row r="9836" customFormat="1" ht="13" x14ac:dyDescent="0.15"/>
    <row r="9837" customFormat="1" ht="13" x14ac:dyDescent="0.15"/>
    <row r="9838" customFormat="1" ht="13" x14ac:dyDescent="0.15"/>
    <row r="9839" customFormat="1" ht="13" x14ac:dyDescent="0.15"/>
    <row r="9840" customFormat="1" ht="13" x14ac:dyDescent="0.15"/>
    <row r="9841" customFormat="1" ht="13" x14ac:dyDescent="0.15"/>
    <row r="9842" customFormat="1" ht="13" x14ac:dyDescent="0.15"/>
    <row r="9843" customFormat="1" ht="13" x14ac:dyDescent="0.15"/>
    <row r="9844" customFormat="1" ht="13" x14ac:dyDescent="0.15"/>
    <row r="9845" customFormat="1" ht="13" x14ac:dyDescent="0.15"/>
    <row r="9846" customFormat="1" ht="13" x14ac:dyDescent="0.15"/>
    <row r="9847" customFormat="1" ht="13" x14ac:dyDescent="0.15"/>
    <row r="9848" customFormat="1" ht="13" x14ac:dyDescent="0.15"/>
    <row r="9849" customFormat="1" ht="13" x14ac:dyDescent="0.15"/>
    <row r="9850" customFormat="1" ht="13" x14ac:dyDescent="0.15"/>
    <row r="9851" customFormat="1" ht="13" x14ac:dyDescent="0.15"/>
    <row r="9852" customFormat="1" ht="13" x14ac:dyDescent="0.15"/>
    <row r="9853" customFormat="1" ht="13" x14ac:dyDescent="0.15"/>
    <row r="9854" customFormat="1" ht="13" x14ac:dyDescent="0.15"/>
    <row r="9855" customFormat="1" ht="13" x14ac:dyDescent="0.15"/>
    <row r="9856" customFormat="1" ht="13" x14ac:dyDescent="0.15"/>
    <row r="9857" customFormat="1" ht="13" x14ac:dyDescent="0.15"/>
    <row r="9858" customFormat="1" ht="13" x14ac:dyDescent="0.15"/>
    <row r="9859" customFormat="1" ht="13" x14ac:dyDescent="0.15"/>
    <row r="9860" customFormat="1" ht="13" x14ac:dyDescent="0.15"/>
    <row r="9861" customFormat="1" ht="13" x14ac:dyDescent="0.15"/>
    <row r="9862" customFormat="1" ht="13" x14ac:dyDescent="0.15"/>
    <row r="9863" customFormat="1" ht="13" x14ac:dyDescent="0.15"/>
    <row r="9864" customFormat="1" ht="13" x14ac:dyDescent="0.15"/>
    <row r="9865" customFormat="1" ht="13" x14ac:dyDescent="0.15"/>
    <row r="9866" customFormat="1" ht="13" x14ac:dyDescent="0.15"/>
    <row r="9867" customFormat="1" ht="13" x14ac:dyDescent="0.15"/>
    <row r="9868" customFormat="1" ht="13" x14ac:dyDescent="0.15"/>
    <row r="9869" customFormat="1" ht="13" x14ac:dyDescent="0.15"/>
    <row r="9870" customFormat="1" ht="13" x14ac:dyDescent="0.15"/>
    <row r="9871" customFormat="1" ht="13" x14ac:dyDescent="0.15"/>
    <row r="9872" customFormat="1" ht="13" x14ac:dyDescent="0.15"/>
    <row r="9873" customFormat="1" ht="13" x14ac:dyDescent="0.15"/>
    <row r="9874" customFormat="1" ht="13" x14ac:dyDescent="0.15"/>
    <row r="9875" customFormat="1" ht="13" x14ac:dyDescent="0.15"/>
    <row r="9876" customFormat="1" ht="13" x14ac:dyDescent="0.15"/>
    <row r="9877" customFormat="1" ht="13" x14ac:dyDescent="0.15"/>
    <row r="9878" customFormat="1" ht="13" x14ac:dyDescent="0.15"/>
    <row r="9879" customFormat="1" ht="13" x14ac:dyDescent="0.15"/>
    <row r="9880" customFormat="1" ht="13" x14ac:dyDescent="0.15"/>
    <row r="9881" customFormat="1" ht="13" x14ac:dyDescent="0.15"/>
    <row r="9882" customFormat="1" ht="13" x14ac:dyDescent="0.15"/>
    <row r="9883" customFormat="1" ht="13" x14ac:dyDescent="0.15"/>
    <row r="9884" customFormat="1" ht="13" x14ac:dyDescent="0.15"/>
    <row r="9885" customFormat="1" ht="13" x14ac:dyDescent="0.15"/>
    <row r="9886" customFormat="1" ht="13" x14ac:dyDescent="0.15"/>
    <row r="9887" customFormat="1" ht="13" x14ac:dyDescent="0.15"/>
    <row r="9888" customFormat="1" ht="13" x14ac:dyDescent="0.15"/>
    <row r="9889" customFormat="1" ht="13" x14ac:dyDescent="0.15"/>
    <row r="9890" customFormat="1" ht="13" x14ac:dyDescent="0.15"/>
    <row r="9891" customFormat="1" ht="13" x14ac:dyDescent="0.15"/>
    <row r="9892" customFormat="1" ht="13" x14ac:dyDescent="0.15"/>
    <row r="9893" customFormat="1" ht="13" x14ac:dyDescent="0.15"/>
    <row r="9894" customFormat="1" ht="13" x14ac:dyDescent="0.15"/>
    <row r="9895" customFormat="1" ht="13" x14ac:dyDescent="0.15"/>
    <row r="9896" customFormat="1" ht="13" x14ac:dyDescent="0.15"/>
    <row r="9897" customFormat="1" ht="13" x14ac:dyDescent="0.15"/>
    <row r="9898" customFormat="1" ht="13" x14ac:dyDescent="0.15"/>
    <row r="9899" customFormat="1" ht="13" x14ac:dyDescent="0.15"/>
    <row r="9900" customFormat="1" ht="13" x14ac:dyDescent="0.15"/>
    <row r="9901" customFormat="1" ht="13" x14ac:dyDescent="0.15"/>
    <row r="9902" customFormat="1" ht="13" x14ac:dyDescent="0.15"/>
    <row r="9903" customFormat="1" ht="13" x14ac:dyDescent="0.15"/>
    <row r="9904" customFormat="1" ht="13" x14ac:dyDescent="0.15"/>
    <row r="9905" customFormat="1" ht="13" x14ac:dyDescent="0.15"/>
    <row r="9906" customFormat="1" ht="13" x14ac:dyDescent="0.15"/>
    <row r="9907" customFormat="1" ht="13" x14ac:dyDescent="0.15"/>
    <row r="9908" customFormat="1" ht="13" x14ac:dyDescent="0.15"/>
    <row r="9909" customFormat="1" ht="13" x14ac:dyDescent="0.15"/>
    <row r="9910" customFormat="1" ht="13" x14ac:dyDescent="0.15"/>
    <row r="9911" customFormat="1" ht="13" x14ac:dyDescent="0.15"/>
    <row r="9912" customFormat="1" ht="13" x14ac:dyDescent="0.15"/>
    <row r="9913" customFormat="1" ht="13" x14ac:dyDescent="0.15"/>
    <row r="9914" customFormat="1" ht="13" x14ac:dyDescent="0.15"/>
    <row r="9915" customFormat="1" ht="13" x14ac:dyDescent="0.15"/>
    <row r="9916" customFormat="1" ht="13" x14ac:dyDescent="0.15"/>
    <row r="9917" customFormat="1" ht="13" x14ac:dyDescent="0.15"/>
    <row r="9918" customFormat="1" ht="13" x14ac:dyDescent="0.15"/>
    <row r="9919" customFormat="1" ht="13" x14ac:dyDescent="0.15"/>
    <row r="9920" customFormat="1" ht="13" x14ac:dyDescent="0.15"/>
    <row r="9921" customFormat="1" ht="13" x14ac:dyDescent="0.15"/>
    <row r="9922" customFormat="1" ht="13" x14ac:dyDescent="0.15"/>
    <row r="9923" customFormat="1" ht="13" x14ac:dyDescent="0.15"/>
    <row r="9924" customFormat="1" ht="13" x14ac:dyDescent="0.15"/>
    <row r="9925" customFormat="1" ht="13" x14ac:dyDescent="0.15"/>
    <row r="9926" customFormat="1" ht="13" x14ac:dyDescent="0.15"/>
    <row r="9927" customFormat="1" ht="13" x14ac:dyDescent="0.15"/>
    <row r="9928" customFormat="1" ht="13" x14ac:dyDescent="0.15"/>
    <row r="9929" customFormat="1" ht="13" x14ac:dyDescent="0.15"/>
    <row r="9930" customFormat="1" ht="13" x14ac:dyDescent="0.15"/>
    <row r="9931" customFormat="1" ht="13" x14ac:dyDescent="0.15"/>
    <row r="9932" customFormat="1" ht="13" x14ac:dyDescent="0.15"/>
    <row r="9933" customFormat="1" ht="13" x14ac:dyDescent="0.15"/>
    <row r="9934" customFormat="1" ht="13" x14ac:dyDescent="0.15"/>
    <row r="9935" customFormat="1" ht="13" x14ac:dyDescent="0.15"/>
    <row r="9936" customFormat="1" ht="13" x14ac:dyDescent="0.15"/>
    <row r="9937" customFormat="1" ht="13" x14ac:dyDescent="0.15"/>
    <row r="9938" customFormat="1" ht="13" x14ac:dyDescent="0.15"/>
    <row r="9939" customFormat="1" ht="13" x14ac:dyDescent="0.15"/>
    <row r="9940" customFormat="1" ht="13" x14ac:dyDescent="0.15"/>
    <row r="9941" customFormat="1" ht="13" x14ac:dyDescent="0.15"/>
    <row r="9942" customFormat="1" ht="13" x14ac:dyDescent="0.15"/>
    <row r="9943" customFormat="1" ht="13" x14ac:dyDescent="0.15"/>
    <row r="9944" customFormat="1" ht="13" x14ac:dyDescent="0.15"/>
    <row r="9945" customFormat="1" ht="13" x14ac:dyDescent="0.15"/>
    <row r="9946" customFormat="1" ht="13" x14ac:dyDescent="0.15"/>
    <row r="9947" customFormat="1" ht="13" x14ac:dyDescent="0.15"/>
    <row r="9948" customFormat="1" ht="13" x14ac:dyDescent="0.15"/>
    <row r="9949" customFormat="1" ht="13" x14ac:dyDescent="0.15"/>
    <row r="9950" customFormat="1" ht="13" x14ac:dyDescent="0.15"/>
    <row r="9951" customFormat="1" ht="13" x14ac:dyDescent="0.15"/>
    <row r="9952" customFormat="1" ht="13" x14ac:dyDescent="0.15"/>
    <row r="9953" customFormat="1" ht="13" x14ac:dyDescent="0.15"/>
    <row r="9954" customFormat="1" ht="13" x14ac:dyDescent="0.15"/>
    <row r="9955" customFormat="1" ht="13" x14ac:dyDescent="0.15"/>
    <row r="9956" customFormat="1" ht="13" x14ac:dyDescent="0.15"/>
    <row r="9957" customFormat="1" ht="13" x14ac:dyDescent="0.15"/>
    <row r="9958" customFormat="1" ht="13" x14ac:dyDescent="0.15"/>
    <row r="9959" customFormat="1" ht="13" x14ac:dyDescent="0.15"/>
    <row r="9960" customFormat="1" ht="13" x14ac:dyDescent="0.15"/>
    <row r="9961" customFormat="1" ht="13" x14ac:dyDescent="0.15"/>
    <row r="9962" customFormat="1" ht="13" x14ac:dyDescent="0.15"/>
    <row r="9963" customFormat="1" ht="13" x14ac:dyDescent="0.15"/>
    <row r="9964" customFormat="1" ht="13" x14ac:dyDescent="0.15"/>
    <row r="9965" customFormat="1" ht="13" x14ac:dyDescent="0.15"/>
    <row r="9966" customFormat="1" ht="13" x14ac:dyDescent="0.15"/>
    <row r="9967" customFormat="1" ht="13" x14ac:dyDescent="0.15"/>
    <row r="9968" customFormat="1" ht="13" x14ac:dyDescent="0.15"/>
    <row r="9969" customFormat="1" ht="13" x14ac:dyDescent="0.15"/>
    <row r="9970" customFormat="1" ht="13" x14ac:dyDescent="0.15"/>
    <row r="9971" customFormat="1" ht="13" x14ac:dyDescent="0.15"/>
    <row r="9972" customFormat="1" ht="13" x14ac:dyDescent="0.15"/>
    <row r="9973" customFormat="1" ht="13" x14ac:dyDescent="0.15"/>
    <row r="9974" customFormat="1" ht="13" x14ac:dyDescent="0.15"/>
    <row r="9975" customFormat="1" ht="13" x14ac:dyDescent="0.15"/>
    <row r="9976" customFormat="1" ht="13" x14ac:dyDescent="0.15"/>
    <row r="9977" customFormat="1" ht="13" x14ac:dyDescent="0.15"/>
    <row r="9978" customFormat="1" ht="13" x14ac:dyDescent="0.15"/>
    <row r="9979" customFormat="1" ht="13" x14ac:dyDescent="0.15"/>
    <row r="9980" customFormat="1" ht="13" x14ac:dyDescent="0.15"/>
    <row r="9981" customFormat="1" ht="13" x14ac:dyDescent="0.15"/>
    <row r="9982" customFormat="1" ht="13" x14ac:dyDescent="0.15"/>
    <row r="9983" customFormat="1" ht="13" x14ac:dyDescent="0.15"/>
    <row r="9984" customFormat="1" ht="13" x14ac:dyDescent="0.15"/>
    <row r="9985" customFormat="1" ht="13" x14ac:dyDescent="0.15"/>
    <row r="9986" customFormat="1" ht="13" x14ac:dyDescent="0.15"/>
    <row r="9987" customFormat="1" ht="13" x14ac:dyDescent="0.15"/>
    <row r="9988" customFormat="1" ht="13" x14ac:dyDescent="0.15"/>
    <row r="9989" customFormat="1" ht="13" x14ac:dyDescent="0.15"/>
    <row r="9990" customFormat="1" ht="13" x14ac:dyDescent="0.15"/>
    <row r="9991" customFormat="1" ht="13" x14ac:dyDescent="0.15"/>
    <row r="9992" customFormat="1" ht="13" x14ac:dyDescent="0.15"/>
    <row r="9993" customFormat="1" ht="13" x14ac:dyDescent="0.15"/>
    <row r="9994" customFormat="1" ht="13" x14ac:dyDescent="0.15"/>
    <row r="9995" customFormat="1" ht="13" x14ac:dyDescent="0.15"/>
    <row r="9996" customFormat="1" ht="13" x14ac:dyDescent="0.15"/>
    <row r="9997" customFormat="1" ht="13" x14ac:dyDescent="0.15"/>
    <row r="9998" customFormat="1" ht="13" x14ac:dyDescent="0.15"/>
    <row r="9999" customFormat="1" ht="13" x14ac:dyDescent="0.15"/>
    <row r="10000" customFormat="1" ht="13" x14ac:dyDescent="0.15"/>
    <row r="10001" customFormat="1" ht="13" x14ac:dyDescent="0.15"/>
    <row r="10002" customFormat="1" ht="13" x14ac:dyDescent="0.15"/>
    <row r="10003" customFormat="1" ht="13" x14ac:dyDescent="0.15"/>
    <row r="10004" customFormat="1" ht="13" x14ac:dyDescent="0.15"/>
    <row r="10005" customFormat="1" ht="13" x14ac:dyDescent="0.15"/>
    <row r="10006" customFormat="1" ht="13" x14ac:dyDescent="0.15"/>
    <row r="10007" customFormat="1" ht="13" x14ac:dyDescent="0.15"/>
    <row r="10008" customFormat="1" ht="13" x14ac:dyDescent="0.15"/>
    <row r="10009" customFormat="1" ht="13" x14ac:dyDescent="0.15"/>
    <row r="10010" customFormat="1" ht="13" x14ac:dyDescent="0.15"/>
    <row r="10011" customFormat="1" ht="13" x14ac:dyDescent="0.15"/>
    <row r="10012" customFormat="1" ht="13" x14ac:dyDescent="0.15"/>
    <row r="10013" customFormat="1" ht="13" x14ac:dyDescent="0.15"/>
    <row r="10014" customFormat="1" ht="13" x14ac:dyDescent="0.15"/>
    <row r="10015" customFormat="1" ht="13" x14ac:dyDescent="0.15"/>
    <row r="10016" customFormat="1" ht="13" x14ac:dyDescent="0.15"/>
    <row r="10017" customFormat="1" ht="13" x14ac:dyDescent="0.15"/>
    <row r="10018" customFormat="1" ht="13" x14ac:dyDescent="0.15"/>
    <row r="10019" customFormat="1" ht="13" x14ac:dyDescent="0.15"/>
    <row r="10020" customFormat="1" ht="13" x14ac:dyDescent="0.15"/>
    <row r="10021" customFormat="1" ht="13" x14ac:dyDescent="0.15"/>
    <row r="10022" customFormat="1" ht="13" x14ac:dyDescent="0.15"/>
    <row r="10023" customFormat="1" ht="13" x14ac:dyDescent="0.15"/>
    <row r="10024" customFormat="1" ht="13" x14ac:dyDescent="0.15"/>
    <row r="10025" customFormat="1" ht="13" x14ac:dyDescent="0.15"/>
    <row r="10026" customFormat="1" ht="13" x14ac:dyDescent="0.15"/>
    <row r="10027" customFormat="1" ht="13" x14ac:dyDescent="0.15"/>
    <row r="10028" customFormat="1" ht="13" x14ac:dyDescent="0.15"/>
    <row r="10029" customFormat="1" ht="13" x14ac:dyDescent="0.15"/>
    <row r="10030" customFormat="1" ht="13" x14ac:dyDescent="0.15"/>
    <row r="10031" customFormat="1" ht="13" x14ac:dyDescent="0.15"/>
    <row r="10032" customFormat="1" ht="13" x14ac:dyDescent="0.15"/>
    <row r="10033" customFormat="1" ht="13" x14ac:dyDescent="0.15"/>
    <row r="10034" customFormat="1" ht="13" x14ac:dyDescent="0.15"/>
    <row r="10035" customFormat="1" ht="13" x14ac:dyDescent="0.15"/>
    <row r="10036" customFormat="1" ht="13" x14ac:dyDescent="0.15"/>
    <row r="10037" customFormat="1" ht="13" x14ac:dyDescent="0.15"/>
    <row r="10038" customFormat="1" ht="13" x14ac:dyDescent="0.15"/>
    <row r="10039" customFormat="1" ht="13" x14ac:dyDescent="0.15"/>
    <row r="10040" customFormat="1" ht="13" x14ac:dyDescent="0.15"/>
    <row r="10041" customFormat="1" ht="13" x14ac:dyDescent="0.15"/>
    <row r="10042" customFormat="1" ht="13" x14ac:dyDescent="0.15"/>
    <row r="10043" customFormat="1" ht="13" x14ac:dyDescent="0.15"/>
    <row r="10044" customFormat="1" ht="13" x14ac:dyDescent="0.15"/>
    <row r="10045" customFormat="1" ht="13" x14ac:dyDescent="0.15"/>
    <row r="10046" customFormat="1" ht="13" x14ac:dyDescent="0.15"/>
    <row r="10047" customFormat="1" ht="13" x14ac:dyDescent="0.15"/>
    <row r="10048" customFormat="1" ht="13" x14ac:dyDescent="0.15"/>
    <row r="10049" customFormat="1" ht="13" x14ac:dyDescent="0.15"/>
    <row r="10050" customFormat="1" ht="13" x14ac:dyDescent="0.15"/>
    <row r="10051" customFormat="1" ht="13" x14ac:dyDescent="0.15"/>
    <row r="10052" customFormat="1" ht="13" x14ac:dyDescent="0.15"/>
    <row r="10053" customFormat="1" ht="13" x14ac:dyDescent="0.15"/>
    <row r="10054" customFormat="1" ht="13" x14ac:dyDescent="0.15"/>
    <row r="10055" customFormat="1" ht="13" x14ac:dyDescent="0.15"/>
    <row r="10056" customFormat="1" ht="13" x14ac:dyDescent="0.15"/>
    <row r="10057" customFormat="1" ht="13" x14ac:dyDescent="0.15"/>
    <row r="10058" customFormat="1" ht="13" x14ac:dyDescent="0.15"/>
    <row r="10059" customFormat="1" ht="13" x14ac:dyDescent="0.15"/>
    <row r="10060" customFormat="1" ht="13" x14ac:dyDescent="0.15"/>
    <row r="10061" customFormat="1" ht="13" x14ac:dyDescent="0.15"/>
    <row r="10062" customFormat="1" ht="13" x14ac:dyDescent="0.15"/>
    <row r="10063" customFormat="1" ht="13" x14ac:dyDescent="0.15"/>
    <row r="10064" customFormat="1" ht="13" x14ac:dyDescent="0.15"/>
    <row r="10065" customFormat="1" ht="13" x14ac:dyDescent="0.15"/>
    <row r="10066" customFormat="1" ht="13" x14ac:dyDescent="0.15"/>
    <row r="10067" customFormat="1" ht="13" x14ac:dyDescent="0.15"/>
    <row r="10068" customFormat="1" ht="13" x14ac:dyDescent="0.15"/>
    <row r="10069" customFormat="1" ht="13" x14ac:dyDescent="0.15"/>
    <row r="10070" customFormat="1" ht="13" x14ac:dyDescent="0.15"/>
    <row r="10071" customFormat="1" ht="13" x14ac:dyDescent="0.15"/>
    <row r="10072" customFormat="1" ht="13" x14ac:dyDescent="0.15"/>
    <row r="10073" customFormat="1" ht="13" x14ac:dyDescent="0.15"/>
    <row r="10074" customFormat="1" ht="13" x14ac:dyDescent="0.15"/>
    <row r="10075" customFormat="1" ht="13" x14ac:dyDescent="0.15"/>
    <row r="10076" customFormat="1" ht="13" x14ac:dyDescent="0.15"/>
    <row r="10077" customFormat="1" ht="13" x14ac:dyDescent="0.15"/>
    <row r="10078" customFormat="1" ht="13" x14ac:dyDescent="0.15"/>
    <row r="10079" customFormat="1" ht="13" x14ac:dyDescent="0.15"/>
    <row r="10080" customFormat="1" ht="13" x14ac:dyDescent="0.15"/>
    <row r="10081" customFormat="1" ht="13" x14ac:dyDescent="0.15"/>
    <row r="10082" customFormat="1" ht="13" x14ac:dyDescent="0.15"/>
    <row r="10083" customFormat="1" ht="13" x14ac:dyDescent="0.15"/>
    <row r="10084" customFormat="1" ht="13" x14ac:dyDescent="0.15"/>
    <row r="10085" customFormat="1" ht="13" x14ac:dyDescent="0.15"/>
    <row r="10086" customFormat="1" ht="13" x14ac:dyDescent="0.15"/>
    <row r="10087" customFormat="1" ht="13" x14ac:dyDescent="0.15"/>
    <row r="10088" customFormat="1" ht="13" x14ac:dyDescent="0.15"/>
    <row r="10089" customFormat="1" ht="13" x14ac:dyDescent="0.15"/>
    <row r="10090" customFormat="1" ht="13" x14ac:dyDescent="0.15"/>
    <row r="10091" customFormat="1" ht="13" x14ac:dyDescent="0.15"/>
    <row r="10092" customFormat="1" ht="13" x14ac:dyDescent="0.15"/>
    <row r="10093" customFormat="1" ht="13" x14ac:dyDescent="0.15"/>
    <row r="10094" customFormat="1" ht="13" x14ac:dyDescent="0.15"/>
    <row r="10095" customFormat="1" ht="13" x14ac:dyDescent="0.15"/>
    <row r="10096" customFormat="1" ht="13" x14ac:dyDescent="0.15"/>
    <row r="10097" customFormat="1" ht="13" x14ac:dyDescent="0.15"/>
    <row r="10098" customFormat="1" ht="13" x14ac:dyDescent="0.15"/>
    <row r="10099" customFormat="1" ht="13" x14ac:dyDescent="0.15"/>
    <row r="10100" customFormat="1" ht="13" x14ac:dyDescent="0.15"/>
    <row r="10101" customFormat="1" ht="13" x14ac:dyDescent="0.15"/>
    <row r="10102" customFormat="1" ht="13" x14ac:dyDescent="0.15"/>
    <row r="10103" customFormat="1" ht="13" x14ac:dyDescent="0.15"/>
    <row r="10104" customFormat="1" ht="13" x14ac:dyDescent="0.15"/>
    <row r="10105" customFormat="1" ht="13" x14ac:dyDescent="0.15"/>
    <row r="10106" customFormat="1" ht="13" x14ac:dyDescent="0.15"/>
    <row r="10107" customFormat="1" ht="13" x14ac:dyDescent="0.15"/>
    <row r="10108" customFormat="1" ht="13" x14ac:dyDescent="0.15"/>
    <row r="10109" customFormat="1" ht="13" x14ac:dyDescent="0.15"/>
    <row r="10110" customFormat="1" ht="13" x14ac:dyDescent="0.15"/>
    <row r="10111" customFormat="1" ht="13" x14ac:dyDescent="0.15"/>
    <row r="10112" customFormat="1" ht="13" x14ac:dyDescent="0.15"/>
    <row r="10113" customFormat="1" ht="13" x14ac:dyDescent="0.15"/>
    <row r="10114" customFormat="1" ht="13" x14ac:dyDescent="0.15"/>
    <row r="10115" customFormat="1" ht="13" x14ac:dyDescent="0.15"/>
    <row r="10116" customFormat="1" ht="13" x14ac:dyDescent="0.15"/>
    <row r="10117" customFormat="1" ht="13" x14ac:dyDescent="0.15"/>
    <row r="10118" customFormat="1" ht="13" x14ac:dyDescent="0.15"/>
    <row r="10119" customFormat="1" ht="13" x14ac:dyDescent="0.15"/>
    <row r="10120" customFormat="1" ht="13" x14ac:dyDescent="0.15"/>
    <row r="10121" customFormat="1" ht="13" x14ac:dyDescent="0.15"/>
    <row r="10122" customFormat="1" ht="13" x14ac:dyDescent="0.15"/>
    <row r="10123" customFormat="1" ht="13" x14ac:dyDescent="0.15"/>
    <row r="10124" customFormat="1" ht="13" x14ac:dyDescent="0.15"/>
    <row r="10125" customFormat="1" ht="13" x14ac:dyDescent="0.15"/>
    <row r="10126" customFormat="1" ht="13" x14ac:dyDescent="0.15"/>
    <row r="10127" customFormat="1" ht="13" x14ac:dyDescent="0.15"/>
    <row r="10128" customFormat="1" ht="13" x14ac:dyDescent="0.15"/>
    <row r="10129" customFormat="1" ht="13" x14ac:dyDescent="0.15"/>
    <row r="10130" customFormat="1" ht="13" x14ac:dyDescent="0.15"/>
    <row r="10131" customFormat="1" ht="13" x14ac:dyDescent="0.15"/>
    <row r="10132" customFormat="1" ht="13" x14ac:dyDescent="0.15"/>
    <row r="10133" customFormat="1" ht="13" x14ac:dyDescent="0.15"/>
    <row r="10134" customFormat="1" ht="13" x14ac:dyDescent="0.15"/>
    <row r="10135" customFormat="1" ht="13" x14ac:dyDescent="0.15"/>
    <row r="10136" customFormat="1" ht="13" x14ac:dyDescent="0.15"/>
    <row r="10137" customFormat="1" ht="13" x14ac:dyDescent="0.15"/>
    <row r="10138" customFormat="1" ht="13" x14ac:dyDescent="0.15"/>
    <row r="10139" customFormat="1" ht="13" x14ac:dyDescent="0.15"/>
    <row r="10140" customFormat="1" ht="13" x14ac:dyDescent="0.15"/>
    <row r="10141" customFormat="1" ht="13" x14ac:dyDescent="0.15"/>
    <row r="10142" customFormat="1" ht="13" x14ac:dyDescent="0.15"/>
    <row r="10143" customFormat="1" ht="13" x14ac:dyDescent="0.15"/>
    <row r="10144" customFormat="1" ht="13" x14ac:dyDescent="0.15"/>
    <row r="10145" customFormat="1" ht="13" x14ac:dyDescent="0.15"/>
    <row r="10146" customFormat="1" ht="13" x14ac:dyDescent="0.15"/>
    <row r="10147" customFormat="1" ht="13" x14ac:dyDescent="0.15"/>
    <row r="10148" customFormat="1" ht="13" x14ac:dyDescent="0.15"/>
    <row r="10149" customFormat="1" ht="13" x14ac:dyDescent="0.15"/>
    <row r="10150" customFormat="1" ht="13" x14ac:dyDescent="0.15"/>
    <row r="10151" customFormat="1" ht="13" x14ac:dyDescent="0.15"/>
    <row r="10152" customFormat="1" ht="13" x14ac:dyDescent="0.15"/>
    <row r="10153" customFormat="1" ht="13" x14ac:dyDescent="0.15"/>
    <row r="10154" customFormat="1" ht="13" x14ac:dyDescent="0.15"/>
    <row r="10155" customFormat="1" ht="13" x14ac:dyDescent="0.15"/>
    <row r="10156" customFormat="1" ht="13" x14ac:dyDescent="0.15"/>
    <row r="10157" customFormat="1" ht="13" x14ac:dyDescent="0.15"/>
    <row r="10158" customFormat="1" ht="13" x14ac:dyDescent="0.15"/>
    <row r="10159" customFormat="1" ht="13" x14ac:dyDescent="0.15"/>
    <row r="10160" customFormat="1" ht="13" x14ac:dyDescent="0.15"/>
    <row r="10161" customFormat="1" ht="13" x14ac:dyDescent="0.15"/>
    <row r="10162" customFormat="1" ht="13" x14ac:dyDescent="0.15"/>
    <row r="10163" customFormat="1" ht="13" x14ac:dyDescent="0.15"/>
    <row r="10164" customFormat="1" ht="13" x14ac:dyDescent="0.15"/>
    <row r="10165" customFormat="1" ht="13" x14ac:dyDescent="0.15"/>
    <row r="10166" customFormat="1" ht="13" x14ac:dyDescent="0.15"/>
    <row r="10167" customFormat="1" ht="13" x14ac:dyDescent="0.15"/>
    <row r="10168" customFormat="1" ht="13" x14ac:dyDescent="0.15"/>
    <row r="10169" customFormat="1" ht="13" x14ac:dyDescent="0.15"/>
    <row r="10170" customFormat="1" ht="13" x14ac:dyDescent="0.15"/>
  </sheetData>
  <sheetProtection algorithmName="SHA-512" hashValue="8RzAfx46MJ/nSrgKfZ7PZuKfM+nc22w1SqeXd+fRf13HLMS31bt0Zd/SuVY+ZJgTUuVYgeM3Cp0dh2MdP2k2Dw==" saltValue="ecN/8GZk3Pv6uJQhQnd8+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46F8-9C0F-AE4C-AF05-A7C7F7C20734}">
  <sheetPr codeName="Sheet22"/>
  <dimension ref="A1:TJ10191"/>
  <sheetViews>
    <sheetView zoomScale="110" zoomScaleNormal="110" workbookViewId="0">
      <selection activeCell="C34" sqref="C34"/>
    </sheetView>
  </sheetViews>
  <sheetFormatPr baseColWidth="10" defaultRowHeight="14" x14ac:dyDescent="0.15"/>
  <cols>
    <col min="1" max="1" width="20.33203125" style="219" customWidth="1"/>
    <col min="2" max="2" width="21.6640625" style="219" bestFit="1" customWidth="1"/>
    <col min="3" max="9" width="11.83203125" style="219" customWidth="1"/>
    <col min="10" max="11" width="11.83203125" style="219" hidden="1" customWidth="1"/>
    <col min="12" max="16" width="11.83203125" style="219" customWidth="1"/>
    <col min="17" max="20" width="11.83203125" style="219" hidden="1" customWidth="1"/>
    <col min="21" max="24" width="11.83203125" style="219" customWidth="1"/>
    <col min="25" max="25" width="12.1640625" customWidth="1"/>
    <col min="531" max="16384" width="10.83203125" style="219"/>
  </cols>
  <sheetData>
    <row r="1" spans="1:42" customFormat="1" ht="13" x14ac:dyDescent="0.15">
      <c r="A1" s="284" t="s">
        <v>848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</row>
    <row r="2" spans="1:42" customFormat="1" ht="13" x14ac:dyDescent="0.15">
      <c r="A2" s="284" t="s">
        <v>849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</row>
    <row r="3" spans="1:42" customFormat="1" thickBot="1" x14ac:dyDescent="0.2">
      <c r="A3" s="284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</row>
    <row r="4" spans="1:42" x14ac:dyDescent="0.15">
      <c r="A4" s="116" t="s">
        <v>850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8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</row>
    <row r="5" spans="1:42" x14ac:dyDescent="0.15">
      <c r="A5" s="119" t="s">
        <v>851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20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</row>
    <row r="6" spans="1:42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20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</row>
    <row r="7" spans="1:42" ht="75" x14ac:dyDescent="0.15">
      <c r="A7" s="239" t="s">
        <v>278</v>
      </c>
      <c r="B7" s="240" t="s">
        <v>73</v>
      </c>
      <c r="C7" s="248" t="s">
        <v>74</v>
      </c>
      <c r="D7" s="248" t="s">
        <v>852</v>
      </c>
      <c r="E7" s="248" t="s">
        <v>853</v>
      </c>
      <c r="F7" s="248" t="s">
        <v>854</v>
      </c>
      <c r="G7" s="248" t="s">
        <v>855</v>
      </c>
      <c r="H7" s="248" t="s">
        <v>856</v>
      </c>
      <c r="I7" s="248" t="s">
        <v>958</v>
      </c>
      <c r="J7" s="249" t="s">
        <v>857</v>
      </c>
      <c r="K7" s="249" t="s">
        <v>172</v>
      </c>
      <c r="L7" s="242" t="s">
        <v>858</v>
      </c>
      <c r="M7" s="243" t="s">
        <v>174</v>
      </c>
      <c r="N7" s="243" t="s">
        <v>175</v>
      </c>
      <c r="O7" s="243" t="s">
        <v>76</v>
      </c>
      <c r="P7" s="243" t="s">
        <v>77</v>
      </c>
      <c r="Q7" s="251" t="s">
        <v>859</v>
      </c>
      <c r="R7" s="251" t="s">
        <v>860</v>
      </c>
      <c r="S7" s="250" t="s">
        <v>861</v>
      </c>
      <c r="T7" s="250" t="s">
        <v>862</v>
      </c>
      <c r="U7" s="244" t="s">
        <v>863</v>
      </c>
      <c r="V7" s="244" t="s">
        <v>864</v>
      </c>
      <c r="W7" s="243" t="s">
        <v>359</v>
      </c>
      <c r="X7" s="247" t="s">
        <v>360</v>
      </c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</row>
    <row r="8" spans="1:42" x14ac:dyDescent="0.15">
      <c r="A8" s="199" t="str">
        <f>'Tariff Jul 2021'!K2</f>
        <v>AGL</v>
      </c>
      <c r="B8" s="200" t="str">
        <f>'Tariff Jul 2021'!L2</f>
        <v>Flexible Saver</v>
      </c>
      <c r="C8" s="201">
        <f>IF('Tariff Jul 2021'!BP2=0,91*'Tariff Jul 2021'!M2/100,(91*'Tariff Jul 2021'!M2/100)+'Tariff Jul 2021'!BP2/4)</f>
        <v>77.672636363636357</v>
      </c>
      <c r="D8" s="201">
        <f>IF('Tariff Jul 2021'!O2="",$C$5*'Tariff Jul 2021'!N2/100,IF($C$5&gt;='Tariff Jul 2021'!P2,('Tariff Jul 2021'!P2*'Tariff Jul 2021'!N2/100),($C$5*'Tariff Jul 2021'!N2/100)))</f>
        <v>449.45454545454544</v>
      </c>
      <c r="E8" s="201">
        <f>IF(AND('Tariff Jul 2021'!P2&gt;0,'Tariff Jul 2021'!R2&gt;0),IF($C$5&lt;'Tariff Jul 2021'!P2,0,IF($C$5&lt;=('Tariff Jul 2021'!R2+'Tariff Jul 2021'!P2),(($C$5-'Tariff Jul 2021'!P2)*'Tariff Jul 2021'!Q2/100),(('Tariff Jul 2021'!R2)*'Tariff Jul 2021'!Q2/100))),0)</f>
        <v>0</v>
      </c>
      <c r="F8" s="202">
        <f>IF(AND('Tariff Jul 2021'!Q2&gt;0,'Tariff Jul 2021'!S2&gt;0),IF($C$5&lt;('Tariff Jul 2021'!R2+'Tariff Jul 2021'!P2),0,IF($C$5&lt;=('Tariff Jul 2021'!T2+'Tariff Jul 2021'!R2+'Tariff Jul 2021'!P2),(($C$5-('Tariff Jul 2021'!R2+'Tariff Jul 2021'!P2))*'Tariff Jul 2021'!S2/100),('Tariff Jul 2021'!T2*'Tariff Jul 2021'!S2/100))),0)</f>
        <v>0</v>
      </c>
      <c r="G8" s="201">
        <v>0</v>
      </c>
      <c r="H8" s="201">
        <f>IF(AND('Tariff Jul 2021'!R2&gt;0,'Tariff Jul 2021'!T2&gt;0),IF(($C$5&lt;'Tariff Jul 2021'!T2),(0),($C$5-'Tariff Jul 2021'!T2)*'Tariff Jul 2021'!U2/100),IF(AND('Tariff Jul 2021'!R2&gt;0,'Tariff Jul 2021'!T2=""),IF(($C$5&lt;'Tariff Jul 2021'!R2+'Tariff Jul 2021'!P2),(0),(($C$5-('Tariff Jul 2021'!R2+'Tariff Jul 2021'!P2))*'Tariff Jul 2021'!S2/100)),IF(AND('Tariff Jul 2021'!P2&gt;0,'Tariff Jul 2021'!R2=""&gt;0),IF(($C$5&lt;'Tariff Jul 2021'!P2),(0),($C$5-'Tariff Jul 2021'!P2)*'Tariff Jul 2021'!Q2/100),0)))</f>
        <v>0</v>
      </c>
      <c r="I8" s="201">
        <f t="shared" ref="I8:I25" si="0">SUM(C8:H8)</f>
        <v>527.12718181818184</v>
      </c>
      <c r="J8" s="252">
        <f t="shared" ref="J8:J31" si="1">(I8-C8)*4</f>
        <v>1797.818181818182</v>
      </c>
      <c r="K8" s="203">
        <f>I8*4</f>
        <v>2108.5087272727274</v>
      </c>
      <c r="L8" s="203">
        <f>K8*1.1</f>
        <v>2319.3596000000002</v>
      </c>
      <c r="M8" s="200">
        <f>'Tariff Jul 2021'!AZ2</f>
        <v>0</v>
      </c>
      <c r="N8" s="200">
        <f>'Tariff Jul 2021'!BA2</f>
        <v>0</v>
      </c>
      <c r="O8" s="200">
        <f>'Tariff Jul 2021'!BB2</f>
        <v>0</v>
      </c>
      <c r="P8" s="200">
        <f>'Tariff Jul 2021'!BC2</f>
        <v>0</v>
      </c>
      <c r="Q8" s="204" t="str">
        <f>IF(SUM(M8:P8)=0,"No discount",IF(M8&gt;0,"Guaranteed off bill",IF(N8&gt;0,"Guaranteed off usage",IF(O8&gt;0,"Pay-on-time off bill","Pay-on-time off usage"))))</f>
        <v>No discount</v>
      </c>
      <c r="R8" s="205" t="str">
        <f t="shared" ref="R8:R31" si="2">IF(OR(A8="Origin Energy",A8="Red Energy",A8="Powershop"),"Inclusive","Exclusive")</f>
        <v>Exclusive</v>
      </c>
      <c r="S8" s="254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2108.5087272727274</v>
      </c>
      <c r="T8" s="25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2108.5087272727274</v>
      </c>
      <c r="U8" s="259">
        <f>S8*1.1</f>
        <v>2319.3596000000002</v>
      </c>
      <c r="V8" s="259">
        <f>T8*1.1</f>
        <v>2319.3596000000002</v>
      </c>
      <c r="W8" s="206">
        <f>'Tariff Jul 2021'!BL2</f>
        <v>0</v>
      </c>
      <c r="X8" s="207" t="str">
        <f>'Tariff Jul 2021'!BM2</f>
        <v>n</v>
      </c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84"/>
      <c r="AL8" s="284"/>
      <c r="AM8" s="284"/>
      <c r="AN8" s="284"/>
      <c r="AO8" s="284"/>
      <c r="AP8" s="284"/>
    </row>
    <row r="9" spans="1:42" x14ac:dyDescent="0.15">
      <c r="A9" s="199" t="str">
        <f>'Tariff Jul 2021'!K3</f>
        <v>Alinta Energy</v>
      </c>
      <c r="B9" s="200" t="str">
        <f>'Tariff Jul 2021'!L3</f>
        <v>Home Deal</v>
      </c>
      <c r="C9" s="201">
        <f>IF('Tariff Jul 2021'!BP3=0,91*'Tariff Jul 2021'!M3/100,(91*'Tariff Jul 2021'!M3/100)+'Tariff Jul 2021'!BP3/4)</f>
        <v>75.53</v>
      </c>
      <c r="D9" s="201">
        <f>IF('Tariff Jul 2021'!O3="",$C$5*'Tariff Jul 2021'!N3/100,IF($C$5&gt;='Tariff Jul 2021'!P3,('Tariff Jul 2021'!P3*'Tariff Jul 2021'!N3/100),($C$5*'Tariff Jul 2021'!N3/100)))</f>
        <v>72.190909090909088</v>
      </c>
      <c r="E9" s="201">
        <f>IF(AND('Tariff Jul 2021'!P3&gt;0,'Tariff Jul 2021'!R3&gt;0),IF($C$5&lt;'Tariff Jul 2021'!P3,0,IF($C$5&lt;=('Tariff Jul 2021'!R3+'Tariff Jul 2021'!P3),(($C$5-'Tariff Jul 2021'!P3)*'Tariff Jul 2021'!Q3/100),(('Tariff Jul 2021'!R3)*'Tariff Jul 2021'!Q3/100))),0)</f>
        <v>0</v>
      </c>
      <c r="F9" s="202">
        <f>IF(AND('Tariff Jul 2021'!Q3&gt;0,'Tariff Jul 2021'!S3&gt;0),IF($C$5&lt;('Tariff Jul 2021'!R3+'Tariff Jul 2021'!P3),0,IF($C$5&lt;=('Tariff Jul 2021'!T3+'Tariff Jul 2021'!R3+'Tariff Jul 2021'!P3),(($C$5-('Tariff Jul 2021'!R3+'Tariff Jul 2021'!P3))*'Tariff Jul 2021'!S3/100),('Tariff Jul 2021'!T3*'Tariff Jul 2021'!S3/100))),0)</f>
        <v>0</v>
      </c>
      <c r="G9" s="201">
        <v>0</v>
      </c>
      <c r="H9" s="201">
        <f>IF(AND('Tariff Jul 2021'!R3&gt;0,'Tariff Jul 2021'!T3&gt;0),IF(($C$5&lt;'Tariff Jul 2021'!T3),(0),($C$5-'Tariff Jul 2021'!T3)*'Tariff Jul 2021'!U3/100),IF(AND('Tariff Jul 2021'!R3&gt;0,'Tariff Jul 2021'!T3=""),IF(($C$5&lt;'Tariff Jul 2021'!R3+'Tariff Jul 2021'!P3),(0),(($C$5-('Tariff Jul 2021'!R3+'Tariff Jul 2021'!P3))*'Tariff Jul 2021'!S3/100)),IF(AND('Tariff Jul 2021'!P3&gt;0,'Tariff Jul 2021'!R3=""&gt;0),IF(($C$5&lt;'Tariff Jul 2021'!P3),(0),($C$5-'Tariff Jul 2021'!P3)*'Tariff Jul 2021'!Q3/100),0)))</f>
        <v>321.59999999999997</v>
      </c>
      <c r="I9" s="201">
        <f t="shared" si="0"/>
        <v>469.32090909090903</v>
      </c>
      <c r="J9" s="252">
        <f t="shared" si="1"/>
        <v>1575.1636363636362</v>
      </c>
      <c r="K9" s="203">
        <f t="shared" ref="K9:K24" si="3">I9*4</f>
        <v>1877.2836363636361</v>
      </c>
      <c r="L9" s="203">
        <f t="shared" ref="L9:L31" si="4">K9*1.1</f>
        <v>2065.0119999999997</v>
      </c>
      <c r="M9" s="200">
        <f>'Tariff Jul 2021'!AZ3</f>
        <v>0</v>
      </c>
      <c r="N9" s="200">
        <f>'Tariff Jul 2021'!BA3</f>
        <v>0</v>
      </c>
      <c r="O9" s="200">
        <f>'Tariff Jul 2021'!BB3</f>
        <v>0</v>
      </c>
      <c r="P9" s="200">
        <f>'Tariff Jul 2021'!BC3</f>
        <v>0</v>
      </c>
      <c r="Q9" s="204" t="str">
        <f t="shared" ref="Q9:Q25" si="5">IF(SUM(M9:P9)=0,"No discount",IF(M9&gt;0,"Guaranteed off bill",IF(N9&gt;0,"Guaranteed off usage",IF(O9&gt;0,"Pay-on-time off bill","Pay-on-time off usage"))))</f>
        <v>No discount</v>
      </c>
      <c r="R9" s="205" t="str">
        <f t="shared" si="2"/>
        <v>Exclusive</v>
      </c>
      <c r="S9" s="254">
        <f t="shared" ref="S9:S31" si="6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1877.2836363636361</v>
      </c>
      <c r="T9" s="252">
        <f t="shared" ref="T9:T31" si="7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1877.2836363636361</v>
      </c>
      <c r="U9" s="260">
        <f t="shared" ref="U9:V24" si="8">S9*1.1</f>
        <v>2065.0119999999997</v>
      </c>
      <c r="V9" s="260">
        <f t="shared" si="8"/>
        <v>2065.0119999999997</v>
      </c>
      <c r="W9" s="206">
        <f>'Tariff Jul 2021'!BL3</f>
        <v>0</v>
      </c>
      <c r="X9" s="207" t="str">
        <f>'Tariff Jul 2021'!BM3</f>
        <v>n</v>
      </c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</row>
    <row r="10" spans="1:42" x14ac:dyDescent="0.15">
      <c r="A10" s="199" t="str">
        <f>'Tariff Jul 2021'!K4</f>
        <v>Diamond Energy</v>
      </c>
      <c r="B10" s="200" t="str">
        <f>'Tariff Jul 2021'!L4</f>
        <v>Renewable Saver POT</v>
      </c>
      <c r="C10" s="201">
        <f>IF('Tariff Jul 2021'!BP4=0,91*'Tariff Jul 2021'!M4/100,(91*'Tariff Jul 2021'!M4/100)+'Tariff Jul 2021'!BP4/4)</f>
        <v>79.124499999999998</v>
      </c>
      <c r="D10" s="201">
        <f>IF('Tariff Jul 2021'!O4="",$C$5*'Tariff Jul 2021'!N4/100,IF($C$5&gt;='Tariff Jul 2021'!P4,('Tariff Jul 2021'!P4*'Tariff Jul 2021'!N4/100),($C$5*'Tariff Jul 2021'!N4/100)))</f>
        <v>99.78</v>
      </c>
      <c r="E10" s="201">
        <f>IF(AND('Tariff Jul 2021'!P4&gt;0,'Tariff Jul 2021'!R4&gt;0),IF($C$5&lt;'Tariff Jul 2021'!P4,0,IF($C$5&lt;=('Tariff Jul 2021'!R4+'Tariff Jul 2021'!P4),(($C$5-'Tariff Jul 2021'!P4)*'Tariff Jul 2021'!Q4/100),(('Tariff Jul 2021'!R4)*'Tariff Jul 2021'!Q4/100))),0)</f>
        <v>251.23</v>
      </c>
      <c r="F10" s="202">
        <f>IF(AND('Tariff Jul 2021'!Q4&gt;0,'Tariff Jul 2021'!S4&gt;0),IF($C$5&lt;('Tariff Jul 2021'!R4+'Tariff Jul 2021'!P4),0,IF($C$5&lt;=('Tariff Jul 2021'!T4+'Tariff Jul 2021'!R4+'Tariff Jul 2021'!P4),(($C$5-('Tariff Jul 2021'!R4+'Tariff Jul 2021'!P4))*'Tariff Jul 2021'!S4/100),('Tariff Jul 2021'!T4*'Tariff Jul 2021'!S4/100))),0)</f>
        <v>194.75</v>
      </c>
      <c r="G10" s="201">
        <v>0</v>
      </c>
      <c r="H10" s="201">
        <f>IF(AND('Tariff Jul 2021'!R4&gt;0,'Tariff Jul 2021'!T4&gt;0),IF(($C$5&lt;'Tariff Jul 2021'!T4),(0),($C$5-'Tariff Jul 2021'!T4)*'Tariff Jul 2021'!U4/100),IF(AND('Tariff Jul 2021'!R4&gt;0,'Tariff Jul 2021'!T4=""),IF(($C$5&lt;'Tariff Jul 2021'!R4+'Tariff Jul 2021'!P4),(0),(($C$5-('Tariff Jul 2021'!R4+'Tariff Jul 2021'!P4))*'Tariff Jul 2021'!S4/100)),IF(AND('Tariff Jul 2021'!P4&gt;0,'Tariff Jul 2021'!R4=""&gt;0),IF(($C$5&lt;'Tariff Jul 2021'!P4),(0),($C$5-'Tariff Jul 2021'!P4)*'Tariff Jul 2021'!Q4/100),0)))</f>
        <v>0</v>
      </c>
      <c r="I10" s="201">
        <f t="shared" si="0"/>
        <v>624.8845</v>
      </c>
      <c r="J10" s="252">
        <f t="shared" si="1"/>
        <v>2183.04</v>
      </c>
      <c r="K10" s="203">
        <f t="shared" si="3"/>
        <v>2499.538</v>
      </c>
      <c r="L10" s="203">
        <f t="shared" si="4"/>
        <v>2749.4918000000002</v>
      </c>
      <c r="M10" s="200">
        <f>'Tariff Jul 2021'!AZ4</f>
        <v>0</v>
      </c>
      <c r="N10" s="200">
        <f>'Tariff Jul 2021'!BA4</f>
        <v>0</v>
      </c>
      <c r="O10" s="200">
        <f>'Tariff Jul 2021'!BB4</f>
        <v>7</v>
      </c>
      <c r="P10" s="200">
        <f>'Tariff Jul 2021'!BC4</f>
        <v>0</v>
      </c>
      <c r="Q10" s="204" t="str">
        <f t="shared" si="5"/>
        <v>Pay-on-time off bill</v>
      </c>
      <c r="R10" s="205" t="str">
        <f t="shared" si="2"/>
        <v>Exclusive</v>
      </c>
      <c r="S10" s="254">
        <f t="shared" si="6"/>
        <v>2499.538</v>
      </c>
      <c r="T10" s="252">
        <f t="shared" si="7"/>
        <v>2324.5703400000002</v>
      </c>
      <c r="U10" s="260">
        <f t="shared" si="8"/>
        <v>2749.4918000000002</v>
      </c>
      <c r="V10" s="260">
        <f t="shared" si="8"/>
        <v>2557.0273740000002</v>
      </c>
      <c r="W10" s="206">
        <f>'Tariff Jul 2021'!BL4</f>
        <v>0</v>
      </c>
      <c r="X10" s="207" t="str">
        <f>'Tariff Jul 2021'!BM4</f>
        <v>n</v>
      </c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</row>
    <row r="11" spans="1:42" x14ac:dyDescent="0.15">
      <c r="A11" s="199" t="str">
        <f>'Tariff Jul 2021'!K5</f>
        <v>Dodo Power &amp; Gas</v>
      </c>
      <c r="B11" s="200" t="str">
        <f>'Tariff Jul 2021'!L5</f>
        <v>Market offer</v>
      </c>
      <c r="C11" s="201">
        <f>IF('Tariff Jul 2021'!BP5=0,91*'Tariff Jul 2021'!M5/100,(91*'Tariff Jul 2021'!M5/100)+'Tariff Jul 2021'!BP5/4)</f>
        <v>86.1190909090909</v>
      </c>
      <c r="D11" s="201">
        <f>IF('Tariff Jul 2021'!O5="",$C$5*'Tariff Jul 2021'!N5/100,IF($C$5&gt;='Tariff Jul 2021'!P5,('Tariff Jul 2021'!P5*'Tariff Jul 2021'!N5/100),($C$5*'Tariff Jul 2021'!N5/100)))</f>
        <v>440.18181818181819</v>
      </c>
      <c r="E11" s="201">
        <f>IF(AND('Tariff Jul 2021'!P5&gt;0,'Tariff Jul 2021'!R5&gt;0),IF($C$5&lt;'Tariff Jul 2021'!P5,0,IF($C$5&lt;=('Tariff Jul 2021'!R5+'Tariff Jul 2021'!P5),(($C$5-'Tariff Jul 2021'!P5)*'Tariff Jul 2021'!Q5/100),(('Tariff Jul 2021'!R5)*'Tariff Jul 2021'!Q5/100))),0)</f>
        <v>0</v>
      </c>
      <c r="F11" s="202">
        <f>IF(AND('Tariff Jul 2021'!Q5&gt;0,'Tariff Jul 2021'!S5&gt;0),IF($C$5&lt;('Tariff Jul 2021'!R5+'Tariff Jul 2021'!P5),0,IF($C$5&lt;=('Tariff Jul 2021'!T5+'Tariff Jul 2021'!R5+'Tariff Jul 2021'!P5),(($C$5-('Tariff Jul 2021'!R5+'Tariff Jul 2021'!P5))*'Tariff Jul 2021'!S5/100),('Tariff Jul 2021'!T5*'Tariff Jul 2021'!S5/100))),0)</f>
        <v>0</v>
      </c>
      <c r="G11" s="201">
        <v>0</v>
      </c>
      <c r="H11" s="201">
        <f>IF(AND('Tariff Jul 2021'!R5&gt;0,'Tariff Jul 2021'!T5&gt;0),IF(($C$5&lt;'Tariff Jul 2021'!T5),(0),($C$5-'Tariff Jul 2021'!T5)*'Tariff Jul 2021'!U5/100),IF(AND('Tariff Jul 2021'!R5&gt;0,'Tariff Jul 2021'!T5=""),IF(($C$5&lt;'Tariff Jul 2021'!R5+'Tariff Jul 2021'!P5),(0),(($C$5-('Tariff Jul 2021'!R5+'Tariff Jul 2021'!P5))*'Tariff Jul 2021'!S5/100)),IF(AND('Tariff Jul 2021'!P5&gt;0,'Tariff Jul 2021'!R5=""&gt;0),IF(($C$5&lt;'Tariff Jul 2021'!P5),(0),($C$5-'Tariff Jul 2021'!P5)*'Tariff Jul 2021'!Q5/100),0)))</f>
        <v>0</v>
      </c>
      <c r="I11" s="201">
        <f t="shared" si="0"/>
        <v>526.30090909090904</v>
      </c>
      <c r="J11" s="252">
        <f t="shared" si="1"/>
        <v>1760.7272727272725</v>
      </c>
      <c r="K11" s="203">
        <f t="shared" si="3"/>
        <v>2105.2036363636362</v>
      </c>
      <c r="L11" s="203">
        <f t="shared" si="4"/>
        <v>2315.7240000000002</v>
      </c>
      <c r="M11" s="200">
        <f>'Tariff Jul 2021'!AZ5</f>
        <v>0</v>
      </c>
      <c r="N11" s="200">
        <f>'Tariff Jul 2021'!BA5</f>
        <v>0</v>
      </c>
      <c r="O11" s="200">
        <f>'Tariff Jul 2021'!BB5</f>
        <v>0</v>
      </c>
      <c r="P11" s="200">
        <f>'Tariff Jul 2021'!BC5</f>
        <v>0</v>
      </c>
      <c r="Q11" s="204" t="str">
        <f t="shared" si="5"/>
        <v>No discount</v>
      </c>
      <c r="R11" s="205" t="str">
        <f t="shared" si="2"/>
        <v>Exclusive</v>
      </c>
      <c r="S11" s="254">
        <f t="shared" si="6"/>
        <v>2105.2036363636362</v>
      </c>
      <c r="T11" s="252">
        <f t="shared" si="7"/>
        <v>2105.2036363636362</v>
      </c>
      <c r="U11" s="260">
        <f t="shared" si="8"/>
        <v>2315.7240000000002</v>
      </c>
      <c r="V11" s="260">
        <f t="shared" si="8"/>
        <v>2315.7240000000002</v>
      </c>
      <c r="W11" s="206">
        <f>'Tariff Jul 2021'!BL5</f>
        <v>0</v>
      </c>
      <c r="X11" s="207" t="str">
        <f>'Tariff Jul 2021'!BM5</f>
        <v>n</v>
      </c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</row>
    <row r="12" spans="1:42" x14ac:dyDescent="0.15">
      <c r="A12" s="199" t="str">
        <f>'Tariff Jul 2021'!K6</f>
        <v>EnergyAustralia</v>
      </c>
      <c r="B12" s="200" t="str">
        <f>'Tariff Jul 2021'!L6</f>
        <v>Total Plan Home</v>
      </c>
      <c r="C12" s="201">
        <f>IF('Tariff Jul 2021'!BP6=0,91*'Tariff Jul 2021'!M6/100,(91*'Tariff Jul 2021'!M6/100)+'Tariff Jul 2021'!BP6/4)</f>
        <v>73.254999999999995</v>
      </c>
      <c r="D12" s="201">
        <f>IF('Tariff Jul 2021'!O6="",$C$5*'Tariff Jul 2021'!N6/100,IF($C$5&gt;='Tariff Jul 2021'!P6,('Tariff Jul 2021'!P6*'Tariff Jul 2021'!N6/100),($C$5*'Tariff Jul 2021'!N6/100)))</f>
        <v>474.81818181818176</v>
      </c>
      <c r="E12" s="201">
        <f>IF(AND('Tariff Jul 2021'!P6&gt;0,'Tariff Jul 2021'!R6&gt;0),IF($C$5&lt;'Tariff Jul 2021'!P6,0,IF($C$5&lt;=('Tariff Jul 2021'!R6+'Tariff Jul 2021'!P6),(($C$5-'Tariff Jul 2021'!P6)*'Tariff Jul 2021'!Q6/100),(('Tariff Jul 2021'!R6)*'Tariff Jul 2021'!Q6/100))),0)</f>
        <v>0</v>
      </c>
      <c r="F12" s="202">
        <f>IF(AND('Tariff Jul 2021'!Q6&gt;0,'Tariff Jul 2021'!S6&gt;0),IF($C$5&lt;('Tariff Jul 2021'!R6+'Tariff Jul 2021'!P6),0,IF($C$5&lt;=('Tariff Jul 2021'!T6+'Tariff Jul 2021'!R6+'Tariff Jul 2021'!P6),(($C$5-('Tariff Jul 2021'!R6+'Tariff Jul 2021'!P6))*'Tariff Jul 2021'!S6/100),('Tariff Jul 2021'!T6*'Tariff Jul 2021'!S6/100))),0)</f>
        <v>0</v>
      </c>
      <c r="G12" s="201">
        <v>0</v>
      </c>
      <c r="H12" s="201">
        <f>IF(AND('Tariff Jul 2021'!R6&gt;0,'Tariff Jul 2021'!T6&gt;0),IF(($C$5&lt;'Tariff Jul 2021'!T6),(0),($C$5-'Tariff Jul 2021'!T6)*'Tariff Jul 2021'!U6/100),IF(AND('Tariff Jul 2021'!R6&gt;0,'Tariff Jul 2021'!T6=""),IF(($C$5&lt;'Tariff Jul 2021'!R6+'Tariff Jul 2021'!P6),(0),(($C$5-('Tariff Jul 2021'!R6+'Tariff Jul 2021'!P6))*'Tariff Jul 2021'!S6/100)),IF(AND('Tariff Jul 2021'!P6&gt;0,'Tariff Jul 2021'!R6=""&gt;0),IF(($C$5&lt;'Tariff Jul 2021'!P6),(0),($C$5-'Tariff Jul 2021'!P6)*'Tariff Jul 2021'!Q6/100),0)))</f>
        <v>0</v>
      </c>
      <c r="I12" s="201">
        <f t="shared" si="0"/>
        <v>548.07318181818175</v>
      </c>
      <c r="J12" s="252">
        <f t="shared" si="1"/>
        <v>1899.272727272727</v>
      </c>
      <c r="K12" s="203">
        <f t="shared" si="3"/>
        <v>2192.292727272727</v>
      </c>
      <c r="L12" s="203">
        <f t="shared" si="4"/>
        <v>2411.5219999999999</v>
      </c>
      <c r="M12" s="200">
        <f>'Tariff Jul 2021'!AZ6</f>
        <v>6</v>
      </c>
      <c r="N12" s="200">
        <f>'Tariff Jul 2021'!BA6</f>
        <v>0</v>
      </c>
      <c r="O12" s="200">
        <f>'Tariff Jul 2021'!BB6</f>
        <v>0</v>
      </c>
      <c r="P12" s="200">
        <f>'Tariff Jul 2021'!BC6</f>
        <v>0</v>
      </c>
      <c r="Q12" s="204" t="str">
        <f t="shared" si="5"/>
        <v>Guaranteed off bill</v>
      </c>
      <c r="R12" s="205" t="str">
        <f t="shared" si="2"/>
        <v>Exclusive</v>
      </c>
      <c r="S12" s="254">
        <f t="shared" si="6"/>
        <v>2060.7551636363632</v>
      </c>
      <c r="T12" s="252">
        <f t="shared" si="7"/>
        <v>2060.7551636363632</v>
      </c>
      <c r="U12" s="260">
        <f t="shared" si="8"/>
        <v>2266.8306799999996</v>
      </c>
      <c r="V12" s="260">
        <f t="shared" si="8"/>
        <v>2266.8306799999996</v>
      </c>
      <c r="W12" s="206">
        <f>'Tariff Jul 2021'!BL6</f>
        <v>0</v>
      </c>
      <c r="X12" s="207" t="str">
        <f>'Tariff Jul 2021'!BM6</f>
        <v>n</v>
      </c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</row>
    <row r="13" spans="1:42" x14ac:dyDescent="0.15">
      <c r="A13" s="199" t="str">
        <f>'Tariff Jul 2021'!K7</f>
        <v>Lumo Energy</v>
      </c>
      <c r="B13" s="200" t="str">
        <f>'Tariff Jul 2021'!L7</f>
        <v>Plus</v>
      </c>
      <c r="C13" s="201">
        <f>IF('Tariff Jul 2021'!BP7=0,91*'Tariff Jul 2021'!M7/100,(91*'Tariff Jul 2021'!M7/100)+'Tariff Jul 2021'!BP7/4)</f>
        <v>72.709000000000003</v>
      </c>
      <c r="D13" s="201">
        <f>IF('Tariff Jul 2021'!O7="",$C$5*'Tariff Jul 2021'!N7/100,IF($C$5&gt;='Tariff Jul 2021'!P7,('Tariff Jul 2021'!P7*'Tariff Jul 2021'!N7/100),($C$5*'Tariff Jul 2021'!N7/100)))</f>
        <v>464.31818181818176</v>
      </c>
      <c r="E13" s="201">
        <f>IF(AND('Tariff Jul 2021'!P7&gt;0,'Tariff Jul 2021'!R7&gt;0),IF($C$5&lt;'Tariff Jul 2021'!P7,0,IF($C$5&lt;=('Tariff Jul 2021'!R7+'Tariff Jul 2021'!P7),(($C$5-'Tariff Jul 2021'!P7)*'Tariff Jul 2021'!Q7/100),(('Tariff Jul 2021'!R7)*'Tariff Jul 2021'!Q7/100))),0)</f>
        <v>0</v>
      </c>
      <c r="F13" s="202">
        <f>IF(AND('Tariff Jul 2021'!Q7&gt;0,'Tariff Jul 2021'!S7&gt;0),IF($C$5&lt;('Tariff Jul 2021'!R7+'Tariff Jul 2021'!P7),0,IF($C$5&lt;=('Tariff Jul 2021'!T7+'Tariff Jul 2021'!R7+'Tariff Jul 2021'!P7),(($C$5-('Tariff Jul 2021'!R7+'Tariff Jul 2021'!P7))*'Tariff Jul 2021'!S7/100),('Tariff Jul 2021'!T7*'Tariff Jul 2021'!S7/100))),0)</f>
        <v>0</v>
      </c>
      <c r="G13" s="201">
        <v>0</v>
      </c>
      <c r="H13" s="201">
        <f>IF(AND('Tariff Jul 2021'!R7&gt;0,'Tariff Jul 2021'!T7&gt;0),IF(($C$5&lt;'Tariff Jul 2021'!T7),(0),($C$5-'Tariff Jul 2021'!T7)*'Tariff Jul 2021'!U7/100),IF(AND('Tariff Jul 2021'!R7&gt;0,'Tariff Jul 2021'!T7=""),IF(($C$5&lt;'Tariff Jul 2021'!R7+'Tariff Jul 2021'!P7),(0),(($C$5-('Tariff Jul 2021'!R7+'Tariff Jul 2021'!P7))*'Tariff Jul 2021'!S7/100)),IF(AND('Tariff Jul 2021'!P7&gt;0,'Tariff Jul 2021'!R7=""&gt;0),IF(($C$5&lt;'Tariff Jul 2021'!P7),(0),($C$5-'Tariff Jul 2021'!P7)*'Tariff Jul 2021'!Q7/100),0)))</f>
        <v>0</v>
      </c>
      <c r="I13" s="201">
        <f t="shared" si="0"/>
        <v>537.02718181818182</v>
      </c>
      <c r="J13" s="252">
        <f t="shared" si="1"/>
        <v>1857.2727272727273</v>
      </c>
      <c r="K13" s="203">
        <f t="shared" si="3"/>
        <v>2148.1087272727273</v>
      </c>
      <c r="L13" s="203">
        <f t="shared" si="4"/>
        <v>2362.9196000000002</v>
      </c>
      <c r="M13" s="200">
        <f>'Tariff Jul 2021'!AZ7</f>
        <v>0</v>
      </c>
      <c r="N13" s="200">
        <f>'Tariff Jul 2021'!BA7</f>
        <v>0</v>
      </c>
      <c r="O13" s="200">
        <f>'Tariff Jul 2021'!BB7</f>
        <v>0</v>
      </c>
      <c r="P13" s="200">
        <f>'Tariff Jul 2021'!BC7</f>
        <v>0</v>
      </c>
      <c r="Q13" s="204" t="str">
        <f t="shared" si="5"/>
        <v>No discount</v>
      </c>
      <c r="R13" s="205" t="str">
        <f t="shared" si="2"/>
        <v>Exclusive</v>
      </c>
      <c r="S13" s="254">
        <f t="shared" si="6"/>
        <v>2148.1087272727273</v>
      </c>
      <c r="T13" s="252">
        <f t="shared" si="7"/>
        <v>2148.1087272727273</v>
      </c>
      <c r="U13" s="260">
        <f t="shared" si="8"/>
        <v>2362.9196000000002</v>
      </c>
      <c r="V13" s="260">
        <f t="shared" si="8"/>
        <v>2362.9196000000002</v>
      </c>
      <c r="W13" s="206">
        <f>'Tariff Jul 2021'!BL7</f>
        <v>0</v>
      </c>
      <c r="X13" s="207" t="str">
        <f>'Tariff Jul 2021'!BM7</f>
        <v>n</v>
      </c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</row>
    <row r="14" spans="1:42" x14ac:dyDescent="0.15">
      <c r="A14" s="199" t="str">
        <f>'Tariff Jul 2021'!K8</f>
        <v>Momentum Energy</v>
      </c>
      <c r="B14" s="200" t="str">
        <f>'Tariff Jul 2021'!L8</f>
        <v>SmilePower Flexi</v>
      </c>
      <c r="C14" s="201">
        <f>IF('Tariff Jul 2021'!BP8=0,91*'Tariff Jul 2021'!M8/100,(91*'Tariff Jul 2021'!M8/100)+'Tariff Jul 2021'!BP8/4)</f>
        <v>85.821272727272714</v>
      </c>
      <c r="D14" s="201">
        <f>IF('Tariff Jul 2021'!O8="",$C$5*'Tariff Jul 2021'!N8/100,IF($C$5&gt;='Tariff Jul 2021'!P8,('Tariff Jul 2021'!P8*'Tariff Jul 2021'!N8/100),($C$5*'Tariff Jul 2021'!N8/100)))</f>
        <v>449.99999999999994</v>
      </c>
      <c r="E14" s="201">
        <f>IF(AND('Tariff Jul 2021'!P8&gt;0,'Tariff Jul 2021'!R8&gt;0),IF($C$5&lt;'Tariff Jul 2021'!P8,0,IF($C$5&lt;=('Tariff Jul 2021'!R8+'Tariff Jul 2021'!P8),(($C$5-'Tariff Jul 2021'!P8)*'Tariff Jul 2021'!Q8/100),(('Tariff Jul 2021'!R8)*'Tariff Jul 2021'!Q8/100))),0)</f>
        <v>0</v>
      </c>
      <c r="F14" s="202">
        <f>IF(AND('Tariff Jul 2021'!Q8&gt;0,'Tariff Jul 2021'!S8&gt;0),IF($C$5&lt;('Tariff Jul 2021'!R8+'Tariff Jul 2021'!P8),0,IF($C$5&lt;=('Tariff Jul 2021'!T8+'Tariff Jul 2021'!R8+'Tariff Jul 2021'!P8),(($C$5-('Tariff Jul 2021'!R8+'Tariff Jul 2021'!P8))*'Tariff Jul 2021'!S8/100),('Tariff Jul 2021'!T8*'Tariff Jul 2021'!S8/100))),0)</f>
        <v>0</v>
      </c>
      <c r="G14" s="201">
        <v>0</v>
      </c>
      <c r="H14" s="201">
        <f>IF(AND('Tariff Jul 2021'!R8&gt;0,'Tariff Jul 2021'!T8&gt;0),IF(($C$5&lt;'Tariff Jul 2021'!T8),(0),($C$5-'Tariff Jul 2021'!T8)*'Tariff Jul 2021'!U8/100),IF(AND('Tariff Jul 2021'!R8&gt;0,'Tariff Jul 2021'!T8=""),IF(($C$5&lt;'Tariff Jul 2021'!R8+'Tariff Jul 2021'!P8),(0),(($C$5-('Tariff Jul 2021'!R8+'Tariff Jul 2021'!P8))*'Tariff Jul 2021'!S8/100)),IF(AND('Tariff Jul 2021'!P8&gt;0,'Tariff Jul 2021'!R8=""&gt;0),IF(($C$5&lt;'Tariff Jul 2021'!P8),(0),($C$5-'Tariff Jul 2021'!P8)*'Tariff Jul 2021'!Q8/100),0)))</f>
        <v>0</v>
      </c>
      <c r="I14" s="201">
        <f t="shared" si="0"/>
        <v>535.82127272727269</v>
      </c>
      <c r="J14" s="252">
        <f t="shared" si="1"/>
        <v>1800</v>
      </c>
      <c r="K14" s="203">
        <f t="shared" si="3"/>
        <v>2143.2850909090907</v>
      </c>
      <c r="L14" s="203">
        <f t="shared" si="4"/>
        <v>2357.6136000000001</v>
      </c>
      <c r="M14" s="200">
        <f>'Tariff Jul 2021'!AZ8</f>
        <v>0</v>
      </c>
      <c r="N14" s="200">
        <f>'Tariff Jul 2021'!BA8</f>
        <v>0</v>
      </c>
      <c r="O14" s="200">
        <f>'Tariff Jul 2021'!BB8</f>
        <v>0</v>
      </c>
      <c r="P14" s="200">
        <f>'Tariff Jul 2021'!BC8</f>
        <v>0</v>
      </c>
      <c r="Q14" s="204" t="str">
        <f t="shared" si="5"/>
        <v>No discount</v>
      </c>
      <c r="R14" s="205" t="str">
        <f t="shared" si="2"/>
        <v>Exclusive</v>
      </c>
      <c r="S14" s="254">
        <f t="shared" si="6"/>
        <v>2143.2850909090907</v>
      </c>
      <c r="T14" s="252">
        <f t="shared" si="7"/>
        <v>2143.2850909090907</v>
      </c>
      <c r="U14" s="260">
        <f t="shared" si="8"/>
        <v>2357.6136000000001</v>
      </c>
      <c r="V14" s="260">
        <f t="shared" si="8"/>
        <v>2357.6136000000001</v>
      </c>
      <c r="W14" s="206">
        <f>'Tariff Jul 2021'!BL8</f>
        <v>0</v>
      </c>
      <c r="X14" s="207" t="str">
        <f>'Tariff Jul 2021'!BM8</f>
        <v>n</v>
      </c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</row>
    <row r="15" spans="1:42" x14ac:dyDescent="0.15">
      <c r="A15" s="199" t="str">
        <f>'Tariff Jul 2021'!K9</f>
        <v>Origin Energy</v>
      </c>
      <c r="B15" s="200" t="str">
        <f>'Tariff Jul 2021'!L9</f>
        <v>Go Variable</v>
      </c>
      <c r="C15" s="201">
        <f>IF('Tariff Jul 2021'!BP9=0,91*'Tariff Jul 2021'!M9/100,(91*'Tariff Jul 2021'!M9/100)+'Tariff Jul 2021'!BP9/4)</f>
        <v>65.453818181818178</v>
      </c>
      <c r="D15" s="201">
        <f>IF('Tariff Jul 2021'!O9="",$C$5*'Tariff Jul 2021'!N9/100,IF($C$5&gt;='Tariff Jul 2021'!P9,('Tariff Jul 2021'!P9*'Tariff Jul 2021'!N9/100),($C$5*'Tariff Jul 2021'!N9/100)))</f>
        <v>277.5454545454545</v>
      </c>
      <c r="E15" s="201">
        <f>IF(AND('Tariff Jul 2021'!P9&gt;0,'Tariff Jul 2021'!R9&gt;0),IF($C$5&lt;'Tariff Jul 2021'!P9,0,IF($C$5&lt;=('Tariff Jul 2021'!R9+'Tariff Jul 2021'!P9),(($C$5-'Tariff Jul 2021'!P9)*'Tariff Jul 2021'!Q9/100),(('Tariff Jul 2021'!R9)*'Tariff Jul 2021'!Q9/100))),0)</f>
        <v>0</v>
      </c>
      <c r="F15" s="202">
        <f>IF(AND('Tariff Jul 2021'!Q9&gt;0,'Tariff Jul 2021'!S9&gt;0),IF($C$5&lt;('Tariff Jul 2021'!R9+'Tariff Jul 2021'!P9),0,IF($C$5&lt;=('Tariff Jul 2021'!T9+'Tariff Jul 2021'!R9+'Tariff Jul 2021'!P9),(($C$5-('Tariff Jul 2021'!R9+'Tariff Jul 2021'!P9))*'Tariff Jul 2021'!S9/100),('Tariff Jul 2021'!T9*'Tariff Jul 2021'!S9/100))),0)</f>
        <v>0</v>
      </c>
      <c r="G15" s="201">
        <v>0</v>
      </c>
      <c r="H15" s="201">
        <f>IF(AND('Tariff Jul 2021'!R9&gt;0,'Tariff Jul 2021'!T9&gt;0),IF(($C$5&lt;'Tariff Jul 2021'!T9),(0),($C$5-'Tariff Jul 2021'!T9)*'Tariff Jul 2021'!U9/100),IF(AND('Tariff Jul 2021'!R9&gt;0,'Tariff Jul 2021'!T9=""),IF(($C$5&lt;'Tariff Jul 2021'!R9+'Tariff Jul 2021'!P9),(0),(($C$5-('Tariff Jul 2021'!R9+'Tariff Jul 2021'!P9))*'Tariff Jul 2021'!S9/100)),IF(AND('Tariff Jul 2021'!P9&gt;0,'Tariff Jul 2021'!R9=""&gt;0),IF(($C$5&lt;'Tariff Jul 2021'!P9),(0),($C$5-'Tariff Jul 2021'!P9)*'Tariff Jul 2021'!Q9/100),0)))</f>
        <v>148.99999999999997</v>
      </c>
      <c r="I15" s="201">
        <f t="shared" si="0"/>
        <v>491.99927272727268</v>
      </c>
      <c r="J15" s="252">
        <f t="shared" si="1"/>
        <v>1706.181818181818</v>
      </c>
      <c r="K15" s="203">
        <f t="shared" si="3"/>
        <v>1967.9970909090907</v>
      </c>
      <c r="L15" s="203">
        <f t="shared" si="4"/>
        <v>2164.7968000000001</v>
      </c>
      <c r="M15" s="200">
        <f>'Tariff Jul 2021'!AZ9</f>
        <v>0</v>
      </c>
      <c r="N15" s="200">
        <f>'Tariff Jul 2021'!BA9</f>
        <v>0</v>
      </c>
      <c r="O15" s="200">
        <f>'Tariff Jul 2021'!BB9</f>
        <v>0</v>
      </c>
      <c r="P15" s="200">
        <f>'Tariff Jul 2021'!BC9</f>
        <v>0</v>
      </c>
      <c r="Q15" s="204" t="str">
        <f t="shared" si="5"/>
        <v>No discount</v>
      </c>
      <c r="R15" s="205" t="str">
        <f t="shared" si="2"/>
        <v>Inclusive</v>
      </c>
      <c r="S15" s="254">
        <f t="shared" si="6"/>
        <v>1967.9970909090907</v>
      </c>
      <c r="T15" s="252">
        <f t="shared" si="7"/>
        <v>1967.9970909090907</v>
      </c>
      <c r="U15" s="260">
        <f t="shared" si="8"/>
        <v>2164.7968000000001</v>
      </c>
      <c r="V15" s="260">
        <f t="shared" si="8"/>
        <v>2164.7968000000001</v>
      </c>
      <c r="W15" s="206">
        <f>'Tariff Jul 2021'!BL9</f>
        <v>0</v>
      </c>
      <c r="X15" s="207" t="str">
        <f>'Tariff Jul 2021'!BM9</f>
        <v>n</v>
      </c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</row>
    <row r="16" spans="1:42" x14ac:dyDescent="0.15">
      <c r="A16" s="199" t="str">
        <f>'Tariff Jul 2021'!K10</f>
        <v>Powerdirect</v>
      </c>
      <c r="B16" s="200" t="str">
        <f>'Tariff Jul 2021'!L10</f>
        <v>Rate Saver</v>
      </c>
      <c r="C16" s="201">
        <f>IF('Tariff Jul 2021'!BP10=0,91*'Tariff Jul 2021'!M10/100,(91*'Tariff Jul 2021'!M10/100)+'Tariff Jul 2021'!BP10/4)</f>
        <v>60.498454545454535</v>
      </c>
      <c r="D16" s="201">
        <f>IF('Tariff Jul 2021'!O10="",$C$5*'Tariff Jul 2021'!N10/100,IF($C$5&gt;='Tariff Jul 2021'!P10,('Tariff Jul 2021'!P10*'Tariff Jul 2021'!N10/100),($C$5*'Tariff Jul 2021'!N10/100)))</f>
        <v>443.45454545454544</v>
      </c>
      <c r="E16" s="201">
        <f>IF(AND('Tariff Jul 2021'!P10&gt;0,'Tariff Jul 2021'!R10&gt;0),IF($C$5&lt;'Tariff Jul 2021'!P10,0,IF($C$5&lt;=('Tariff Jul 2021'!R10+'Tariff Jul 2021'!P10),(($C$5-'Tariff Jul 2021'!P10)*'Tariff Jul 2021'!Q10/100),(('Tariff Jul 2021'!R10)*'Tariff Jul 2021'!Q10/100))),0)</f>
        <v>0</v>
      </c>
      <c r="F16" s="202">
        <f>IF(AND('Tariff Jul 2021'!Q10&gt;0,'Tariff Jul 2021'!S10&gt;0),IF($C$5&lt;('Tariff Jul 2021'!R10+'Tariff Jul 2021'!P10),0,IF($C$5&lt;=('Tariff Jul 2021'!T10+'Tariff Jul 2021'!R10+'Tariff Jul 2021'!P10),(($C$5-('Tariff Jul 2021'!R10+'Tariff Jul 2021'!P10))*'Tariff Jul 2021'!S10/100),('Tariff Jul 2021'!T10*'Tariff Jul 2021'!S10/100))),0)</f>
        <v>0</v>
      </c>
      <c r="G16" s="201">
        <v>0</v>
      </c>
      <c r="H16" s="201">
        <f>IF(AND('Tariff Jul 2021'!R10&gt;0,'Tariff Jul 2021'!T10&gt;0),IF(($C$5&lt;'Tariff Jul 2021'!T10),(0),($C$5-'Tariff Jul 2021'!T10)*'Tariff Jul 2021'!U10/100),IF(AND('Tariff Jul 2021'!R10&gt;0,'Tariff Jul 2021'!T10=""),IF(($C$5&lt;'Tariff Jul 2021'!R10+'Tariff Jul 2021'!P10),(0),(($C$5-('Tariff Jul 2021'!R10+'Tariff Jul 2021'!P10))*'Tariff Jul 2021'!S10/100)),IF(AND('Tariff Jul 2021'!P10&gt;0,'Tariff Jul 2021'!R10=""&gt;0),IF(($C$5&lt;'Tariff Jul 2021'!P10),(0),($C$5-'Tariff Jul 2021'!P10)*'Tariff Jul 2021'!Q10/100),0)))</f>
        <v>0</v>
      </c>
      <c r="I16" s="201">
        <f t="shared" si="0"/>
        <v>503.95299999999997</v>
      </c>
      <c r="J16" s="252">
        <f t="shared" si="1"/>
        <v>1773.8181818181818</v>
      </c>
      <c r="K16" s="203">
        <f t="shared" si="3"/>
        <v>2015.8119999999999</v>
      </c>
      <c r="L16" s="203">
        <f t="shared" si="4"/>
        <v>2217.3932</v>
      </c>
      <c r="M16" s="200">
        <f>'Tariff Jul 2021'!AZ10</f>
        <v>0</v>
      </c>
      <c r="N16" s="200">
        <f>'Tariff Jul 2021'!BA10</f>
        <v>0</v>
      </c>
      <c r="O16" s="200">
        <f>'Tariff Jul 2021'!BB10</f>
        <v>0</v>
      </c>
      <c r="P16" s="200">
        <f>'Tariff Jul 2021'!BC10</f>
        <v>0</v>
      </c>
      <c r="Q16" s="204" t="str">
        <f t="shared" si="5"/>
        <v>No discount</v>
      </c>
      <c r="R16" s="205" t="str">
        <f t="shared" si="2"/>
        <v>Exclusive</v>
      </c>
      <c r="S16" s="254">
        <f t="shared" si="6"/>
        <v>2015.8119999999999</v>
      </c>
      <c r="T16" s="252">
        <f t="shared" si="7"/>
        <v>2015.8119999999999</v>
      </c>
      <c r="U16" s="260">
        <f t="shared" si="8"/>
        <v>2217.3932</v>
      </c>
      <c r="V16" s="260">
        <f t="shared" si="8"/>
        <v>2217.3932</v>
      </c>
      <c r="W16" s="206">
        <f>'Tariff Jul 2021'!BL10</f>
        <v>0</v>
      </c>
      <c r="X16" s="207" t="str">
        <f>'Tariff Jul 2021'!BM10</f>
        <v>n</v>
      </c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</row>
    <row r="17" spans="1:42" x14ac:dyDescent="0.15">
      <c r="A17" s="199" t="str">
        <f>'Tariff Jul 2021'!K11</f>
        <v>Red Energy</v>
      </c>
      <c r="B17" s="200" t="str">
        <f>'Tariff Jul 2021'!L11</f>
        <v>Living Energy Saver</v>
      </c>
      <c r="C17" s="201">
        <f>IF('Tariff Jul 2021'!BP11=0,91*'Tariff Jul 2021'!M11/100,(91*'Tariff Jul 2021'!M11/100)+'Tariff Jul 2021'!BP11/4)</f>
        <v>74.62</v>
      </c>
      <c r="D17" s="201">
        <f>IF('Tariff Jul 2021'!O11="",$C$5*'Tariff Jul 2021'!N11/100,IF($C$5&gt;='Tariff Jul 2021'!P11,('Tariff Jul 2021'!P11*'Tariff Jul 2021'!N11/100),($C$5*'Tariff Jul 2021'!N11/100)))</f>
        <v>466.5</v>
      </c>
      <c r="E17" s="201">
        <f>IF(AND('Tariff Jul 2021'!P11&gt;0,'Tariff Jul 2021'!R11&gt;0),IF($C$5&lt;'Tariff Jul 2021'!P11,0,IF($C$5&lt;=('Tariff Jul 2021'!R11+'Tariff Jul 2021'!P11),(($C$5-'Tariff Jul 2021'!P11)*'Tariff Jul 2021'!Q11/100),(('Tariff Jul 2021'!R11)*'Tariff Jul 2021'!Q11/100))),0)</f>
        <v>0</v>
      </c>
      <c r="F17" s="202">
        <f>IF(AND('Tariff Jul 2021'!Q11&gt;0,'Tariff Jul 2021'!S11&gt;0),IF($C$5&lt;('Tariff Jul 2021'!R11+'Tariff Jul 2021'!P11),0,IF($C$5&lt;=('Tariff Jul 2021'!T11+'Tariff Jul 2021'!R11+'Tariff Jul 2021'!P11),(($C$5-('Tariff Jul 2021'!R11+'Tariff Jul 2021'!P11))*'Tariff Jul 2021'!S11/100),('Tariff Jul 2021'!T11*'Tariff Jul 2021'!S11/100))),0)</f>
        <v>0</v>
      </c>
      <c r="G17" s="201">
        <v>0</v>
      </c>
      <c r="H17" s="201">
        <f>IF(AND('Tariff Jul 2021'!R11&gt;0,'Tariff Jul 2021'!T11&gt;0),IF(($C$5&lt;'Tariff Jul 2021'!T11),(0),($C$5-'Tariff Jul 2021'!T11)*'Tariff Jul 2021'!U11/100),IF(AND('Tariff Jul 2021'!R11&gt;0,'Tariff Jul 2021'!T11=""),IF(($C$5&lt;'Tariff Jul 2021'!R11+'Tariff Jul 2021'!P11),(0),(($C$5-('Tariff Jul 2021'!R11+'Tariff Jul 2021'!P11))*'Tariff Jul 2021'!S11/100)),IF(AND('Tariff Jul 2021'!P11&gt;0,'Tariff Jul 2021'!R11=""&gt;0),IF(($C$5&lt;'Tariff Jul 2021'!P11),(0),($C$5-'Tariff Jul 2021'!P11)*'Tariff Jul 2021'!Q11/100),0)))</f>
        <v>0</v>
      </c>
      <c r="I17" s="201">
        <f t="shared" si="0"/>
        <v>541.12</v>
      </c>
      <c r="J17" s="252">
        <f t="shared" si="1"/>
        <v>1866</v>
      </c>
      <c r="K17" s="203">
        <f t="shared" si="3"/>
        <v>2164.48</v>
      </c>
      <c r="L17" s="203">
        <f t="shared" si="4"/>
        <v>2380.9280000000003</v>
      </c>
      <c r="M17" s="200">
        <f>'Tariff Jul 2021'!AZ11</f>
        <v>0</v>
      </c>
      <c r="N17" s="200">
        <f>'Tariff Jul 2021'!BA11</f>
        <v>0</v>
      </c>
      <c r="O17" s="200">
        <f>'Tariff Jul 2021'!BB11</f>
        <v>0</v>
      </c>
      <c r="P17" s="200">
        <f>'Tariff Jul 2021'!BC11</f>
        <v>0</v>
      </c>
      <c r="Q17" s="204" t="str">
        <f t="shared" si="5"/>
        <v>No discount</v>
      </c>
      <c r="R17" s="205" t="str">
        <f t="shared" si="2"/>
        <v>Inclusive</v>
      </c>
      <c r="S17" s="254">
        <f t="shared" si="6"/>
        <v>2164.48</v>
      </c>
      <c r="T17" s="252">
        <f t="shared" si="7"/>
        <v>2164.48</v>
      </c>
      <c r="U17" s="260">
        <f t="shared" si="8"/>
        <v>2380.9280000000003</v>
      </c>
      <c r="V17" s="260">
        <f t="shared" si="8"/>
        <v>2380.9280000000003</v>
      </c>
      <c r="W17" s="206">
        <f>'Tariff Jul 2021'!BL11</f>
        <v>0</v>
      </c>
      <c r="X17" s="207" t="str">
        <f>'Tariff Jul 2021'!BM11</f>
        <v>n</v>
      </c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</row>
    <row r="18" spans="1:42" x14ac:dyDescent="0.15">
      <c r="A18" s="199" t="str">
        <f>'Tariff Jul 2021'!K12</f>
        <v>Energy Locals</v>
      </c>
      <c r="B18" s="200" t="str">
        <f>'Tariff Jul 2021'!L12</f>
        <v>Local Member</v>
      </c>
      <c r="C18" s="201">
        <f>IF('Tariff Jul 2021'!BP12=0,91*'Tariff Jul 2021'!M12/100,(91*'Tariff Jul 2021'!M12/100)+'Tariff Jul 2021'!BP12/4)</f>
        <v>84</v>
      </c>
      <c r="D18" s="201">
        <f>IF('Tariff Jul 2021'!O12="",$C$5*'Tariff Jul 2021'!N12/100,IF($C$5&gt;='Tariff Jul 2021'!P12,('Tariff Jul 2021'!P12*'Tariff Jul 2021'!N12/100),($C$5*'Tariff Jul 2021'!N12/100)))</f>
        <v>368.31818181818181</v>
      </c>
      <c r="E18" s="201">
        <f>IF(AND('Tariff Jul 2021'!P12&gt;0,'Tariff Jul 2021'!R12&gt;0),IF($C$5&lt;'Tariff Jul 2021'!P12,0,IF($C$5&lt;=('Tariff Jul 2021'!R12+'Tariff Jul 2021'!P12),(($C$5-'Tariff Jul 2021'!P12)*'Tariff Jul 2021'!Q12/100),(('Tariff Jul 2021'!R12)*'Tariff Jul 2021'!Q12/100))),0)</f>
        <v>0</v>
      </c>
      <c r="F18" s="202">
        <f>IF(AND('Tariff Jul 2021'!Q12&gt;0,'Tariff Jul 2021'!S12&gt;0),IF($C$5&lt;('Tariff Jul 2021'!R12+'Tariff Jul 2021'!P12),0,IF($C$5&lt;=('Tariff Jul 2021'!T12+'Tariff Jul 2021'!R12+'Tariff Jul 2021'!P12),(($C$5-('Tariff Jul 2021'!R12+'Tariff Jul 2021'!P12))*'Tariff Jul 2021'!S12/100),('Tariff Jul 2021'!T12*'Tariff Jul 2021'!S12/100))),0)</f>
        <v>0</v>
      </c>
      <c r="G18" s="201">
        <v>0</v>
      </c>
      <c r="H18" s="201">
        <f>IF(AND('Tariff Jul 2021'!R12&gt;0,'Tariff Jul 2021'!T12&gt;0),IF(($C$5&lt;'Tariff Jul 2021'!T12),(0),($C$5-'Tariff Jul 2021'!T12)*'Tariff Jul 2021'!U12/100),IF(AND('Tariff Jul 2021'!R12&gt;0,'Tariff Jul 2021'!T12=""),IF(($C$5&lt;'Tariff Jul 2021'!R12+'Tariff Jul 2021'!P12),(0),(($C$5-('Tariff Jul 2021'!R12+'Tariff Jul 2021'!P12))*'Tariff Jul 2021'!S12/100)),IF(AND('Tariff Jul 2021'!P12&gt;0,'Tariff Jul 2021'!R12=""&gt;0),IF(($C$5&lt;'Tariff Jul 2021'!P12),(0),($C$5-'Tariff Jul 2021'!P12)*'Tariff Jul 2021'!Q12/100),0)))</f>
        <v>0</v>
      </c>
      <c r="I18" s="201">
        <f t="shared" si="0"/>
        <v>452.31818181818181</v>
      </c>
      <c r="J18" s="252">
        <f t="shared" si="1"/>
        <v>1473.2727272727273</v>
      </c>
      <c r="K18" s="203">
        <f t="shared" si="3"/>
        <v>1809.2727272727273</v>
      </c>
      <c r="L18" s="203">
        <f t="shared" si="4"/>
        <v>1990.2</v>
      </c>
      <c r="M18" s="200">
        <f>'Tariff Jul 2021'!AZ12</f>
        <v>0</v>
      </c>
      <c r="N18" s="200">
        <f>'Tariff Jul 2021'!BA12</f>
        <v>0</v>
      </c>
      <c r="O18" s="200">
        <f>'Tariff Jul 2021'!BB12</f>
        <v>0</v>
      </c>
      <c r="P18" s="200">
        <f>'Tariff Jul 2021'!BC12</f>
        <v>0</v>
      </c>
      <c r="Q18" s="204" t="str">
        <f t="shared" si="5"/>
        <v>No discount</v>
      </c>
      <c r="R18" s="205" t="str">
        <f t="shared" si="2"/>
        <v>Exclusive</v>
      </c>
      <c r="S18" s="254">
        <f t="shared" si="6"/>
        <v>1809.2727272727273</v>
      </c>
      <c r="T18" s="252">
        <f t="shared" si="7"/>
        <v>1809.2727272727273</v>
      </c>
      <c r="U18" s="260">
        <f t="shared" si="8"/>
        <v>1990.2</v>
      </c>
      <c r="V18" s="260">
        <f t="shared" si="8"/>
        <v>1990.2</v>
      </c>
      <c r="W18" s="206">
        <f>'Tariff Jul 2021'!BL12</f>
        <v>0</v>
      </c>
      <c r="X18" s="207" t="str">
        <f>'Tariff Jul 2021'!BM12</f>
        <v>n</v>
      </c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</row>
    <row r="19" spans="1:42" x14ac:dyDescent="0.15">
      <c r="A19" s="199" t="str">
        <f>'Tariff Jul 2021'!K13</f>
        <v>Simply Energy</v>
      </c>
      <c r="B19" s="200" t="str">
        <f>'Tariff Jul 2021'!L13</f>
        <v>Energy Saver</v>
      </c>
      <c r="C19" s="201">
        <f>IF('Tariff Jul 2021'!BP13=0,91*'Tariff Jul 2021'!M13/100,(91*'Tariff Jul 2021'!M13/100)+'Tariff Jul 2021'!BP13/4)</f>
        <v>88.27</v>
      </c>
      <c r="D19" s="201">
        <f>IF('Tariff Jul 2021'!O13="",$C$5*'Tariff Jul 2021'!N13/100,IF($C$5&gt;='Tariff Jul 2021'!P13,('Tariff Jul 2021'!P13*'Tariff Jul 2021'!N13/100),($C$5*'Tariff Jul 2021'!N13/100)))</f>
        <v>301.36363636363632</v>
      </c>
      <c r="E19" s="201">
        <f>IF(AND('Tariff Jul 2021'!P13&gt;0,'Tariff Jul 2021'!R13&gt;0),IF($C$5&lt;'Tariff Jul 2021'!P13,0,IF($C$5&lt;=('Tariff Jul 2021'!R13+'Tariff Jul 2021'!P13),(($C$5-'Tariff Jul 2021'!P13)*'Tariff Jul 2021'!Q13/100),(('Tariff Jul 2021'!R13)*'Tariff Jul 2021'!Q13/100))),0)</f>
        <v>0</v>
      </c>
      <c r="F19" s="202">
        <f>IF(AND('Tariff Jul 2021'!Q13&gt;0,'Tariff Jul 2021'!S13&gt;0),IF($C$5&lt;('Tariff Jul 2021'!R13+'Tariff Jul 2021'!P13),0,IF($C$5&lt;=('Tariff Jul 2021'!T13+'Tariff Jul 2021'!R13+'Tariff Jul 2021'!P13),(($C$5-('Tariff Jul 2021'!R13+'Tariff Jul 2021'!P13))*'Tariff Jul 2021'!S13/100),('Tariff Jul 2021'!T13*'Tariff Jul 2021'!S13/100))),0)</f>
        <v>0</v>
      </c>
      <c r="G19" s="201">
        <v>0</v>
      </c>
      <c r="H19" s="201">
        <f>IF(AND('Tariff Jul 2021'!R13&gt;0,'Tariff Jul 2021'!T13&gt;0),IF(($C$5&lt;'Tariff Jul 2021'!T13),(0),($C$5-'Tariff Jul 2021'!T13)*'Tariff Jul 2021'!U13/100),IF(AND('Tariff Jul 2021'!R13&gt;0,'Tariff Jul 2021'!T13=""),IF(($C$5&lt;'Tariff Jul 2021'!R13+'Tariff Jul 2021'!P13),(0),(($C$5-('Tariff Jul 2021'!R13+'Tariff Jul 2021'!P13))*'Tariff Jul 2021'!S13/100)),IF(AND('Tariff Jul 2021'!P13&gt;0,'Tariff Jul 2021'!R13=""&gt;0),IF(($C$5&lt;'Tariff Jul 2021'!P13),(0),($C$5-'Tariff Jul 2021'!P13)*'Tariff Jul 2021'!Q13/100),0)))</f>
        <v>165.68181818181816</v>
      </c>
      <c r="I19" s="201">
        <f t="shared" si="0"/>
        <v>555.31545454545449</v>
      </c>
      <c r="J19" s="252">
        <f t="shared" si="1"/>
        <v>1868.181818181818</v>
      </c>
      <c r="K19" s="203">
        <f t="shared" si="3"/>
        <v>2221.2618181818179</v>
      </c>
      <c r="L19" s="203">
        <f t="shared" si="4"/>
        <v>2443.3879999999999</v>
      </c>
      <c r="M19" s="200">
        <f>'Tariff Jul 2021'!AZ13</f>
        <v>10</v>
      </c>
      <c r="N19" s="200">
        <f>'Tariff Jul 2021'!BA13</f>
        <v>0</v>
      </c>
      <c r="O19" s="200">
        <f>'Tariff Jul 2021'!BB13</f>
        <v>0</v>
      </c>
      <c r="P19" s="200">
        <f>'Tariff Jul 2021'!BC13</f>
        <v>0</v>
      </c>
      <c r="Q19" s="204" t="str">
        <f t="shared" si="5"/>
        <v>Guaranteed off bill</v>
      </c>
      <c r="R19" s="205" t="str">
        <f t="shared" si="2"/>
        <v>Exclusive</v>
      </c>
      <c r="S19" s="254">
        <f t="shared" si="6"/>
        <v>1999.1356363636362</v>
      </c>
      <c r="T19" s="252">
        <f t="shared" si="7"/>
        <v>1999.1356363636362</v>
      </c>
      <c r="U19" s="260">
        <f t="shared" si="8"/>
        <v>2199.0491999999999</v>
      </c>
      <c r="V19" s="260">
        <f t="shared" si="8"/>
        <v>2199.0491999999999</v>
      </c>
      <c r="W19" s="206">
        <f>'Tariff Jul 2021'!BL13</f>
        <v>0</v>
      </c>
      <c r="X19" s="207" t="str">
        <f>'Tariff Jul 2021'!BM13</f>
        <v>n</v>
      </c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</row>
    <row r="20" spans="1:42" x14ac:dyDescent="0.15">
      <c r="A20" s="199" t="str">
        <f>'Tariff Jul 2021'!K14</f>
        <v>Powershop</v>
      </c>
      <c r="B20" s="200" t="str">
        <f>'Tariff Jul 2021'!L14</f>
        <v>Carbon neutral</v>
      </c>
      <c r="C20" s="201">
        <f>IF('Tariff Jul 2021'!BP14=0,91*'Tariff Jul 2021'!M14/100,(91*'Tariff Jul 2021'!M14/100)+'Tariff Jul 2021'!BP14/4)</f>
        <v>86.449999999999989</v>
      </c>
      <c r="D20" s="201">
        <f>IF('Tariff Jul 2021'!O14="",$C$5*'Tariff Jul 2021'!N14/100,IF($C$5&gt;='Tariff Jul 2021'!P14,('Tariff Jul 2021'!P14*'Tariff Jul 2021'!N14/100),($C$5*'Tariff Jul 2021'!N14/100)))</f>
        <v>367.49999999999994</v>
      </c>
      <c r="E20" s="201">
        <f>IF(AND('Tariff Jul 2021'!P14&gt;0,'Tariff Jul 2021'!R14&gt;0),IF($C$5&lt;'Tariff Jul 2021'!P14,0,IF($C$5&lt;=('Tariff Jul 2021'!R14+'Tariff Jul 2021'!P14),(($C$5-'Tariff Jul 2021'!P14)*'Tariff Jul 2021'!Q14/100),(('Tariff Jul 2021'!R14)*'Tariff Jul 2021'!Q14/100))),0)</f>
        <v>0</v>
      </c>
      <c r="F20" s="202">
        <f>IF(AND('Tariff Jul 2021'!Q14&gt;0,'Tariff Jul 2021'!S14&gt;0),IF($C$5&lt;('Tariff Jul 2021'!R14+'Tariff Jul 2021'!P14),0,IF($C$5&lt;=('Tariff Jul 2021'!T14+'Tariff Jul 2021'!R14+'Tariff Jul 2021'!P14),(($C$5-('Tariff Jul 2021'!R14+'Tariff Jul 2021'!P14))*'Tariff Jul 2021'!S14/100),('Tariff Jul 2021'!T14*'Tariff Jul 2021'!S14/100))),0)</f>
        <v>0</v>
      </c>
      <c r="G20" s="201">
        <v>0</v>
      </c>
      <c r="H20" s="201">
        <f>IF(AND('Tariff Jul 2021'!R14&gt;0,'Tariff Jul 2021'!T14&gt;0),IF(($C$5&lt;'Tariff Jul 2021'!T14),(0),($C$5-'Tariff Jul 2021'!T14)*'Tariff Jul 2021'!U14/100),IF(AND('Tariff Jul 2021'!R14&gt;0,'Tariff Jul 2021'!T14=""),IF(($C$5&lt;'Tariff Jul 2021'!R14+'Tariff Jul 2021'!P14),(0),(($C$5-('Tariff Jul 2021'!R14+'Tariff Jul 2021'!P14))*'Tariff Jul 2021'!S14/100)),IF(AND('Tariff Jul 2021'!P14&gt;0,'Tariff Jul 2021'!R14=""&gt;0),IF(($C$5&lt;'Tariff Jul 2021'!P14),(0),($C$5-'Tariff Jul 2021'!P14)*'Tariff Jul 2021'!Q14/100),0)))</f>
        <v>0</v>
      </c>
      <c r="I20" s="201">
        <f t="shared" si="0"/>
        <v>453.94999999999993</v>
      </c>
      <c r="J20" s="252">
        <f t="shared" si="1"/>
        <v>1469.9999999999998</v>
      </c>
      <c r="K20" s="203">
        <f t="shared" si="3"/>
        <v>1815.7999999999997</v>
      </c>
      <c r="L20" s="203">
        <f t="shared" si="4"/>
        <v>1997.3799999999999</v>
      </c>
      <c r="M20" s="200">
        <f>'Tariff Jul 2021'!AZ14</f>
        <v>0</v>
      </c>
      <c r="N20" s="200">
        <f>'Tariff Jul 2021'!BA14</f>
        <v>0</v>
      </c>
      <c r="O20" s="200">
        <f>'Tariff Jul 2021'!BB14</f>
        <v>0</v>
      </c>
      <c r="P20" s="200">
        <f>'Tariff Jul 2021'!BC14</f>
        <v>0</v>
      </c>
      <c r="Q20" s="204" t="str">
        <f t="shared" si="5"/>
        <v>No discount</v>
      </c>
      <c r="R20" s="205" t="str">
        <f t="shared" si="2"/>
        <v>Inclusive</v>
      </c>
      <c r="S20" s="254">
        <f t="shared" si="6"/>
        <v>1815.7999999999997</v>
      </c>
      <c r="T20" s="252">
        <f t="shared" si="7"/>
        <v>1815.7999999999997</v>
      </c>
      <c r="U20" s="260">
        <f t="shared" si="8"/>
        <v>1997.3799999999999</v>
      </c>
      <c r="V20" s="260">
        <f t="shared" si="8"/>
        <v>1997.3799999999999</v>
      </c>
      <c r="W20" s="206">
        <f>'Tariff Jul 2021'!BL14</f>
        <v>0</v>
      </c>
      <c r="X20" s="207" t="str">
        <f>'Tariff Jul 2021'!BM14</f>
        <v>n</v>
      </c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</row>
    <row r="21" spans="1:42" x14ac:dyDescent="0.15">
      <c r="A21" s="199" t="str">
        <f>'Tariff Jul 2021'!K15</f>
        <v>Powerclub</v>
      </c>
      <c r="B21" s="200" t="str">
        <f>'Tariff Jul 2021'!L15</f>
        <v>Powerbank Home</v>
      </c>
      <c r="C21" s="201">
        <f>IF('Tariff Jul 2021'!BP15=0,91*'Tariff Jul 2021'!M15/100,(91*'Tariff Jul 2021'!M15/100)+'Tariff Jul 2021'!BP15/4)</f>
        <v>82.350272727272724</v>
      </c>
      <c r="D21" s="201">
        <f>IF('Tariff Jul 2021'!O15="",$C$5*'Tariff Jul 2021'!N15/100,IF($C$5&gt;='Tariff Jul 2021'!P15,('Tariff Jul 2021'!P15*'Tariff Jul 2021'!N15/100),($C$5*'Tariff Jul 2021'!N15/100)))</f>
        <v>340.7727272727272</v>
      </c>
      <c r="E21" s="201">
        <f>IF(AND('Tariff Jul 2021'!P15&gt;0,'Tariff Jul 2021'!R15&gt;0),IF($C$5&lt;'Tariff Jul 2021'!P15,0,IF($C$5&lt;=('Tariff Jul 2021'!R15+'Tariff Jul 2021'!P15),(($C$5-'Tariff Jul 2021'!P15)*'Tariff Jul 2021'!Q15/100),(('Tariff Jul 2021'!R15)*'Tariff Jul 2021'!Q15/100))),0)</f>
        <v>0</v>
      </c>
      <c r="F21" s="202">
        <f>IF(AND('Tariff Jul 2021'!Q15&gt;0,'Tariff Jul 2021'!S15&gt;0),IF($C$5&lt;('Tariff Jul 2021'!R15+'Tariff Jul 2021'!P15),0,IF($C$5&lt;=('Tariff Jul 2021'!T15+'Tariff Jul 2021'!R15+'Tariff Jul 2021'!P15),(($C$5-('Tariff Jul 2021'!R15+'Tariff Jul 2021'!P15))*'Tariff Jul 2021'!S15/100),('Tariff Jul 2021'!T15*'Tariff Jul 2021'!S15/100))),0)</f>
        <v>0</v>
      </c>
      <c r="G21" s="201">
        <v>0</v>
      </c>
      <c r="H21" s="201">
        <f>IF(AND('Tariff Jul 2021'!R15&gt;0,'Tariff Jul 2021'!T15&gt;0),IF(($C$5&lt;'Tariff Jul 2021'!T15),(0),($C$5-'Tariff Jul 2021'!T15)*'Tariff Jul 2021'!U15/100),IF(AND('Tariff Jul 2021'!R15&gt;0,'Tariff Jul 2021'!T15=""),IF(($C$5&lt;'Tariff Jul 2021'!R15+'Tariff Jul 2021'!P15),(0),(($C$5-('Tariff Jul 2021'!R15+'Tariff Jul 2021'!P15))*'Tariff Jul 2021'!S15/100)),IF(AND('Tariff Jul 2021'!P15&gt;0,'Tariff Jul 2021'!R15=""&gt;0),IF(($C$5&lt;'Tariff Jul 2021'!P15),(0),($C$5-'Tariff Jul 2021'!P15)*'Tariff Jul 2021'!Q15/100),0)))</f>
        <v>0</v>
      </c>
      <c r="I21" s="201">
        <f t="shared" si="0"/>
        <v>423.12299999999993</v>
      </c>
      <c r="J21" s="252">
        <f t="shared" si="1"/>
        <v>1363.0909090909088</v>
      </c>
      <c r="K21" s="203">
        <f t="shared" si="3"/>
        <v>1692.4919999999997</v>
      </c>
      <c r="L21" s="203">
        <f t="shared" si="4"/>
        <v>1861.7411999999999</v>
      </c>
      <c r="M21" s="200">
        <f>'Tariff Jul 2021'!AZ15</f>
        <v>0</v>
      </c>
      <c r="N21" s="200">
        <f>'Tariff Jul 2021'!BA15</f>
        <v>0</v>
      </c>
      <c r="O21" s="200">
        <f>'Tariff Jul 2021'!BB15</f>
        <v>0</v>
      </c>
      <c r="P21" s="200">
        <f>'Tariff Jul 2021'!BC15</f>
        <v>0</v>
      </c>
      <c r="Q21" s="204" t="str">
        <f t="shared" si="5"/>
        <v>No discount</v>
      </c>
      <c r="R21" s="205" t="str">
        <f t="shared" si="2"/>
        <v>Exclusive</v>
      </c>
      <c r="S21" s="254">
        <f t="shared" si="6"/>
        <v>1692.4919999999997</v>
      </c>
      <c r="T21" s="252">
        <f t="shared" si="7"/>
        <v>1692.4919999999997</v>
      </c>
      <c r="U21" s="260">
        <f t="shared" si="8"/>
        <v>1861.7411999999999</v>
      </c>
      <c r="V21" s="260">
        <f t="shared" si="8"/>
        <v>1861.7411999999999</v>
      </c>
      <c r="W21" s="206">
        <f>'Tariff Jul 2021'!BL15</f>
        <v>0</v>
      </c>
      <c r="X21" s="207" t="str">
        <f>'Tariff Jul 2021'!BM15</f>
        <v>n</v>
      </c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</row>
    <row r="22" spans="1:42" x14ac:dyDescent="0.15">
      <c r="A22" s="199" t="str">
        <f>'Tariff Jul 2021'!K16</f>
        <v>Amber Electric</v>
      </c>
      <c r="B22" s="200" t="str">
        <f>'Tariff Jul 2021'!L16</f>
        <v>Amber 15</v>
      </c>
      <c r="C22" s="201">
        <f>IF('Tariff Jul 2021'!BP16=0,91*'Tariff Jul 2021'!M16/100,(91*'Tariff Jul 2021'!M16/100)+'Tariff Jul 2021'!BP16/4)</f>
        <v>124.25522727272725</v>
      </c>
      <c r="D22" s="201">
        <f>IF('Tariff Jul 2021'!O16="",$C$5*'Tariff Jul 2021'!N16/100,IF($C$5&gt;='Tariff Jul 2021'!P16,('Tariff Jul 2021'!P16*'Tariff Jul 2021'!N16/100),($C$5*'Tariff Jul 2021'!N16/100)))</f>
        <v>398.31818181818181</v>
      </c>
      <c r="E22" s="201">
        <f>IF(AND('Tariff Jul 2021'!P16&gt;0,'Tariff Jul 2021'!R16&gt;0),IF($C$5&lt;'Tariff Jul 2021'!P16,0,IF($C$5&lt;=('Tariff Jul 2021'!R16+'Tariff Jul 2021'!P16),(($C$5-'Tariff Jul 2021'!P16)*'Tariff Jul 2021'!Q16/100),(('Tariff Jul 2021'!R16)*'Tariff Jul 2021'!Q16/100))),0)</f>
        <v>0</v>
      </c>
      <c r="F22" s="202">
        <f>IF(AND('Tariff Jul 2021'!Q16&gt;0,'Tariff Jul 2021'!S16&gt;0),IF($C$5&lt;('Tariff Jul 2021'!R16+'Tariff Jul 2021'!P16),0,IF($C$5&lt;=('Tariff Jul 2021'!T16+'Tariff Jul 2021'!R16+'Tariff Jul 2021'!P16),(($C$5-('Tariff Jul 2021'!R16+'Tariff Jul 2021'!P16))*'Tariff Jul 2021'!S16/100),('Tariff Jul 2021'!T16*'Tariff Jul 2021'!S16/100))),0)</f>
        <v>0</v>
      </c>
      <c r="G22" s="201">
        <v>0</v>
      </c>
      <c r="H22" s="201">
        <f>IF(AND('Tariff Jul 2021'!R16&gt;0,'Tariff Jul 2021'!T16&gt;0),IF(($C$5&lt;'Tariff Jul 2021'!T16),(0),($C$5-'Tariff Jul 2021'!T16)*'Tariff Jul 2021'!U16/100),IF(AND('Tariff Jul 2021'!R16&gt;0,'Tariff Jul 2021'!T16=""),IF(($C$5&lt;'Tariff Jul 2021'!R16+'Tariff Jul 2021'!P16),(0),(($C$5-('Tariff Jul 2021'!R16+'Tariff Jul 2021'!P16))*'Tariff Jul 2021'!S16/100)),IF(AND('Tariff Jul 2021'!P16&gt;0,'Tariff Jul 2021'!R16=""&gt;0),IF(($C$5&lt;'Tariff Jul 2021'!P16),(0),($C$5-'Tariff Jul 2021'!P16)*'Tariff Jul 2021'!Q16/100),0)))</f>
        <v>0</v>
      </c>
      <c r="I22" s="201">
        <f t="shared" si="0"/>
        <v>522.57340909090908</v>
      </c>
      <c r="J22" s="252">
        <f t="shared" si="1"/>
        <v>1593.2727272727273</v>
      </c>
      <c r="K22" s="203">
        <f t="shared" si="3"/>
        <v>2090.2936363636363</v>
      </c>
      <c r="L22" s="203">
        <f t="shared" si="4"/>
        <v>2299.3230000000003</v>
      </c>
      <c r="M22" s="200">
        <f>'Tariff Jul 2021'!AZ16</f>
        <v>0</v>
      </c>
      <c r="N22" s="200">
        <f>'Tariff Jul 2021'!BA16</f>
        <v>0</v>
      </c>
      <c r="O22" s="200">
        <f>'Tariff Jul 2021'!BB16</f>
        <v>0</v>
      </c>
      <c r="P22" s="200">
        <f>'Tariff Jul 2021'!BC16</f>
        <v>0</v>
      </c>
      <c r="Q22" s="204" t="str">
        <f t="shared" si="5"/>
        <v>No discount</v>
      </c>
      <c r="R22" s="205" t="str">
        <f t="shared" si="2"/>
        <v>Exclusive</v>
      </c>
      <c r="S22" s="254">
        <f t="shared" si="6"/>
        <v>2090.2936363636363</v>
      </c>
      <c r="T22" s="252">
        <f t="shared" si="7"/>
        <v>2090.2936363636363</v>
      </c>
      <c r="U22" s="260">
        <f t="shared" si="8"/>
        <v>2299.3230000000003</v>
      </c>
      <c r="V22" s="260">
        <f t="shared" si="8"/>
        <v>2299.3230000000003</v>
      </c>
      <c r="W22" s="206">
        <f>'Tariff Jul 2021'!BL16</f>
        <v>0</v>
      </c>
      <c r="X22" s="207" t="str">
        <f>'Tariff Jul 2021'!BM16</f>
        <v>n</v>
      </c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</row>
    <row r="23" spans="1:42" x14ac:dyDescent="0.15">
      <c r="A23" s="199" t="str">
        <f>'Tariff Jul 2021'!K17</f>
        <v>Discover Energy</v>
      </c>
      <c r="B23" s="200" t="str">
        <f>'Tariff Jul 2021'!L17</f>
        <v>Smart Saver</v>
      </c>
      <c r="C23" s="201">
        <f>IF('Tariff Jul 2021'!BP17=0,91*'Tariff Jul 2021'!M17/100,(91*'Tariff Jul 2021'!M17/100)+'Tariff Jul 2021'!BP17/4)</f>
        <v>56.246272727272718</v>
      </c>
      <c r="D23" s="201">
        <f>IF('Tariff Jul 2021'!O17="",$C$5*'Tariff Jul 2021'!N17/100,IF($C$5&gt;='Tariff Jul 2021'!P17,('Tariff Jul 2021'!P17*'Tariff Jul 2021'!N17/100),($C$5*'Tariff Jul 2021'!N17/100)))</f>
        <v>465.8181818181817</v>
      </c>
      <c r="E23" s="201">
        <f>IF(AND('Tariff Jul 2021'!P17&gt;0,'Tariff Jul 2021'!R17&gt;0),IF($C$5&lt;'Tariff Jul 2021'!P17,0,IF($C$5&lt;=('Tariff Jul 2021'!R17+'Tariff Jul 2021'!P17),(($C$5-'Tariff Jul 2021'!P17)*'Tariff Jul 2021'!Q17/100),(('Tariff Jul 2021'!R17)*'Tariff Jul 2021'!Q17/100))),0)</f>
        <v>0</v>
      </c>
      <c r="F23" s="202">
        <f>IF(AND('Tariff Jul 2021'!Q17&gt;0,'Tariff Jul 2021'!S17&gt;0),IF($C$5&lt;('Tariff Jul 2021'!R17+'Tariff Jul 2021'!P17),0,IF($C$5&lt;=('Tariff Jul 2021'!T17+'Tariff Jul 2021'!R17+'Tariff Jul 2021'!P17),(($C$5-('Tariff Jul 2021'!R17+'Tariff Jul 2021'!P17))*'Tariff Jul 2021'!S17/100),('Tariff Jul 2021'!T17*'Tariff Jul 2021'!S17/100))),0)</f>
        <v>0</v>
      </c>
      <c r="G23" s="201">
        <v>0</v>
      </c>
      <c r="H23" s="201">
        <f>IF(AND('Tariff Jul 2021'!R17&gt;0,'Tariff Jul 2021'!T17&gt;0),IF(($C$5&lt;'Tariff Jul 2021'!T17),(0),($C$5-'Tariff Jul 2021'!T17)*'Tariff Jul 2021'!U17/100),IF(AND('Tariff Jul 2021'!R17&gt;0,'Tariff Jul 2021'!T17=""),IF(($C$5&lt;'Tariff Jul 2021'!R17+'Tariff Jul 2021'!P17),(0),(($C$5-('Tariff Jul 2021'!R17+'Tariff Jul 2021'!P17))*'Tariff Jul 2021'!S17/100)),IF(AND('Tariff Jul 2021'!P17&gt;0,'Tariff Jul 2021'!R17=""&gt;0),IF(($C$5&lt;'Tariff Jul 2021'!P17),(0),($C$5-'Tariff Jul 2021'!P17)*'Tariff Jul 2021'!Q17/100),0)))</f>
        <v>0</v>
      </c>
      <c r="I23" s="201">
        <f t="shared" si="0"/>
        <v>522.0644545454544</v>
      </c>
      <c r="J23" s="252">
        <f t="shared" si="1"/>
        <v>1863.2727272727268</v>
      </c>
      <c r="K23" s="203">
        <f t="shared" si="3"/>
        <v>2088.2578181818176</v>
      </c>
      <c r="L23" s="203">
        <f t="shared" si="4"/>
        <v>2297.0835999999995</v>
      </c>
      <c r="M23" s="200">
        <f>'Tariff Jul 2021'!AZ17</f>
        <v>0</v>
      </c>
      <c r="N23" s="200">
        <f>'Tariff Jul 2021'!BA17</f>
        <v>24</v>
      </c>
      <c r="O23" s="200">
        <f>'Tariff Jul 2021'!BB17</f>
        <v>0</v>
      </c>
      <c r="P23" s="200">
        <f>'Tariff Jul 2021'!BC17</f>
        <v>0</v>
      </c>
      <c r="Q23" s="204" t="str">
        <f t="shared" si="5"/>
        <v>Guaranteed off usage</v>
      </c>
      <c r="R23" s="205" t="str">
        <f t="shared" si="2"/>
        <v>Exclusive</v>
      </c>
      <c r="S23" s="254">
        <f t="shared" si="6"/>
        <v>1641.0723636363632</v>
      </c>
      <c r="T23" s="252">
        <f t="shared" si="7"/>
        <v>1641.0723636363632</v>
      </c>
      <c r="U23" s="260">
        <f t="shared" si="8"/>
        <v>1805.1795999999997</v>
      </c>
      <c r="V23" s="260">
        <f t="shared" si="8"/>
        <v>1805.1795999999997</v>
      </c>
      <c r="W23" s="206">
        <f>'Tariff Jul 2021'!BL17</f>
        <v>0</v>
      </c>
      <c r="X23" s="207" t="str">
        <f>'Tariff Jul 2021'!BM17</f>
        <v>n</v>
      </c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</row>
    <row r="24" spans="1:42" x14ac:dyDescent="0.15">
      <c r="A24" s="199" t="str">
        <f>'Tariff Jul 2021'!K18</f>
        <v>Future X Power</v>
      </c>
      <c r="B24" s="200" t="str">
        <f>'Tariff Jul 2021'!L18</f>
        <v>Flexi Saver</v>
      </c>
      <c r="C24" s="201">
        <f>IF('Tariff Jul 2021'!BP18=0,91*'Tariff Jul 2021'!M18/100,(91*'Tariff Jul 2021'!M18/100)+'Tariff Jul 2021'!BP18/4)</f>
        <v>78.077999999999989</v>
      </c>
      <c r="D24" s="201">
        <f>IF('Tariff Jul 2021'!O18="",$C$5*'Tariff Jul 2021'!N18/100,IF($C$5&gt;='Tariff Jul 2021'!P18,('Tariff Jul 2021'!P18*'Tariff Jul 2021'!N18/100),($C$5*'Tariff Jul 2021'!N18/100)))</f>
        <v>423.81818181818176</v>
      </c>
      <c r="E24" s="201">
        <f>IF(AND('Tariff Jul 2021'!P18&gt;0,'Tariff Jul 2021'!R18&gt;0),IF($C$5&lt;'Tariff Jul 2021'!P18,0,IF($C$5&lt;=('Tariff Jul 2021'!R18+'Tariff Jul 2021'!P18),(($C$5-'Tariff Jul 2021'!P18)*'Tariff Jul 2021'!Q18/100),(('Tariff Jul 2021'!R18)*'Tariff Jul 2021'!Q18/100))),0)</f>
        <v>0</v>
      </c>
      <c r="F24" s="202">
        <f>IF(AND('Tariff Jul 2021'!Q18&gt;0,'Tariff Jul 2021'!S18&gt;0),IF($C$5&lt;('Tariff Jul 2021'!R18+'Tariff Jul 2021'!P18),0,IF($C$5&lt;=('Tariff Jul 2021'!T18+'Tariff Jul 2021'!R18+'Tariff Jul 2021'!P18),(($C$5-('Tariff Jul 2021'!R18+'Tariff Jul 2021'!P18))*'Tariff Jul 2021'!S18/100),('Tariff Jul 2021'!T18*'Tariff Jul 2021'!S18/100))),0)</f>
        <v>0</v>
      </c>
      <c r="G24" s="201">
        <v>0</v>
      </c>
      <c r="H24" s="201">
        <f>IF(AND('Tariff Jul 2021'!R18&gt;0,'Tariff Jul 2021'!T18&gt;0),IF(($C$5&lt;'Tariff Jul 2021'!T18),(0),($C$5-'Tariff Jul 2021'!T18)*'Tariff Jul 2021'!U18/100),IF(AND('Tariff Jul 2021'!R18&gt;0,'Tariff Jul 2021'!T18=""),IF(($C$5&lt;'Tariff Jul 2021'!R18+'Tariff Jul 2021'!P18),(0),(($C$5-('Tariff Jul 2021'!R18+'Tariff Jul 2021'!P18))*'Tariff Jul 2021'!S18/100)),IF(AND('Tariff Jul 2021'!P18&gt;0,'Tariff Jul 2021'!R18=""&gt;0),IF(($C$5&lt;'Tariff Jul 2021'!P18),(0),($C$5-'Tariff Jul 2021'!P18)*'Tariff Jul 2021'!Q18/100),0)))</f>
        <v>0</v>
      </c>
      <c r="I24" s="201">
        <f t="shared" si="0"/>
        <v>501.89618181818173</v>
      </c>
      <c r="J24" s="252">
        <f t="shared" si="1"/>
        <v>1695.272727272727</v>
      </c>
      <c r="K24" s="203">
        <f t="shared" si="3"/>
        <v>2007.5847272727269</v>
      </c>
      <c r="L24" s="203">
        <f t="shared" si="4"/>
        <v>2208.3431999999998</v>
      </c>
      <c r="M24" s="200">
        <f>'Tariff Jul 2021'!AZ18</f>
        <v>0</v>
      </c>
      <c r="N24" s="200">
        <f>'Tariff Jul 2021'!BA18</f>
        <v>0</v>
      </c>
      <c r="O24" s="200">
        <f>'Tariff Jul 2021'!BB18</f>
        <v>0</v>
      </c>
      <c r="P24" s="200">
        <f>'Tariff Jul 2021'!BC18</f>
        <v>0</v>
      </c>
      <c r="Q24" s="204" t="str">
        <f t="shared" si="5"/>
        <v>No discount</v>
      </c>
      <c r="R24" s="205" t="str">
        <f t="shared" si="2"/>
        <v>Exclusive</v>
      </c>
      <c r="S24" s="254">
        <f t="shared" si="6"/>
        <v>2007.5847272727269</v>
      </c>
      <c r="T24" s="252">
        <f t="shared" si="7"/>
        <v>2007.5847272727269</v>
      </c>
      <c r="U24" s="260">
        <f t="shared" si="8"/>
        <v>2208.3431999999998</v>
      </c>
      <c r="V24" s="260">
        <f t="shared" si="8"/>
        <v>2208.3431999999998</v>
      </c>
      <c r="W24" s="206">
        <f>'Tariff Jul 2021'!BL18</f>
        <v>0</v>
      </c>
      <c r="X24" s="207" t="str">
        <f>'Tariff Jul 2021'!BM18</f>
        <v>n</v>
      </c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</row>
    <row r="25" spans="1:42" x14ac:dyDescent="0.15">
      <c r="A25" s="199" t="str">
        <f>'Tariff Jul 2021'!K19</f>
        <v>GloBird Energy</v>
      </c>
      <c r="B25" s="200" t="str">
        <f>'Tariff Jul 2021'!L19</f>
        <v>SureSave</v>
      </c>
      <c r="C25" s="201">
        <f>IF('Tariff Jul 2021'!BP19=0,91*'Tariff Jul 2021'!M19/100,(91*'Tariff Jul 2021'!M19/100)+'Tariff Jul 2021'!BP19/4)</f>
        <v>99.19</v>
      </c>
      <c r="D25" s="201">
        <f>IF('Tariff Jul 2021'!O19="",$C$5*'Tariff Jul 2021'!N19/100,IF($C$5&gt;='Tariff Jul 2021'!P19,('Tariff Jul 2021'!P19*'Tariff Jul 2021'!N19/100),($C$5*'Tariff Jul 2021'!N19/100)))</f>
        <v>434.99999999999994</v>
      </c>
      <c r="E25" s="201">
        <f>IF(AND('Tariff Jul 2021'!P19&gt;0,'Tariff Jul 2021'!R19&gt;0),IF($C$5&lt;'Tariff Jul 2021'!P19,0,IF($C$5&lt;=('Tariff Jul 2021'!R19+'Tariff Jul 2021'!P19),(($C$5-'Tariff Jul 2021'!P19)*'Tariff Jul 2021'!Q19/100),(('Tariff Jul 2021'!R19)*'Tariff Jul 2021'!Q19/100))),0)</f>
        <v>0</v>
      </c>
      <c r="F25" s="202">
        <f>IF(AND('Tariff Jul 2021'!Q19&gt;0,'Tariff Jul 2021'!S19&gt;0),IF($C$5&lt;('Tariff Jul 2021'!R19+'Tariff Jul 2021'!P19),0,IF($C$5&lt;=('Tariff Jul 2021'!T19+'Tariff Jul 2021'!R19+'Tariff Jul 2021'!P19),(($C$5-('Tariff Jul 2021'!R19+'Tariff Jul 2021'!P19))*'Tariff Jul 2021'!S19/100),('Tariff Jul 2021'!T19*'Tariff Jul 2021'!S19/100))),0)</f>
        <v>0</v>
      </c>
      <c r="G25" s="201">
        <v>0</v>
      </c>
      <c r="H25" s="201">
        <f>IF(AND('Tariff Jul 2021'!R19&gt;0,'Tariff Jul 2021'!T19&gt;0),IF(($C$5&lt;'Tariff Jul 2021'!T19),(0),($C$5-'Tariff Jul 2021'!T19)*'Tariff Jul 2021'!U19/100),IF(AND('Tariff Jul 2021'!R19&gt;0,'Tariff Jul 2021'!T19=""),IF(($C$5&lt;'Tariff Jul 2021'!R19+'Tariff Jul 2021'!P19),(0),(($C$5-('Tariff Jul 2021'!R19+'Tariff Jul 2021'!P19))*'Tariff Jul 2021'!S19/100)),IF(AND('Tariff Jul 2021'!P19&gt;0,'Tariff Jul 2021'!R19=""&gt;0),IF(($C$5&lt;'Tariff Jul 2021'!P19),(0),($C$5-'Tariff Jul 2021'!P19)*'Tariff Jul 2021'!Q19/100),0)))</f>
        <v>0</v>
      </c>
      <c r="I25" s="201">
        <f t="shared" si="0"/>
        <v>534.18999999999994</v>
      </c>
      <c r="J25" s="252">
        <f t="shared" si="1"/>
        <v>1739.9999999999998</v>
      </c>
      <c r="K25" s="203">
        <f>I25*4</f>
        <v>2136.7599999999998</v>
      </c>
      <c r="L25" s="203">
        <f t="shared" si="4"/>
        <v>2350.4360000000001</v>
      </c>
      <c r="M25" s="200">
        <f>'Tariff Jul 2021'!AZ19</f>
        <v>0</v>
      </c>
      <c r="N25" s="200">
        <f>'Tariff Jul 2021'!BA19</f>
        <v>0</v>
      </c>
      <c r="O25" s="200">
        <f>'Tariff Jul 2021'!BB19</f>
        <v>0</v>
      </c>
      <c r="P25" s="200">
        <f>'Tariff Jul 2021'!BC19</f>
        <v>0</v>
      </c>
      <c r="Q25" s="204" t="str">
        <f t="shared" si="5"/>
        <v>No discount</v>
      </c>
      <c r="R25" s="205" t="str">
        <f t="shared" si="2"/>
        <v>Exclusive</v>
      </c>
      <c r="S25" s="254">
        <f t="shared" si="6"/>
        <v>2136.7599999999998</v>
      </c>
      <c r="T25" s="252">
        <f t="shared" si="7"/>
        <v>2136.7599999999998</v>
      </c>
      <c r="U25" s="260">
        <f t="shared" ref="U25:V31" si="9">S25*1.1</f>
        <v>2350.4360000000001</v>
      </c>
      <c r="V25" s="260">
        <f t="shared" si="9"/>
        <v>2350.4360000000001</v>
      </c>
      <c r="W25" s="206">
        <f>'Tariff Jul 2021'!BL19</f>
        <v>0</v>
      </c>
      <c r="X25" s="207" t="str">
        <f>'Tariff Jul 2021'!BM19</f>
        <v>n</v>
      </c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</row>
    <row r="26" spans="1:42" x14ac:dyDescent="0.15">
      <c r="A26" s="199" t="str">
        <f>'Tariff Jul 2021'!K20</f>
        <v>Kogan Energy</v>
      </c>
      <c r="B26" s="200" t="str">
        <f>'Tariff Jul 2021'!L20</f>
        <v>Market offer</v>
      </c>
      <c r="C26" s="201">
        <f>IF('Tariff Jul 2021'!BP20=0,91*'Tariff Jul 2021'!M20/100,(91*'Tariff Jul 2021'!M20/100)+'Tariff Jul 2021'!BP20/4)</f>
        <v>96.766090909090906</v>
      </c>
      <c r="D26" s="201">
        <f>IF('Tariff Jul 2021'!O20="",$C$5*'Tariff Jul 2021'!N20/100,IF($C$5&gt;='Tariff Jul 2021'!P20,('Tariff Jul 2021'!P20*'Tariff Jul 2021'!N20/100),($C$5*'Tariff Jul 2021'!N20/100)))</f>
        <v>342.54545454545456</v>
      </c>
      <c r="E26" s="201">
        <f>IF(AND('Tariff Jul 2021'!P20&gt;0,'Tariff Jul 2021'!R20&gt;0),IF($C$5&lt;'Tariff Jul 2021'!P20,0,IF($C$5&lt;=('Tariff Jul 2021'!R20+'Tariff Jul 2021'!P20),(($C$5-'Tariff Jul 2021'!P20)*'Tariff Jul 2021'!Q20/100),(('Tariff Jul 2021'!R20)*'Tariff Jul 2021'!Q20/100))),0)</f>
        <v>0</v>
      </c>
      <c r="F26" s="202">
        <f>IF(AND('Tariff Jul 2021'!Q20&gt;0,'Tariff Jul 2021'!S20&gt;0),IF($C$5&lt;('Tariff Jul 2021'!R20+'Tariff Jul 2021'!P20),0,IF($C$5&lt;=('Tariff Jul 2021'!T20+'Tariff Jul 2021'!R20+'Tariff Jul 2021'!P20),(($C$5-('Tariff Jul 2021'!R20+'Tariff Jul 2021'!P20))*'Tariff Jul 2021'!S20/100),('Tariff Jul 2021'!T20*'Tariff Jul 2021'!S20/100))),0)</f>
        <v>0</v>
      </c>
      <c r="G26" s="201">
        <v>0</v>
      </c>
      <c r="H26" s="201">
        <f>IF(AND('Tariff Jul 2021'!R20&gt;0,'Tariff Jul 2021'!T20&gt;0),IF(($C$5&lt;'Tariff Jul 2021'!T20),(0),($C$5-'Tariff Jul 2021'!T20)*'Tariff Jul 2021'!U20/100),IF(AND('Tariff Jul 2021'!R20&gt;0,'Tariff Jul 2021'!T20=""),IF(($C$5&lt;'Tariff Jul 2021'!R20+'Tariff Jul 2021'!P20),(0),(($C$5-('Tariff Jul 2021'!R20+'Tariff Jul 2021'!P20))*'Tariff Jul 2021'!S20/100)),IF(AND('Tariff Jul 2021'!P20&gt;0,'Tariff Jul 2021'!R20=""&gt;0),IF(($C$5&lt;'Tariff Jul 2021'!P20),(0),($C$5-'Tariff Jul 2021'!P20)*'Tariff Jul 2021'!Q20/100),0)))</f>
        <v>0</v>
      </c>
      <c r="I26" s="201">
        <f t="shared" ref="I26:I31" si="10">SUM(C26:H26)</f>
        <v>439.31154545454547</v>
      </c>
      <c r="J26" s="252">
        <f t="shared" si="1"/>
        <v>1370.1818181818182</v>
      </c>
      <c r="K26" s="203">
        <f t="shared" ref="K26:K31" si="11">I26*4</f>
        <v>1757.2461818181819</v>
      </c>
      <c r="L26" s="203">
        <f t="shared" si="4"/>
        <v>1932.9708000000003</v>
      </c>
      <c r="M26" s="200">
        <f>'Tariff Jul 2021'!AZ20</f>
        <v>0</v>
      </c>
      <c r="N26" s="200">
        <f>'Tariff Jul 2021'!BA20</f>
        <v>0</v>
      </c>
      <c r="O26" s="200">
        <f>'Tariff Jul 2021'!BB20</f>
        <v>0</v>
      </c>
      <c r="P26" s="200">
        <f>'Tariff Jul 2021'!BC20</f>
        <v>0</v>
      </c>
      <c r="Q26" s="204" t="str">
        <f t="shared" ref="Q26:Q31" si="12">IF(SUM(M26:P26)=0,"No discount",IF(M26&gt;0,"Guaranteed off bill",IF(N26&gt;0,"Guaranteed off usage",IF(O26&gt;0,"Pay-on-time off bill","Pay-on-time off usage"))))</f>
        <v>No discount</v>
      </c>
      <c r="R26" s="205" t="str">
        <f t="shared" si="2"/>
        <v>Exclusive</v>
      </c>
      <c r="S26" s="254">
        <f t="shared" si="6"/>
        <v>1757.2461818181819</v>
      </c>
      <c r="T26" s="252">
        <f t="shared" si="7"/>
        <v>1757.2461818181819</v>
      </c>
      <c r="U26" s="260">
        <f t="shared" si="9"/>
        <v>1932.9708000000003</v>
      </c>
      <c r="V26" s="260">
        <f t="shared" si="9"/>
        <v>1932.9708000000003</v>
      </c>
      <c r="W26" s="206">
        <f>'Tariff Jul 2021'!BL20</f>
        <v>0</v>
      </c>
      <c r="X26" s="207" t="str">
        <f>'Tariff Jul 2021'!BM20</f>
        <v>n</v>
      </c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</row>
    <row r="27" spans="1:42" x14ac:dyDescent="0.15">
      <c r="A27" s="199" t="str">
        <f>'Tariff Jul 2021'!K21</f>
        <v>OVO Energy</v>
      </c>
      <c r="B27" s="200" t="str">
        <f>'Tariff Jul 2021'!L21</f>
        <v>The One Plan</v>
      </c>
      <c r="C27" s="201">
        <f>IF('Tariff Jul 2021'!BP21=0,91*'Tariff Jul 2021'!M21/100,(91*'Tariff Jul 2021'!M21/100)+'Tariff Jul 2021'!BP21/4)</f>
        <v>70.069999999999993</v>
      </c>
      <c r="D27" s="201">
        <f>IF('Tariff Jul 2021'!O21="",$C$5*'Tariff Jul 2021'!N21/100,IF($C$5&gt;='Tariff Jul 2021'!P21,('Tariff Jul 2021'!P21*'Tariff Jul 2021'!N21/100),($C$5*'Tariff Jul 2021'!N21/100)))</f>
        <v>374.99999999999994</v>
      </c>
      <c r="E27" s="201">
        <f>IF(AND('Tariff Jul 2021'!P21&gt;0,'Tariff Jul 2021'!R21&gt;0),IF($C$5&lt;'Tariff Jul 2021'!P21,0,IF($C$5&lt;=('Tariff Jul 2021'!R21+'Tariff Jul 2021'!P21),(($C$5-'Tariff Jul 2021'!P21)*'Tariff Jul 2021'!Q21/100),(('Tariff Jul 2021'!R21)*'Tariff Jul 2021'!Q21/100))),0)</f>
        <v>0</v>
      </c>
      <c r="F27" s="202">
        <f>IF(AND('Tariff Jul 2021'!Q21&gt;0,'Tariff Jul 2021'!S21&gt;0),IF($C$5&lt;('Tariff Jul 2021'!R21+'Tariff Jul 2021'!P21),0,IF($C$5&lt;=('Tariff Jul 2021'!T21+'Tariff Jul 2021'!R21+'Tariff Jul 2021'!P21),(($C$5-('Tariff Jul 2021'!R21+'Tariff Jul 2021'!P21))*'Tariff Jul 2021'!S21/100),('Tariff Jul 2021'!T21*'Tariff Jul 2021'!S21/100))),0)</f>
        <v>0</v>
      </c>
      <c r="G27" s="201">
        <v>0</v>
      </c>
      <c r="H27" s="201">
        <f>IF(AND('Tariff Jul 2021'!R21&gt;0,'Tariff Jul 2021'!T21&gt;0),IF(($C$5&lt;'Tariff Jul 2021'!T21),(0),($C$5-'Tariff Jul 2021'!T21)*'Tariff Jul 2021'!U21/100),IF(AND('Tariff Jul 2021'!R21&gt;0,'Tariff Jul 2021'!T21=""),IF(($C$5&lt;'Tariff Jul 2021'!R21+'Tariff Jul 2021'!P21),(0),(($C$5-('Tariff Jul 2021'!R21+'Tariff Jul 2021'!P21))*'Tariff Jul 2021'!S21/100)),IF(AND('Tariff Jul 2021'!P21&gt;0,'Tariff Jul 2021'!R21=""&gt;0),IF(($C$5&lt;'Tariff Jul 2021'!P21),(0),($C$5-'Tariff Jul 2021'!P21)*'Tariff Jul 2021'!Q21/100),0)))</f>
        <v>0</v>
      </c>
      <c r="I27" s="201">
        <f t="shared" si="10"/>
        <v>445.06999999999994</v>
      </c>
      <c r="J27" s="252">
        <f t="shared" si="1"/>
        <v>1499.9999999999998</v>
      </c>
      <c r="K27" s="203">
        <f t="shared" si="11"/>
        <v>1780.2799999999997</v>
      </c>
      <c r="L27" s="203">
        <f t="shared" si="4"/>
        <v>1958.3079999999998</v>
      </c>
      <c r="M27" s="200">
        <f>'Tariff Jul 2021'!AZ21</f>
        <v>0</v>
      </c>
      <c r="N27" s="200">
        <f>'Tariff Jul 2021'!BA21</f>
        <v>0</v>
      </c>
      <c r="O27" s="200">
        <f>'Tariff Jul 2021'!BB21</f>
        <v>0</v>
      </c>
      <c r="P27" s="200">
        <f>'Tariff Jul 2021'!BC21</f>
        <v>0</v>
      </c>
      <c r="Q27" s="204" t="str">
        <f t="shared" si="12"/>
        <v>No discount</v>
      </c>
      <c r="R27" s="205" t="str">
        <f t="shared" si="2"/>
        <v>Exclusive</v>
      </c>
      <c r="S27" s="254">
        <f t="shared" si="6"/>
        <v>1780.2799999999997</v>
      </c>
      <c r="T27" s="252">
        <f t="shared" si="7"/>
        <v>1780.2799999999997</v>
      </c>
      <c r="U27" s="260">
        <f t="shared" si="9"/>
        <v>1958.3079999999998</v>
      </c>
      <c r="V27" s="260">
        <f t="shared" si="9"/>
        <v>1958.3079999999998</v>
      </c>
      <c r="W27" s="206">
        <f>'Tariff Jul 2021'!BL21</f>
        <v>0</v>
      </c>
      <c r="X27" s="207" t="str">
        <f>'Tariff Jul 2021'!BM21</f>
        <v>n</v>
      </c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</row>
    <row r="28" spans="1:42" x14ac:dyDescent="0.15">
      <c r="A28" s="199" t="str">
        <f>'Tariff Jul 2021'!K22</f>
        <v>ReAmped Energy</v>
      </c>
      <c r="B28" s="200" t="str">
        <f>'Tariff Jul 2021'!L22</f>
        <v>Advance</v>
      </c>
      <c r="C28" s="201">
        <f>IF('Tariff Jul 2021'!BP22=0,91*'Tariff Jul 2021'!M22/100,(91*'Tariff Jul 2021'!M22/100)+'Tariff Jul 2021'!BP22/4)</f>
        <v>70.798000000000002</v>
      </c>
      <c r="D28" s="201">
        <f>IF('Tariff Jul 2021'!O22="",$C$5*'Tariff Jul 2021'!N22/100,IF($C$5&gt;='Tariff Jul 2021'!P22,('Tariff Jul 2021'!P22*'Tariff Jul 2021'!N22/100),($C$5*'Tariff Jul 2021'!N22/100)))</f>
        <v>365.45454545454544</v>
      </c>
      <c r="E28" s="201">
        <f>IF(AND('Tariff Jul 2021'!P22&gt;0,'Tariff Jul 2021'!R22&gt;0),IF($C$5&lt;'Tariff Jul 2021'!P22,0,IF($C$5&lt;=('Tariff Jul 2021'!R22+'Tariff Jul 2021'!P22),(($C$5-'Tariff Jul 2021'!P22)*'Tariff Jul 2021'!Q22/100),(('Tariff Jul 2021'!R22)*'Tariff Jul 2021'!Q22/100))),0)</f>
        <v>0</v>
      </c>
      <c r="F28" s="202">
        <f>IF(AND('Tariff Jul 2021'!Q22&gt;0,'Tariff Jul 2021'!S22&gt;0),IF($C$5&lt;('Tariff Jul 2021'!R22+'Tariff Jul 2021'!P22),0,IF($C$5&lt;=('Tariff Jul 2021'!T22+'Tariff Jul 2021'!R22+'Tariff Jul 2021'!P22),(($C$5-('Tariff Jul 2021'!R22+'Tariff Jul 2021'!P22))*'Tariff Jul 2021'!S22/100),('Tariff Jul 2021'!T22*'Tariff Jul 2021'!S22/100))),0)</f>
        <v>0</v>
      </c>
      <c r="G28" s="201">
        <v>0</v>
      </c>
      <c r="H28" s="201">
        <f>IF(AND('Tariff Jul 2021'!R22&gt;0,'Tariff Jul 2021'!T22&gt;0),IF(($C$5&lt;'Tariff Jul 2021'!T22),(0),($C$5-'Tariff Jul 2021'!T22)*'Tariff Jul 2021'!U22/100),IF(AND('Tariff Jul 2021'!R22&gt;0,'Tariff Jul 2021'!T22=""),IF(($C$5&lt;'Tariff Jul 2021'!R22+'Tariff Jul 2021'!P22),(0),(($C$5-('Tariff Jul 2021'!R22+'Tariff Jul 2021'!P22))*'Tariff Jul 2021'!S22/100)),IF(AND('Tariff Jul 2021'!P22&gt;0,'Tariff Jul 2021'!R22=""&gt;0),IF(($C$5&lt;'Tariff Jul 2021'!P22),(0),($C$5-'Tariff Jul 2021'!P22)*'Tariff Jul 2021'!Q22/100),0)))</f>
        <v>0</v>
      </c>
      <c r="I28" s="201">
        <f t="shared" si="10"/>
        <v>436.25254545454544</v>
      </c>
      <c r="J28" s="252">
        <f t="shared" si="1"/>
        <v>1461.8181818181818</v>
      </c>
      <c r="K28" s="203">
        <f t="shared" si="11"/>
        <v>1745.0101818181818</v>
      </c>
      <c r="L28" s="203">
        <f t="shared" si="4"/>
        <v>1919.5112000000001</v>
      </c>
      <c r="M28" s="200">
        <f>'Tariff Jul 2021'!AZ22</f>
        <v>0</v>
      </c>
      <c r="N28" s="200">
        <f>'Tariff Jul 2021'!BA22</f>
        <v>0</v>
      </c>
      <c r="O28" s="200">
        <f>'Tariff Jul 2021'!BB22</f>
        <v>0</v>
      </c>
      <c r="P28" s="200">
        <f>'Tariff Jul 2021'!BC22</f>
        <v>0</v>
      </c>
      <c r="Q28" s="204" t="str">
        <f t="shared" si="12"/>
        <v>No discount</v>
      </c>
      <c r="R28" s="205" t="str">
        <f t="shared" si="2"/>
        <v>Exclusive</v>
      </c>
      <c r="S28" s="254">
        <f t="shared" si="6"/>
        <v>1745.0101818181818</v>
      </c>
      <c r="T28" s="252">
        <f t="shared" si="7"/>
        <v>1745.0101818181818</v>
      </c>
      <c r="U28" s="260">
        <f t="shared" si="9"/>
        <v>1919.5112000000001</v>
      </c>
      <c r="V28" s="260">
        <f t="shared" si="9"/>
        <v>1919.5112000000001</v>
      </c>
      <c r="W28" s="206">
        <f>'Tariff Jul 2021'!BL22</f>
        <v>0</v>
      </c>
      <c r="X28" s="207" t="str">
        <f>'Tariff Jul 2021'!BM22</f>
        <v>n</v>
      </c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</row>
    <row r="29" spans="1:42" x14ac:dyDescent="0.15">
      <c r="A29" s="199" t="str">
        <f>'Tariff Jul 2021'!K23</f>
        <v>1st Energy</v>
      </c>
      <c r="B29" s="200" t="str">
        <f>'Tariff Jul 2021'!L23</f>
        <v>1st Saver</v>
      </c>
      <c r="C29" s="201">
        <f>IF('Tariff Jul 2021'!BP23=0,91*'Tariff Jul 2021'!M23/100,(91*'Tariff Jul 2021'!M23/100)+'Tariff Jul 2021'!BP23/4)</f>
        <v>73.668636363636352</v>
      </c>
      <c r="D29" s="201">
        <f>IF('Tariff Jul 2021'!O23="",$C$5*'Tariff Jul 2021'!N23/100,IF($C$5&gt;='Tariff Jul 2021'!P23,('Tariff Jul 2021'!P23*'Tariff Jul 2021'!N23/100),($C$5*'Tariff Jul 2021'!N23/100)))</f>
        <v>314.81818181818181</v>
      </c>
      <c r="E29" s="201">
        <f>IF(AND('Tariff Jul 2021'!P23&gt;0,'Tariff Jul 2021'!R23&gt;0),IF($C$5&lt;'Tariff Jul 2021'!P23,0,IF($C$5&lt;=('Tariff Jul 2021'!R23+'Tariff Jul 2021'!P23),(($C$5-'Tariff Jul 2021'!P23)*'Tariff Jul 2021'!Q23/100),(('Tariff Jul 2021'!R23)*'Tariff Jul 2021'!Q23/100))),0)</f>
        <v>0</v>
      </c>
      <c r="F29" s="202">
        <f>IF(AND('Tariff Jul 2021'!Q23&gt;0,'Tariff Jul 2021'!S23&gt;0),IF($C$5&lt;('Tariff Jul 2021'!R23+'Tariff Jul 2021'!P23),0,IF($C$5&lt;=('Tariff Jul 2021'!T23+'Tariff Jul 2021'!R23+'Tariff Jul 2021'!P23),(($C$5-('Tariff Jul 2021'!R23+'Tariff Jul 2021'!P23))*'Tariff Jul 2021'!S23/100),('Tariff Jul 2021'!T23*'Tariff Jul 2021'!S23/100))),0)</f>
        <v>0</v>
      </c>
      <c r="G29" s="201">
        <v>0</v>
      </c>
      <c r="H29" s="201">
        <f>IF(AND('Tariff Jul 2021'!R23&gt;0,'Tariff Jul 2021'!T23&gt;0),IF(($C$5&lt;'Tariff Jul 2021'!T23),(0),($C$5-'Tariff Jul 2021'!T23)*'Tariff Jul 2021'!U23/100),IF(AND('Tariff Jul 2021'!R23&gt;0,'Tariff Jul 2021'!T23=""),IF(($C$5&lt;'Tariff Jul 2021'!R23+'Tariff Jul 2021'!P23),(0),(($C$5-('Tariff Jul 2021'!R23+'Tariff Jul 2021'!P23))*'Tariff Jul 2021'!S23/100)),IF(AND('Tariff Jul 2021'!P23&gt;0,'Tariff Jul 2021'!R23=""&gt;0),IF(($C$5&lt;'Tariff Jul 2021'!P23),(0),($C$5-'Tariff Jul 2021'!P23)*'Tariff Jul 2021'!Q23/100),0)))</f>
        <v>168.90909090909088</v>
      </c>
      <c r="I29" s="201">
        <f t="shared" si="10"/>
        <v>557.39590909090907</v>
      </c>
      <c r="J29" s="252">
        <f t="shared" si="1"/>
        <v>1934.909090909091</v>
      </c>
      <c r="K29" s="203">
        <f t="shared" si="11"/>
        <v>2229.5836363636363</v>
      </c>
      <c r="L29" s="203">
        <f t="shared" si="4"/>
        <v>2452.5419999999999</v>
      </c>
      <c r="M29" s="200">
        <f>'Tariff Jul 2021'!AZ23</f>
        <v>0</v>
      </c>
      <c r="N29" s="200">
        <f>'Tariff Jul 2021'!BA23</f>
        <v>0</v>
      </c>
      <c r="O29" s="200">
        <f>'Tariff Jul 2021'!BB23</f>
        <v>10</v>
      </c>
      <c r="P29" s="200">
        <f>'Tariff Jul 2021'!BC23</f>
        <v>0</v>
      </c>
      <c r="Q29" s="204" t="str">
        <f t="shared" si="12"/>
        <v>Pay-on-time off bill</v>
      </c>
      <c r="R29" s="205" t="str">
        <f t="shared" si="2"/>
        <v>Exclusive</v>
      </c>
      <c r="S29" s="254">
        <f t="shared" si="6"/>
        <v>2229.5836363636363</v>
      </c>
      <c r="T29" s="252">
        <f t="shared" si="7"/>
        <v>2006.6252727272727</v>
      </c>
      <c r="U29" s="260">
        <f t="shared" si="9"/>
        <v>2452.5419999999999</v>
      </c>
      <c r="V29" s="260">
        <f t="shared" si="9"/>
        <v>2207.2878000000001</v>
      </c>
      <c r="W29" s="206">
        <f>'Tariff Jul 2021'!BL23</f>
        <v>0</v>
      </c>
      <c r="X29" s="207" t="str">
        <f>'Tariff Jul 2021'!BM23</f>
        <v>n</v>
      </c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</row>
    <row r="30" spans="1:42" x14ac:dyDescent="0.15">
      <c r="A30" s="199" t="str">
        <f>'Tariff Jul 2021'!K24</f>
        <v>IO Energy</v>
      </c>
      <c r="B30" s="200" t="str">
        <f>'Tariff Jul 2021'!L24</f>
        <v>Spark</v>
      </c>
      <c r="C30" s="201">
        <f>IF('Tariff Jul 2021'!BP24=0,91*'Tariff Jul 2021'!M24/100,(91*'Tariff Jul 2021'!M24/100)+'Tariff Jul 2021'!BP24/4)</f>
        <v>90.999999999999986</v>
      </c>
      <c r="D30" s="201">
        <f>IF('Tariff Jul 2021'!O24="",$C$5*'Tariff Jul 2021'!N24/100,IF($C$5&gt;='Tariff Jul 2021'!P24,('Tariff Jul 2021'!P24*'Tariff Jul 2021'!N24/100),($C$5*'Tariff Jul 2021'!N24/100)))</f>
        <v>409.09090909090907</v>
      </c>
      <c r="E30" s="201">
        <f>IF(AND('Tariff Jul 2021'!P24&gt;0,'Tariff Jul 2021'!R24&gt;0),IF($C$5&lt;'Tariff Jul 2021'!P24,0,IF($C$5&lt;=('Tariff Jul 2021'!R24+'Tariff Jul 2021'!P24),(($C$5-'Tariff Jul 2021'!P24)*'Tariff Jul 2021'!Q24/100),(('Tariff Jul 2021'!R24)*'Tariff Jul 2021'!Q24/100))),0)</f>
        <v>0</v>
      </c>
      <c r="F30" s="202">
        <f>IF(AND('Tariff Jul 2021'!Q24&gt;0,'Tariff Jul 2021'!S24&gt;0),IF($C$5&lt;('Tariff Jul 2021'!R24+'Tariff Jul 2021'!P24),0,IF($C$5&lt;=('Tariff Jul 2021'!T24+'Tariff Jul 2021'!R24+'Tariff Jul 2021'!P24),(($C$5-('Tariff Jul 2021'!R24+'Tariff Jul 2021'!P24))*'Tariff Jul 2021'!S24/100),('Tariff Jul 2021'!T24*'Tariff Jul 2021'!S24/100))),0)</f>
        <v>0</v>
      </c>
      <c r="G30" s="201">
        <v>0</v>
      </c>
      <c r="H30" s="201">
        <f>IF(AND('Tariff Jul 2021'!R24&gt;0,'Tariff Jul 2021'!T24&gt;0),IF(($C$5&lt;'Tariff Jul 2021'!T24),(0),($C$5-'Tariff Jul 2021'!T24)*'Tariff Jul 2021'!U24/100),IF(AND('Tariff Jul 2021'!R24&gt;0,'Tariff Jul 2021'!T24=""),IF(($C$5&lt;'Tariff Jul 2021'!R24+'Tariff Jul 2021'!P24),(0),(($C$5-('Tariff Jul 2021'!R24+'Tariff Jul 2021'!P24))*'Tariff Jul 2021'!S24/100)),IF(AND('Tariff Jul 2021'!P24&gt;0,'Tariff Jul 2021'!R24=""&gt;0),IF(($C$5&lt;'Tariff Jul 2021'!P24),(0),($C$5-'Tariff Jul 2021'!P24)*'Tariff Jul 2021'!Q24/100),0)))</f>
        <v>0</v>
      </c>
      <c r="I30" s="201">
        <f t="shared" si="10"/>
        <v>500.09090909090907</v>
      </c>
      <c r="J30" s="252">
        <f t="shared" si="1"/>
        <v>1636.3636363636363</v>
      </c>
      <c r="K30" s="203">
        <f t="shared" si="11"/>
        <v>2000.3636363636363</v>
      </c>
      <c r="L30" s="203">
        <f t="shared" si="4"/>
        <v>2200.4</v>
      </c>
      <c r="M30" s="200">
        <f>'Tariff Jul 2021'!AZ24</f>
        <v>0</v>
      </c>
      <c r="N30" s="200">
        <f>'Tariff Jul 2021'!BA24</f>
        <v>0</v>
      </c>
      <c r="O30" s="200">
        <f>'Tariff Jul 2021'!BB24</f>
        <v>0</v>
      </c>
      <c r="P30" s="200">
        <f>'Tariff Jul 2021'!BC24</f>
        <v>0</v>
      </c>
      <c r="Q30" s="204" t="str">
        <f t="shared" si="12"/>
        <v>No discount</v>
      </c>
      <c r="R30" s="205" t="str">
        <f t="shared" si="2"/>
        <v>Exclusive</v>
      </c>
      <c r="S30" s="254">
        <f t="shared" si="6"/>
        <v>2000.3636363636363</v>
      </c>
      <c r="T30" s="252">
        <f t="shared" si="7"/>
        <v>2000.3636363636363</v>
      </c>
      <c r="U30" s="260">
        <f t="shared" si="9"/>
        <v>2200.4</v>
      </c>
      <c r="V30" s="260">
        <f t="shared" si="9"/>
        <v>2200.4</v>
      </c>
      <c r="W30" s="206">
        <f>'Tariff Jul 2021'!BL24</f>
        <v>0</v>
      </c>
      <c r="X30" s="207" t="str">
        <f>'Tariff Jul 2021'!BM24</f>
        <v>n</v>
      </c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</row>
    <row r="31" spans="1:42" x14ac:dyDescent="0.15">
      <c r="A31" s="199" t="str">
        <f>'Tariff Jul 2021'!K25</f>
        <v>Nectr</v>
      </c>
      <c r="B31" s="200" t="str">
        <f>'Tariff Jul 2021'!L25</f>
        <v>Friends Clean</v>
      </c>
      <c r="C31" s="201">
        <f>IF('Tariff Jul 2021'!BP25=0,91*'Tariff Jul 2021'!M25/100,(91*'Tariff Jul 2021'!M25/100)+'Tariff Jul 2021'!BP25/4)</f>
        <v>93.274999999999977</v>
      </c>
      <c r="D31" s="201">
        <f>IF('Tariff Jul 2021'!O25="",$C$5*'Tariff Jul 2021'!N25/100,IF($C$5&gt;='Tariff Jul 2021'!P25,('Tariff Jul 2021'!P25*'Tariff Jul 2021'!N25/100),($C$5*'Tariff Jul 2021'!N25/100)))</f>
        <v>386.99999999999994</v>
      </c>
      <c r="E31" s="201">
        <f>IF(AND('Tariff Jul 2021'!P25&gt;0,'Tariff Jul 2021'!R25&gt;0),IF($C$5&lt;'Tariff Jul 2021'!P25,0,IF($C$5&lt;=('Tariff Jul 2021'!R25+'Tariff Jul 2021'!P25),(($C$5-'Tariff Jul 2021'!P25)*'Tariff Jul 2021'!Q25/100),(('Tariff Jul 2021'!R25)*'Tariff Jul 2021'!Q25/100))),0)</f>
        <v>0</v>
      </c>
      <c r="F31" s="202">
        <f>IF(AND('Tariff Jul 2021'!Q25&gt;0,'Tariff Jul 2021'!S25&gt;0),IF($C$5&lt;('Tariff Jul 2021'!R25+'Tariff Jul 2021'!P25),0,IF($C$5&lt;=('Tariff Jul 2021'!T25+'Tariff Jul 2021'!R25+'Tariff Jul 2021'!P25),(($C$5-('Tariff Jul 2021'!R25+'Tariff Jul 2021'!P25))*'Tariff Jul 2021'!S25/100),('Tariff Jul 2021'!T25*'Tariff Jul 2021'!S25/100))),0)</f>
        <v>0</v>
      </c>
      <c r="G31" s="201">
        <v>0</v>
      </c>
      <c r="H31" s="201">
        <f>IF(AND('Tariff Jul 2021'!R25&gt;0,'Tariff Jul 2021'!T25&gt;0),IF(($C$5&lt;'Tariff Jul 2021'!T25),(0),($C$5-'Tariff Jul 2021'!T25)*'Tariff Jul 2021'!U25/100),IF(AND('Tariff Jul 2021'!R25&gt;0,'Tariff Jul 2021'!T25=""),IF(($C$5&lt;'Tariff Jul 2021'!R25+'Tariff Jul 2021'!P25),(0),(($C$5-('Tariff Jul 2021'!R25+'Tariff Jul 2021'!P25))*'Tariff Jul 2021'!S25/100)),IF(AND('Tariff Jul 2021'!P25&gt;0,'Tariff Jul 2021'!R25=""&gt;0),IF(($C$5&lt;'Tariff Jul 2021'!P25),(0),($C$5-'Tariff Jul 2021'!P25)*'Tariff Jul 2021'!Q25/100),0)))</f>
        <v>0</v>
      </c>
      <c r="I31" s="201">
        <f t="shared" si="10"/>
        <v>480.27499999999992</v>
      </c>
      <c r="J31" s="252">
        <f t="shared" si="1"/>
        <v>1547.9999999999998</v>
      </c>
      <c r="K31" s="203">
        <f t="shared" si="11"/>
        <v>1921.0999999999997</v>
      </c>
      <c r="L31" s="203">
        <f t="shared" si="4"/>
        <v>2113.21</v>
      </c>
      <c r="M31" s="200">
        <f>'Tariff Jul 2021'!AZ25</f>
        <v>0</v>
      </c>
      <c r="N31" s="200">
        <f>'Tariff Jul 2021'!BA25</f>
        <v>0</v>
      </c>
      <c r="O31" s="200">
        <f>'Tariff Jul 2021'!BB25</f>
        <v>0</v>
      </c>
      <c r="P31" s="200">
        <f>'Tariff Jul 2021'!BC25</f>
        <v>0</v>
      </c>
      <c r="Q31" s="204" t="str">
        <f t="shared" si="12"/>
        <v>No discount</v>
      </c>
      <c r="R31" s="205" t="str">
        <f t="shared" si="2"/>
        <v>Exclusive</v>
      </c>
      <c r="S31" s="254">
        <f t="shared" si="6"/>
        <v>1921.0999999999997</v>
      </c>
      <c r="T31" s="252">
        <f t="shared" si="7"/>
        <v>1921.0999999999997</v>
      </c>
      <c r="U31" s="260">
        <f t="shared" si="9"/>
        <v>2113.21</v>
      </c>
      <c r="V31" s="260">
        <f t="shared" si="9"/>
        <v>2113.21</v>
      </c>
      <c r="W31" s="206">
        <f>'Tariff Jul 2021'!BL25</f>
        <v>0</v>
      </c>
      <c r="X31" s="207" t="str">
        <f>'Tariff Jul 2021'!BM25</f>
        <v>n</v>
      </c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</row>
    <row r="32" spans="1:42" customFormat="1" x14ac:dyDescent="0.15">
      <c r="A32" s="199" t="str">
        <f>'Tariff Jul 2021'!K26</f>
        <v>Tango Energy</v>
      </c>
      <c r="B32" s="200" t="str">
        <f>'Tariff Jul 2021'!L26</f>
        <v>Home Select</v>
      </c>
      <c r="C32" s="201">
        <f>IF('Tariff Jul 2021'!BP26=0,91*'Tariff Jul 2021'!M26/100,(91*'Tariff Jul 2021'!M26/100)+'Tariff Jul 2021'!BP26/4)</f>
        <v>93.729999999999976</v>
      </c>
      <c r="D32" s="201">
        <f>IF('Tariff Jul 2021'!O26="",$C$5*'Tariff Jul 2021'!N26/100,IF($C$5&gt;='Tariff Jul 2021'!P26,('Tariff Jul 2021'!P26*'Tariff Jul 2021'!N26/100),($C$5*'Tariff Jul 2021'!N26/100)))</f>
        <v>421.5</v>
      </c>
      <c r="E32" s="201">
        <f>IF(AND('Tariff Jul 2021'!P26&gt;0,'Tariff Jul 2021'!R26&gt;0),IF($C$5&lt;'Tariff Jul 2021'!P26,0,IF($C$5&lt;=('Tariff Jul 2021'!R26+'Tariff Jul 2021'!P26),(($C$5-'Tariff Jul 2021'!P26)*'Tariff Jul 2021'!Q26/100),(('Tariff Jul 2021'!R26)*'Tariff Jul 2021'!Q26/100))),0)</f>
        <v>0</v>
      </c>
      <c r="F32" s="202">
        <f>IF(AND('Tariff Jul 2021'!Q26&gt;0,'Tariff Jul 2021'!S26&gt;0),IF($C$5&lt;('Tariff Jul 2021'!R26+'Tariff Jul 2021'!P26),0,IF($C$5&lt;=('Tariff Jul 2021'!T26+'Tariff Jul 2021'!R26+'Tariff Jul 2021'!P26),(($C$5-('Tariff Jul 2021'!R26+'Tariff Jul 2021'!P26))*'Tariff Jul 2021'!S26/100),('Tariff Jul 2021'!T26*'Tariff Jul 2021'!S26/100))),0)</f>
        <v>0</v>
      </c>
      <c r="G32" s="201">
        <v>0</v>
      </c>
      <c r="H32" s="201">
        <f>IF(AND('Tariff Jul 2021'!R26&gt;0,'Tariff Jul 2021'!T26&gt;0),IF(($C$5&lt;'Tariff Jul 2021'!T26),(0),($C$5-'Tariff Jul 2021'!T26)*'Tariff Jul 2021'!U26/100),IF(AND('Tariff Jul 2021'!R26&gt;0,'Tariff Jul 2021'!T26=""),IF(($C$5&lt;'Tariff Jul 2021'!R26+'Tariff Jul 2021'!P26),(0),(($C$5-('Tariff Jul 2021'!R26+'Tariff Jul 2021'!P26))*'Tariff Jul 2021'!S26/100)),IF(AND('Tariff Jul 2021'!P26&gt;0,'Tariff Jul 2021'!R26=""&gt;0),IF(($C$5&lt;'Tariff Jul 2021'!P26),(0),($C$5-'Tariff Jul 2021'!P26)*'Tariff Jul 2021'!Q26/100),0)))</f>
        <v>0</v>
      </c>
      <c r="I32" s="201">
        <f t="shared" ref="I32:I33" si="13">SUM(C32:H32)</f>
        <v>515.23</v>
      </c>
      <c r="J32" s="252">
        <f t="shared" ref="J32:J33" si="14">(I32-C32)*4</f>
        <v>1686.0000000000002</v>
      </c>
      <c r="K32" s="203">
        <f t="shared" ref="K32:K33" si="15">I32*4</f>
        <v>2060.92</v>
      </c>
      <c r="L32" s="203">
        <f t="shared" ref="L32:L33" si="16">K32*1.1</f>
        <v>2267.0120000000002</v>
      </c>
      <c r="M32" s="200">
        <f>'Tariff Jul 2021'!AZ26</f>
        <v>0</v>
      </c>
      <c r="N32" s="200">
        <f>'Tariff Jul 2021'!BA26</f>
        <v>0</v>
      </c>
      <c r="O32" s="200">
        <f>'Tariff Jul 2021'!BB26</f>
        <v>0</v>
      </c>
      <c r="P32" s="200">
        <f>'Tariff Jul 2021'!BC26</f>
        <v>0</v>
      </c>
      <c r="Q32" s="204" t="str">
        <f t="shared" ref="Q32:Q33" si="17">IF(SUM(M32:P32)=0,"No discount",IF(M32&gt;0,"Guaranteed off bill",IF(N32&gt;0,"Guaranteed off usage",IF(O32&gt;0,"Pay-on-time off bill","Pay-on-time off usage"))))</f>
        <v>No discount</v>
      </c>
      <c r="R32" s="205" t="str">
        <f t="shared" ref="R32:R33" si="18">IF(OR(A32="Origin Energy",A32="Red Energy",A32="Powershop"),"Inclusive","Exclusive")</f>
        <v>Exclusive</v>
      </c>
      <c r="S32" s="254">
        <f t="shared" ref="S32:S33" si="19"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2060.92</v>
      </c>
      <c r="T32" s="252">
        <f t="shared" ref="T32:T33" si="20"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2060.92</v>
      </c>
      <c r="U32" s="260">
        <f t="shared" ref="U32:U33" si="21">S32*1.1</f>
        <v>2267.0120000000002</v>
      </c>
      <c r="V32" s="260">
        <f t="shared" ref="V32:V33" si="22">T32*1.1</f>
        <v>2267.0120000000002</v>
      </c>
      <c r="W32" s="206">
        <f>'Tariff Jul 2021'!BL26</f>
        <v>0</v>
      </c>
      <c r="X32" s="207" t="str">
        <f>'Tariff Jul 2021'!BM26</f>
        <v>n</v>
      </c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</row>
    <row r="33" spans="1:42" customFormat="1" ht="15" thickBot="1" x14ac:dyDescent="0.2">
      <c r="A33" s="208" t="str">
        <f>'Tariff Jul 2021'!K27</f>
        <v>Covau</v>
      </c>
      <c r="B33" s="209" t="str">
        <f>'Tariff Jul 2021'!L27</f>
        <v>Freedom</v>
      </c>
      <c r="C33" s="210">
        <f>IF('Tariff Jul 2021'!BP27=0,91*'Tariff Jul 2021'!M27/100,(91*'Tariff Jul 2021'!M27/100)+'Tariff Jul 2021'!BP27/4)</f>
        <v>60.515000000000001</v>
      </c>
      <c r="D33" s="210">
        <f>IF('Tariff Jul 2021'!O27="",$C$5*'Tariff Jul 2021'!N27/100,IF($C$5&gt;='Tariff Jul 2021'!P27,('Tariff Jul 2021'!P27*'Tariff Jul 2021'!N27/100),($C$5*'Tariff Jul 2021'!N27/100)))</f>
        <v>428.45454545454544</v>
      </c>
      <c r="E33" s="210">
        <f>IF(AND('Tariff Jul 2021'!P27&gt;0,'Tariff Jul 2021'!R27&gt;0),IF($C$5&lt;'Tariff Jul 2021'!P27,0,IF($C$5&lt;=('Tariff Jul 2021'!R27+'Tariff Jul 2021'!P27),(($C$5-'Tariff Jul 2021'!P27)*'Tariff Jul 2021'!Q27/100),(('Tariff Jul 2021'!R27)*'Tariff Jul 2021'!Q27/100))),0)</f>
        <v>0</v>
      </c>
      <c r="F33" s="211">
        <f>IF(AND('Tariff Jul 2021'!Q27&gt;0,'Tariff Jul 2021'!S27&gt;0),IF($C$5&lt;('Tariff Jul 2021'!R27+'Tariff Jul 2021'!P27),0,IF($C$5&lt;=('Tariff Jul 2021'!T27+'Tariff Jul 2021'!R27+'Tariff Jul 2021'!P27),(($C$5-('Tariff Jul 2021'!R27+'Tariff Jul 2021'!P27))*'Tariff Jul 2021'!S27/100),('Tariff Jul 2021'!T27*'Tariff Jul 2021'!S27/100))),0)</f>
        <v>0</v>
      </c>
      <c r="G33" s="210">
        <v>0</v>
      </c>
      <c r="H33" s="210">
        <f>IF(AND('Tariff Jul 2021'!R27&gt;0,'Tariff Jul 2021'!T27&gt;0),IF(($C$5&lt;'Tariff Jul 2021'!T27),(0),($C$5-'Tariff Jul 2021'!T27)*'Tariff Jul 2021'!U27/100),IF(AND('Tariff Jul 2021'!R27&gt;0,'Tariff Jul 2021'!T27=""),IF(($C$5&lt;'Tariff Jul 2021'!R27+'Tariff Jul 2021'!P27),(0),(($C$5-('Tariff Jul 2021'!R27+'Tariff Jul 2021'!P27))*'Tariff Jul 2021'!S27/100)),IF(AND('Tariff Jul 2021'!P27&gt;0,'Tariff Jul 2021'!R27=""&gt;0),IF(($C$5&lt;'Tariff Jul 2021'!P27),(0),($C$5-'Tariff Jul 2021'!P27)*'Tariff Jul 2021'!Q27/100),0)))</f>
        <v>0</v>
      </c>
      <c r="I33" s="210">
        <f t="shared" si="13"/>
        <v>488.96954545454543</v>
      </c>
      <c r="J33" s="253">
        <f t="shared" si="14"/>
        <v>1713.8181818181818</v>
      </c>
      <c r="K33" s="212">
        <f t="shared" si="15"/>
        <v>1955.8781818181817</v>
      </c>
      <c r="L33" s="212">
        <f t="shared" si="16"/>
        <v>2151.4659999999999</v>
      </c>
      <c r="M33" s="209">
        <f>'Tariff Jul 2021'!AZ27</f>
        <v>0</v>
      </c>
      <c r="N33" s="209">
        <f>'Tariff Jul 2021'!BA27</f>
        <v>5</v>
      </c>
      <c r="O33" s="209">
        <f>'Tariff Jul 2021'!BB27</f>
        <v>0</v>
      </c>
      <c r="P33" s="209">
        <f>'Tariff Jul 2021'!BC27</f>
        <v>0</v>
      </c>
      <c r="Q33" s="213" t="str">
        <f t="shared" si="17"/>
        <v>Guaranteed off usage</v>
      </c>
      <c r="R33" s="214" t="str">
        <f t="shared" si="18"/>
        <v>Exclusive</v>
      </c>
      <c r="S33" s="255">
        <f t="shared" si="19"/>
        <v>1870.1872727272726</v>
      </c>
      <c r="T33" s="253">
        <f t="shared" si="20"/>
        <v>1870.1872727272726</v>
      </c>
      <c r="U33" s="261">
        <f t="shared" si="21"/>
        <v>2057.2060000000001</v>
      </c>
      <c r="V33" s="261">
        <f t="shared" si="22"/>
        <v>2057.2060000000001</v>
      </c>
      <c r="W33" s="215">
        <f>'Tariff Jul 2021'!BL27</f>
        <v>0</v>
      </c>
      <c r="X33" s="216" t="str">
        <f>'Tariff Jul 2021'!BM27</f>
        <v>n</v>
      </c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</row>
    <row r="34" spans="1:42" customFormat="1" x14ac:dyDescent="0.15">
      <c r="A34" s="285"/>
      <c r="B34" s="286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</row>
    <row r="35" spans="1:42" customFormat="1" ht="15" thickBot="1" x14ac:dyDescent="0.2">
      <c r="A35" s="285"/>
      <c r="B35" s="286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</row>
    <row r="36" spans="1:42" x14ac:dyDescent="0.15">
      <c r="A36" s="116" t="s">
        <v>865</v>
      </c>
      <c r="B36" s="117"/>
      <c r="C36" s="117"/>
      <c r="D36" s="137"/>
      <c r="E36" s="137"/>
      <c r="F36" s="137"/>
      <c r="G36" s="138"/>
      <c r="H36" s="138"/>
      <c r="I36" s="117"/>
      <c r="J36" s="117"/>
      <c r="K36" s="138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8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</row>
    <row r="37" spans="1:42" x14ac:dyDescent="0.15">
      <c r="A37" s="119" t="s">
        <v>72</v>
      </c>
      <c r="B37" s="60"/>
      <c r="C37" s="143">
        <v>1875</v>
      </c>
      <c r="D37" s="139"/>
      <c r="E37" s="139"/>
      <c r="F37" s="139"/>
      <c r="G37" s="140"/>
      <c r="H37" s="140"/>
      <c r="I37" s="60"/>
      <c r="J37" s="60"/>
      <c r="K37" s="14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20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</row>
    <row r="38" spans="1:42" x14ac:dyDescent="0.15">
      <c r="A38" s="119" t="s">
        <v>241</v>
      </c>
      <c r="B38" s="60"/>
      <c r="C38" s="144">
        <v>0.8</v>
      </c>
      <c r="D38" s="139"/>
      <c r="E38" s="139"/>
      <c r="F38" s="139"/>
      <c r="G38" s="140"/>
      <c r="H38" s="140"/>
      <c r="I38" s="60"/>
      <c r="J38" s="60"/>
      <c r="K38" s="14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120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</row>
    <row r="39" spans="1:42" x14ac:dyDescent="0.15">
      <c r="A39" s="119" t="s">
        <v>143</v>
      </c>
      <c r="B39" s="60"/>
      <c r="C39" s="144">
        <v>0.2</v>
      </c>
      <c r="D39" s="139"/>
      <c r="E39" s="139"/>
      <c r="F39" s="139"/>
      <c r="G39" s="140"/>
      <c r="H39" s="140"/>
      <c r="I39" s="60"/>
      <c r="J39" s="60"/>
      <c r="K39" s="14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120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</row>
    <row r="40" spans="1:42" x14ac:dyDescent="0.15">
      <c r="A40" s="119"/>
      <c r="B40" s="60"/>
      <c r="C40" s="139"/>
      <c r="D40" s="139"/>
      <c r="E40" s="139"/>
      <c r="F40" s="139"/>
      <c r="G40" s="140"/>
      <c r="H40" s="140"/>
      <c r="I40" s="60"/>
      <c r="J40" s="60"/>
      <c r="K40" s="14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120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</row>
    <row r="41" spans="1:42" ht="75" x14ac:dyDescent="0.15">
      <c r="A41" s="239" t="s">
        <v>278</v>
      </c>
      <c r="B41" s="240" t="s">
        <v>73</v>
      </c>
      <c r="C41" s="248" t="s">
        <v>74</v>
      </c>
      <c r="D41" s="248" t="s">
        <v>852</v>
      </c>
      <c r="E41" s="248" t="s">
        <v>853</v>
      </c>
      <c r="F41" s="248" t="s">
        <v>854</v>
      </c>
      <c r="G41" s="248" t="s">
        <v>856</v>
      </c>
      <c r="H41" s="248" t="s">
        <v>866</v>
      </c>
      <c r="I41" s="248" t="s">
        <v>958</v>
      </c>
      <c r="J41" s="249" t="s">
        <v>857</v>
      </c>
      <c r="K41" s="249" t="s">
        <v>172</v>
      </c>
      <c r="L41" s="242" t="s">
        <v>858</v>
      </c>
      <c r="M41" s="243" t="s">
        <v>174</v>
      </c>
      <c r="N41" s="243" t="s">
        <v>175</v>
      </c>
      <c r="O41" s="243" t="s">
        <v>76</v>
      </c>
      <c r="P41" s="243" t="s">
        <v>77</v>
      </c>
      <c r="Q41" s="251" t="s">
        <v>859</v>
      </c>
      <c r="R41" s="251" t="s">
        <v>860</v>
      </c>
      <c r="S41" s="250" t="s">
        <v>861</v>
      </c>
      <c r="T41" s="250" t="s">
        <v>862</v>
      </c>
      <c r="U41" s="245" t="s">
        <v>353</v>
      </c>
      <c r="V41" s="244" t="s">
        <v>354</v>
      </c>
      <c r="W41" s="246" t="s">
        <v>359</v>
      </c>
      <c r="X41" s="247" t="s">
        <v>360</v>
      </c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</row>
    <row r="42" spans="1:42" x14ac:dyDescent="0.15">
      <c r="A42" s="199" t="str">
        <f>'Tariff Jul 2021'!K28</f>
        <v>AGL</v>
      </c>
      <c r="B42" s="200" t="str">
        <f>'Tariff Jul 2021'!L28</f>
        <v>Flexible Saver</v>
      </c>
      <c r="C42" s="217">
        <f>IF('Tariff Jul 2021'!BP28=0,91*'Tariff Jul 2021'!M28/100,(91*'Tariff Jul 2021'!M28/100)+'Tariff Jul 2021'!BP28/4)</f>
        <v>77.672636363636357</v>
      </c>
      <c r="D42" s="217">
        <f>IF('Tariff Jul 2021'!O28="",$C$37*$C$38*'Tariff Jul 2021'!N28/100,IF($C$37*$C$38&gt;='Tariff Jul 2021'!P28,('Tariff Jul 2021'!P28*'Tariff Jul 2021'!N28/100),($C$37*$C$38*'Tariff Jul 2021'!N28/100)))</f>
        <v>449.45454545454544</v>
      </c>
      <c r="E42" s="217">
        <f>IF(AND('Tariff Jul 2021'!P28&gt;0,'Tariff Jul 2021'!R28&gt;0),IF($C$37*$C$38&lt;'Tariff Jul 2021'!P28,0,IF($C$37*$C$38&lt;=('Tariff Jul 2021'!R28+'Tariff Jul 2021'!P28),(($C$37*$C$38-'Tariff Jul 2021'!P28)*'Tariff Jul 2021'!Q28/100),(('Tariff Jul 2021'!R28)*'Tariff Jul 2021'!Q28/100))),0)</f>
        <v>0</v>
      </c>
      <c r="F42" s="217">
        <f>IF(AND('Tariff Jul 2021'!Q28&gt;0,'Tariff Jul 2021'!S28&gt;0),IF($C$37*$C$38&lt;('Tariff Jul 2021'!R28+'Tariff Jul 2021'!P28),0,IF($C$37*$C$38&lt;=('Tariff Jul 2021'!T28+'Tariff Jul 2021'!R28+'Tariff Jul 2021'!P28),(($C$37*$C$38-('Tariff Jul 2021'!R28+'Tariff Jul 2021'!P28))*'Tariff Jul 2021'!S28/100),('Tariff Jul 2021'!T28*'Tariff Jul 2021'!S28/100))),0)</f>
        <v>0</v>
      </c>
      <c r="G42" s="217">
        <f>IF(AND('Tariff Jul 2021'!R28&gt;0,'Tariff Jul 2021'!T28&gt;0),IF(($C$37*$C$38&lt;'Tariff Jul 2021'!T28),(0),($C$37*$C$38-'Tariff Jul 2021'!T28)*'Tariff Jul 2021'!U28/100),IF(AND('Tariff Jul 2021'!R28&gt;0,'Tariff Jul 2021'!T28=""),IF(($C$37*$C$38&lt;'Tariff Jul 2021'!R28+'Tariff Jul 2021'!P28),(0),(($C$37*$C$38-('Tariff Jul 2021'!R28+'Tariff Jul 2021'!P28))*'Tariff Jul 2021'!S28/100)),IF(AND('Tariff Jul 2021'!P28&gt;0,'Tariff Jul 2021'!R28=""&gt;0),IF(($C$37*$C$38&lt;'Tariff Jul 2021'!P28),(0),($C$37*$C$38-'Tariff Jul 2021'!P28)*'Tariff Jul 2021'!Q28/100),0)))</f>
        <v>0</v>
      </c>
      <c r="H42" s="217">
        <f>($C$37*$C$39)*'Tariff Jul 2021'!AE28/100</f>
        <v>54.034090909090907</v>
      </c>
      <c r="I42" s="217">
        <f t="shared" ref="I42:I64" si="23">SUM(C42:H42)</f>
        <v>581.16127272727272</v>
      </c>
      <c r="J42" s="252">
        <f t="shared" ref="J42:J64" si="24">(I42-C42)*4</f>
        <v>2013.9545454545455</v>
      </c>
      <c r="K42" s="203">
        <f>I42*4</f>
        <v>2324.6450909090909</v>
      </c>
      <c r="L42" s="203">
        <f>K42*1.1</f>
        <v>2557.1096000000002</v>
      </c>
      <c r="M42" s="200">
        <f>'Tariff Jul 2021'!AZ28</f>
        <v>0</v>
      </c>
      <c r="N42" s="200">
        <f>'Tariff Jul 2021'!BA28</f>
        <v>0</v>
      </c>
      <c r="O42" s="200">
        <f>'Tariff Jul 2021'!BB28</f>
        <v>0</v>
      </c>
      <c r="P42" s="200">
        <f>'Tariff Jul 2021'!BC28</f>
        <v>0</v>
      </c>
      <c r="Q42" s="204" t="str">
        <f>IF(SUM(M42:P42)=0,"No discount",IF(M42&gt;0,"Guaranteed off bill",IF(N42&gt;0,"Guaranteed off usage",IF(O42&gt;0,"Pay-on-time off bill","Pay-on-time off usage"))))</f>
        <v>No discount</v>
      </c>
      <c r="R42" s="205" t="str">
        <f>IF(OR(A42="Origin Energy",A42="Red Energy",A42="Powershop"),"Inclusive","Exclusive")</f>
        <v>Exclusive</v>
      </c>
      <c r="S42" s="254">
        <f>IF(AND(Q42="Guaranteed off bill",R42="Inclusive"),((K42*1.1)-((K42*1.1)*M42/100))/1.1,IF(AND(Q42="Guaranteed off usage",R42="Inclusive"),((K42*1.1)-((J42*1.1)*N42/100))/1.1,IF(AND(Q42="Guaranteed off bill",R42="Exclusive"),K42-(K42*M42/100),IF(AND(Q42="Guaranteed off usage",R42="Exclusive"),K42-(J42*N42/100),IF(R42="Inclusive",((K42*1.1))/1.1,K42)))))</f>
        <v>2324.6450909090909</v>
      </c>
      <c r="T42" s="252">
        <f>IF(AND(Q42="Pay-on-time off bill",R42="Inclusive"),((S42*1.1)-((S42*1.1)*O42/100))/1.1,IF(AND(Q42="Pay-on-time off usage",R42="Inclusive"),((S42*1.1)-((J42*1.1)*P42/100))/1.1,IF(AND(Q42="Pay-on-time off bill",R42="Exclusive"),S42-(S42*O42/100),IF(AND(Q42="Pay-on-time off usage",R42="Exclusive"),S42-(J42*P42/100),IF(R42="Inclusive",((S42*1.1))/1.1,S42)))))</f>
        <v>2324.6450909090909</v>
      </c>
      <c r="U42" s="259">
        <f>S42*1.1</f>
        <v>2557.1096000000002</v>
      </c>
      <c r="V42" s="259">
        <f>T42*1.1</f>
        <v>2557.1096000000002</v>
      </c>
      <c r="W42" s="206">
        <f>'Tariff Jul 2021'!BL28</f>
        <v>0</v>
      </c>
      <c r="X42" s="207" t="str">
        <f>'Tariff Jul 2021'!BM28</f>
        <v>n</v>
      </c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</row>
    <row r="43" spans="1:42" x14ac:dyDescent="0.15">
      <c r="A43" s="199" t="str">
        <f>'Tariff Jul 2021'!K29</f>
        <v>Alinta Energy</v>
      </c>
      <c r="B43" s="200" t="str">
        <f>'Tariff Jul 2021'!L29</f>
        <v>Home Deal</v>
      </c>
      <c r="C43" s="217">
        <f>IF('Tariff Jul 2021'!BP29=0,91*'Tariff Jul 2021'!M29/100,(91*'Tariff Jul 2021'!M29/100)+'Tariff Jul 2021'!BP29/4)</f>
        <v>75.53</v>
      </c>
      <c r="D43" s="217">
        <f>IF('Tariff Jul 2021'!O29="",$C$37*$C$38*'Tariff Jul 2021'!N29/100,IF($C$37*$C$38&gt;='Tariff Jul 2021'!P29,('Tariff Jul 2021'!P29*'Tariff Jul 2021'!N29/100),($C$37*$C$38*'Tariff Jul 2021'!N29/100)))</f>
        <v>72.190909090909088</v>
      </c>
      <c r="E43" s="217">
        <f>IF(AND('Tariff Jul 2021'!P29&gt;0,'Tariff Jul 2021'!R29&gt;0),IF($C$37*$C$38&lt;'Tariff Jul 2021'!P29,0,IF($C$37*$C$38&lt;=('Tariff Jul 2021'!R29+'Tariff Jul 2021'!P29),(($C$37*$C$38-'Tariff Jul 2021'!P29)*'Tariff Jul 2021'!Q29/100),(('Tariff Jul 2021'!R29)*'Tariff Jul 2021'!Q29/100))),0)</f>
        <v>0</v>
      </c>
      <c r="F43" s="217">
        <f>IF(AND('Tariff Jul 2021'!Q29&gt;0,'Tariff Jul 2021'!S29&gt;0),IF($C$37*$C$38&lt;('Tariff Jul 2021'!R29+'Tariff Jul 2021'!P29),0,IF($C$37*$C$38&lt;=('Tariff Jul 2021'!T29+'Tariff Jul 2021'!R29+'Tariff Jul 2021'!P29),(($C$37*$C$38-('Tariff Jul 2021'!R29+'Tariff Jul 2021'!P29))*'Tariff Jul 2021'!S29/100),('Tariff Jul 2021'!T29*'Tariff Jul 2021'!S29/100))),0)</f>
        <v>0</v>
      </c>
      <c r="G43" s="217">
        <f>IF(AND('Tariff Jul 2021'!R29&gt;0,'Tariff Jul 2021'!T29&gt;0),IF(($C$37*$C$38&lt;'Tariff Jul 2021'!T29),(0),($C$37*$C$38-'Tariff Jul 2021'!T29)*'Tariff Jul 2021'!U29/100),IF(AND('Tariff Jul 2021'!R29&gt;0,'Tariff Jul 2021'!T29=""),IF(($C$37*$C$38&lt;'Tariff Jul 2021'!R29+'Tariff Jul 2021'!P29),(0),(($C$37*$C$38-('Tariff Jul 2021'!R29+'Tariff Jul 2021'!P29))*'Tariff Jul 2021'!S29/100)),IF(AND('Tariff Jul 2021'!P29&gt;0,'Tariff Jul 2021'!R29=""&gt;0),IF(($C$37*$C$38&lt;'Tariff Jul 2021'!P29),(0),($C$37*$C$38-'Tariff Jul 2021'!P29)*'Tariff Jul 2021'!Q29/100),0)))</f>
        <v>321.59999999999997</v>
      </c>
      <c r="H43" s="217">
        <f>($C$37*$C$39)*'Tariff Jul 2021'!AE29/100</f>
        <v>49.73863636363636</v>
      </c>
      <c r="I43" s="217">
        <f t="shared" si="23"/>
        <v>519.0595454545454</v>
      </c>
      <c r="J43" s="252">
        <f t="shared" si="24"/>
        <v>1774.1181818181817</v>
      </c>
      <c r="K43" s="203">
        <f t="shared" ref="K43:K64" si="25">I43*4</f>
        <v>2076.2381818181816</v>
      </c>
      <c r="L43" s="203">
        <f t="shared" ref="L43:L64" si="26">K43*1.1</f>
        <v>2283.8620000000001</v>
      </c>
      <c r="M43" s="200">
        <f>'Tariff Jul 2021'!AZ29</f>
        <v>0</v>
      </c>
      <c r="N43" s="200">
        <f>'Tariff Jul 2021'!BA29</f>
        <v>0</v>
      </c>
      <c r="O43" s="200">
        <f>'Tariff Jul 2021'!BB29</f>
        <v>0</v>
      </c>
      <c r="P43" s="200">
        <f>'Tariff Jul 2021'!BC29</f>
        <v>0</v>
      </c>
      <c r="Q43" s="204" t="str">
        <f t="shared" ref="Q43:Q57" si="27">IF(SUM(M43:P43)=0,"No discount",IF(M43&gt;0,"Guaranteed off bill",IF(N43&gt;0,"Guaranteed off usage",IF(O43&gt;0,"Pay-on-time off bill","Pay-on-time off usage"))))</f>
        <v>No discount</v>
      </c>
      <c r="R43" s="205" t="str">
        <f>IF(OR(A43="Origin Energy",A43="Red Energy",A43="Powershop"),"Inclusive","Exclusive")</f>
        <v>Exclusive</v>
      </c>
      <c r="S43" s="254">
        <f t="shared" ref="S43:S64" si="28">IF(AND(Q43="Guaranteed off bill",R43="Inclusive"),((K43*1.1)-((K43*1.1)*M43/100))/1.1,IF(AND(Q43="Guaranteed off usage",R43="Inclusive"),((K43*1.1)-((J43*1.1)*N43/100))/1.1,IF(AND(Q43="Guaranteed off bill",R43="Exclusive"),K43-(K43*M43/100),IF(AND(Q43="Guaranteed off usage",R43="Exclusive"),K43-(J43*N43/100),IF(R43="Inclusive",((K43*1.1))/1.1,K43)))))</f>
        <v>2076.2381818181816</v>
      </c>
      <c r="T43" s="252">
        <f t="shared" ref="T43:T64" si="29">IF(AND(Q43="Pay-on-time off bill",R43="Inclusive"),((S43*1.1)-((S43*1.1)*O43/100))/1.1,IF(AND(Q43="Pay-on-time off usage",R43="Inclusive"),((S43*1.1)-((J43*1.1)*P43/100))/1.1,IF(AND(Q43="Pay-on-time off bill",R43="Exclusive"),S43-(S43*O43/100),IF(AND(Q43="Pay-on-time off usage",R43="Exclusive"),S43-(J43*P43/100),IF(R43="Inclusive",((S43*1.1))/1.1,S43)))))</f>
        <v>2076.2381818181816</v>
      </c>
      <c r="U43" s="260">
        <f t="shared" ref="U43:V58" si="30">S43*1.1</f>
        <v>2283.8620000000001</v>
      </c>
      <c r="V43" s="260">
        <f t="shared" si="30"/>
        <v>2283.8620000000001</v>
      </c>
      <c r="W43" s="206">
        <f>'Tariff Jul 2021'!BL29</f>
        <v>0</v>
      </c>
      <c r="X43" s="207" t="str">
        <f>'Tariff Jul 2021'!BM29</f>
        <v>n</v>
      </c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</row>
    <row r="44" spans="1:42" x14ac:dyDescent="0.15">
      <c r="A44" s="199" t="str">
        <f>'Tariff Jul 2021'!K30</f>
        <v>Diamond Energy</v>
      </c>
      <c r="B44" s="200" t="str">
        <f>'Tariff Jul 2021'!L30</f>
        <v>Renewable Saver POT</v>
      </c>
      <c r="C44" s="217">
        <f>IF('Tariff Jul 2021'!BP30=0,91*'Tariff Jul 2021'!M30/100,(91*'Tariff Jul 2021'!M30/100)+'Tariff Jul 2021'!BP30/4)</f>
        <v>79.124499999999998</v>
      </c>
      <c r="D44" s="217">
        <f>IF('Tariff Jul 2021'!O30="",$C$37*$C$38*'Tariff Jul 2021'!N30/100,IF($C$37*$C$38&gt;='Tariff Jul 2021'!P30,('Tariff Jul 2021'!P30*'Tariff Jul 2021'!N30/100),($C$37*$C$38*'Tariff Jul 2021'!N30/100)))</f>
        <v>99.78</v>
      </c>
      <c r="E44" s="217">
        <f>IF(AND('Tariff Jul 2021'!P30&gt;0,'Tariff Jul 2021'!R30&gt;0),IF($C$37*$C$38&lt;'Tariff Jul 2021'!P30,0,IF($C$37*$C$38&lt;=('Tariff Jul 2021'!R30+'Tariff Jul 2021'!P30),(($C$37*$C$38-'Tariff Jul 2021'!P30)*'Tariff Jul 2021'!Q30/100),(('Tariff Jul 2021'!R30)*'Tariff Jul 2021'!Q30/100))),0)</f>
        <v>251.23</v>
      </c>
      <c r="F44" s="217">
        <f>IF(AND('Tariff Jul 2021'!Q30&gt;0,'Tariff Jul 2021'!S30&gt;0),IF($C$37*$C$38&lt;('Tariff Jul 2021'!R30+'Tariff Jul 2021'!P30),0,IF($C$37*$C$38&lt;=('Tariff Jul 2021'!T30+'Tariff Jul 2021'!R30+'Tariff Jul 2021'!P30),(($C$37*$C$38-('Tariff Jul 2021'!R30+'Tariff Jul 2021'!P30))*'Tariff Jul 2021'!S30/100),('Tariff Jul 2021'!T30*'Tariff Jul 2021'!S30/100))),0)</f>
        <v>194.75</v>
      </c>
      <c r="G44" s="217">
        <f>IF(AND('Tariff Jul 2021'!R30&gt;0,'Tariff Jul 2021'!T30&gt;0),IF(($C$37*$C$38&lt;'Tariff Jul 2021'!T30),(0),($C$37*$C$38-'Tariff Jul 2021'!T30)*'Tariff Jul 2021'!U30/100),IF(AND('Tariff Jul 2021'!R30&gt;0,'Tariff Jul 2021'!T30=""),IF(($C$37*$C$38&lt;'Tariff Jul 2021'!R30+'Tariff Jul 2021'!P30),(0),(($C$37*$C$38-('Tariff Jul 2021'!R30+'Tariff Jul 2021'!P30))*'Tariff Jul 2021'!S30/100)),IF(AND('Tariff Jul 2021'!P30&gt;0,'Tariff Jul 2021'!R30=""&gt;0),IF(($C$37*$C$38&lt;'Tariff Jul 2021'!P30),(0),($C$37*$C$38-'Tariff Jul 2021'!P30)*'Tariff Jul 2021'!Q30/100),0)))</f>
        <v>0</v>
      </c>
      <c r="H44" s="217">
        <f>($C$37*$C$39)*'Tariff Jul 2021'!AE30/100</f>
        <v>74.829545454545453</v>
      </c>
      <c r="I44" s="217">
        <f t="shared" si="23"/>
        <v>699.7140454545455</v>
      </c>
      <c r="J44" s="252">
        <f t="shared" si="24"/>
        <v>2482.3581818181819</v>
      </c>
      <c r="K44" s="203">
        <f t="shared" si="25"/>
        <v>2798.856181818182</v>
      </c>
      <c r="L44" s="203">
        <f t="shared" si="26"/>
        <v>3078.7418000000002</v>
      </c>
      <c r="M44" s="200">
        <f>'Tariff Jul 2021'!AZ30</f>
        <v>0</v>
      </c>
      <c r="N44" s="200">
        <f>'Tariff Jul 2021'!BA30</f>
        <v>0</v>
      </c>
      <c r="O44" s="200">
        <f>'Tariff Jul 2021'!BB30</f>
        <v>7</v>
      </c>
      <c r="P44" s="200">
        <f>'Tariff Jul 2021'!BC30</f>
        <v>0</v>
      </c>
      <c r="Q44" s="204" t="str">
        <f t="shared" si="27"/>
        <v>Pay-on-time off bill</v>
      </c>
      <c r="R44" s="205" t="str">
        <f>IF(OR(A44="Origin Energy",A44="Red Energy",A44="Powershop"),"Inclusive","Exclusive")</f>
        <v>Exclusive</v>
      </c>
      <c r="S44" s="254">
        <f t="shared" si="28"/>
        <v>2798.856181818182</v>
      </c>
      <c r="T44" s="252">
        <f t="shared" si="29"/>
        <v>2602.9362490909093</v>
      </c>
      <c r="U44" s="260">
        <f t="shared" si="30"/>
        <v>3078.7418000000002</v>
      </c>
      <c r="V44" s="260">
        <f t="shared" si="30"/>
        <v>2863.2298740000006</v>
      </c>
      <c r="W44" s="206">
        <f>'Tariff Jul 2021'!BL30</f>
        <v>0</v>
      </c>
      <c r="X44" s="207" t="str">
        <f>'Tariff Jul 2021'!BM30</f>
        <v>n</v>
      </c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</row>
    <row r="45" spans="1:42" x14ac:dyDescent="0.15">
      <c r="A45" s="199" t="str">
        <f>'Tariff Jul 2021'!K31</f>
        <v>Dodo Power &amp; Gas</v>
      </c>
      <c r="B45" s="200" t="str">
        <f>'Tariff Jul 2021'!L31</f>
        <v>Market offer</v>
      </c>
      <c r="C45" s="217">
        <f>IF('Tariff Jul 2021'!BP31=0,91*'Tariff Jul 2021'!M31/100,(91*'Tariff Jul 2021'!M31/100)+'Tariff Jul 2021'!BP31/4)</f>
        <v>60.788000000000004</v>
      </c>
      <c r="D45" s="217">
        <f>IF('Tariff Jul 2021'!O31="",$C$37*$C$38*'Tariff Jul 2021'!N31/100,IF($C$37*$C$38&gt;='Tariff Jul 2021'!P31,('Tariff Jul 2021'!P31*'Tariff Jul 2021'!N31/100),($C$37*$C$38*'Tariff Jul 2021'!N31/100)))</f>
        <v>440.18181818181819</v>
      </c>
      <c r="E45" s="217">
        <f>IF(AND('Tariff Jul 2021'!P31&gt;0,'Tariff Jul 2021'!R31&gt;0),IF($C$37*$C$38&lt;'Tariff Jul 2021'!P31,0,IF($C$37*$C$38&lt;=('Tariff Jul 2021'!R31+'Tariff Jul 2021'!P31),(($C$37*$C$38-'Tariff Jul 2021'!P31)*'Tariff Jul 2021'!Q31/100),(('Tariff Jul 2021'!R31)*'Tariff Jul 2021'!Q31/100))),0)</f>
        <v>0</v>
      </c>
      <c r="F45" s="217">
        <f>IF(AND('Tariff Jul 2021'!Q31&gt;0,'Tariff Jul 2021'!S31&gt;0),IF($C$37*$C$38&lt;('Tariff Jul 2021'!R31+'Tariff Jul 2021'!P31),0,IF($C$37*$C$38&lt;=('Tariff Jul 2021'!T31+'Tariff Jul 2021'!R31+'Tariff Jul 2021'!P31),(($C$37*$C$38-('Tariff Jul 2021'!R31+'Tariff Jul 2021'!P31))*'Tariff Jul 2021'!S31/100),('Tariff Jul 2021'!T31*'Tariff Jul 2021'!S31/100))),0)</f>
        <v>0</v>
      </c>
      <c r="G45" s="217">
        <f>IF(AND('Tariff Jul 2021'!R31&gt;0,'Tariff Jul 2021'!T31&gt;0),IF(($C$37*$C$38&lt;'Tariff Jul 2021'!T31),(0),($C$37*$C$38-'Tariff Jul 2021'!T31)*'Tariff Jul 2021'!U31/100),IF(AND('Tariff Jul 2021'!R31&gt;0,'Tariff Jul 2021'!T31=""),IF(($C$37*$C$38&lt;'Tariff Jul 2021'!R31+'Tariff Jul 2021'!P31),(0),(($C$37*$C$38-('Tariff Jul 2021'!R31+'Tariff Jul 2021'!P31))*'Tariff Jul 2021'!S31/100)),IF(AND('Tariff Jul 2021'!P31&gt;0,'Tariff Jul 2021'!R31=""&gt;0),IF(($C$37*$C$38&lt;'Tariff Jul 2021'!P31),(0),($C$37*$C$38-'Tariff Jul 2021'!P31)*'Tariff Jul 2021'!Q31/100),0)))</f>
        <v>0</v>
      </c>
      <c r="H45" s="217">
        <f>($C$37*$C$39)*'Tariff Jul 2021'!AE31/100</f>
        <v>67.772727272727266</v>
      </c>
      <c r="I45" s="217">
        <f t="shared" si="23"/>
        <v>568.74254545454551</v>
      </c>
      <c r="J45" s="252">
        <f t="shared" si="24"/>
        <v>2031.818181818182</v>
      </c>
      <c r="K45" s="203">
        <f t="shared" si="25"/>
        <v>2274.970181818182</v>
      </c>
      <c r="L45" s="203">
        <f t="shared" si="26"/>
        <v>2502.4672000000005</v>
      </c>
      <c r="M45" s="200">
        <f>'Tariff Jul 2021'!AZ31</f>
        <v>0</v>
      </c>
      <c r="N45" s="200">
        <f>'Tariff Jul 2021'!BA31</f>
        <v>0</v>
      </c>
      <c r="O45" s="200">
        <f>'Tariff Jul 2021'!BB31</f>
        <v>0</v>
      </c>
      <c r="P45" s="200">
        <f>'Tariff Jul 2021'!BC31</f>
        <v>0</v>
      </c>
      <c r="Q45" s="204" t="str">
        <f t="shared" si="27"/>
        <v>No discount</v>
      </c>
      <c r="R45" s="205" t="str">
        <f t="shared" ref="R45:R64" si="31">IF(OR(A45="Origin Energy",A45="Red Energy",A45="Powershop"),"Inclusive","Exclusive")</f>
        <v>Exclusive</v>
      </c>
      <c r="S45" s="254">
        <f t="shared" si="28"/>
        <v>2274.970181818182</v>
      </c>
      <c r="T45" s="252">
        <f t="shared" si="29"/>
        <v>2274.970181818182</v>
      </c>
      <c r="U45" s="260">
        <f t="shared" si="30"/>
        <v>2502.4672000000005</v>
      </c>
      <c r="V45" s="260">
        <f t="shared" si="30"/>
        <v>2502.4672000000005</v>
      </c>
      <c r="W45" s="206">
        <f>'Tariff Jul 2021'!BL31</f>
        <v>0</v>
      </c>
      <c r="X45" s="207" t="str">
        <f>'Tariff Jul 2021'!BM31</f>
        <v>n</v>
      </c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</row>
    <row r="46" spans="1:42" x14ac:dyDescent="0.15">
      <c r="A46" s="199" t="str">
        <f>'Tariff Jul 2021'!K32</f>
        <v>EnergyAustralia</v>
      </c>
      <c r="B46" s="200" t="str">
        <f>'Tariff Jul 2021'!L32</f>
        <v>Total Plan Home</v>
      </c>
      <c r="C46" s="217">
        <f>IF('Tariff Jul 2021'!BP32=0,91*'Tariff Jul 2021'!M32/100,(91*'Tariff Jul 2021'!M32/100)+'Tariff Jul 2021'!BP32/4)</f>
        <v>73.254999999999995</v>
      </c>
      <c r="D46" s="217">
        <f>IF('Tariff Jul 2021'!O32="",$C$37*$C$38*'Tariff Jul 2021'!N32/100,IF($C$37*$C$38&gt;='Tariff Jul 2021'!P32,('Tariff Jul 2021'!P32*'Tariff Jul 2021'!N32/100),($C$37*$C$38*'Tariff Jul 2021'!N32/100)))</f>
        <v>474.81818181818176</v>
      </c>
      <c r="E46" s="217">
        <f>IF(AND('Tariff Jul 2021'!P32&gt;0,'Tariff Jul 2021'!R32&gt;0),IF($C$37*$C$38&lt;'Tariff Jul 2021'!P32,0,IF($C$37*$C$38&lt;=('Tariff Jul 2021'!R32+'Tariff Jul 2021'!P32),(($C$37*$C$38-'Tariff Jul 2021'!P32)*'Tariff Jul 2021'!Q32/100),(('Tariff Jul 2021'!R32)*'Tariff Jul 2021'!Q32/100))),0)</f>
        <v>0</v>
      </c>
      <c r="F46" s="217">
        <f>IF(AND('Tariff Jul 2021'!Q32&gt;0,'Tariff Jul 2021'!S32&gt;0),IF($C$37*$C$38&lt;('Tariff Jul 2021'!R32+'Tariff Jul 2021'!P32),0,IF($C$37*$C$38&lt;=('Tariff Jul 2021'!T32+'Tariff Jul 2021'!R32+'Tariff Jul 2021'!P32),(($C$37*$C$38-('Tariff Jul 2021'!R32+'Tariff Jul 2021'!P32))*'Tariff Jul 2021'!S32/100),('Tariff Jul 2021'!T32*'Tariff Jul 2021'!S32/100))),0)</f>
        <v>0</v>
      </c>
      <c r="G46" s="217">
        <f>IF(AND('Tariff Jul 2021'!R32&gt;0,'Tariff Jul 2021'!T32&gt;0),IF(($C$37*$C$38&lt;'Tariff Jul 2021'!T32),(0),($C$37*$C$38-'Tariff Jul 2021'!T32)*'Tariff Jul 2021'!U32/100),IF(AND('Tariff Jul 2021'!R32&gt;0,'Tariff Jul 2021'!T32=""),IF(($C$37*$C$38&lt;'Tariff Jul 2021'!R32+'Tariff Jul 2021'!P32),(0),(($C$37*$C$38-('Tariff Jul 2021'!R32+'Tariff Jul 2021'!P32))*'Tariff Jul 2021'!S32/100)),IF(AND('Tariff Jul 2021'!P32&gt;0,'Tariff Jul 2021'!R32=""&gt;0),IF(($C$37*$C$38&lt;'Tariff Jul 2021'!P32),(0),($C$37*$C$38-'Tariff Jul 2021'!P32)*'Tariff Jul 2021'!Q32/100),0)))</f>
        <v>0</v>
      </c>
      <c r="H46" s="217">
        <f>($C$37*$C$39)*'Tariff Jul 2021'!AE32/100</f>
        <v>55.19318181818182</v>
      </c>
      <c r="I46" s="217">
        <f t="shared" si="23"/>
        <v>603.26636363636362</v>
      </c>
      <c r="J46" s="252">
        <f t="shared" si="24"/>
        <v>2120.0454545454545</v>
      </c>
      <c r="K46" s="203">
        <f t="shared" si="25"/>
        <v>2413.0654545454545</v>
      </c>
      <c r="L46" s="203">
        <f t="shared" si="26"/>
        <v>2654.3720000000003</v>
      </c>
      <c r="M46" s="200">
        <f>'Tariff Jul 2021'!AZ32</f>
        <v>6</v>
      </c>
      <c r="N46" s="200">
        <f>'Tariff Jul 2021'!BA32</f>
        <v>0</v>
      </c>
      <c r="O46" s="200">
        <f>'Tariff Jul 2021'!BB32</f>
        <v>0</v>
      </c>
      <c r="P46" s="200">
        <f>'Tariff Jul 2021'!BC32</f>
        <v>0</v>
      </c>
      <c r="Q46" s="204" t="str">
        <f t="shared" si="27"/>
        <v>Guaranteed off bill</v>
      </c>
      <c r="R46" s="205" t="str">
        <f t="shared" si="31"/>
        <v>Exclusive</v>
      </c>
      <c r="S46" s="254">
        <f t="shared" si="28"/>
        <v>2268.2815272727271</v>
      </c>
      <c r="T46" s="252">
        <f t="shared" si="29"/>
        <v>2268.2815272727271</v>
      </c>
      <c r="U46" s="260">
        <f t="shared" si="30"/>
        <v>2495.10968</v>
      </c>
      <c r="V46" s="260">
        <f t="shared" si="30"/>
        <v>2495.10968</v>
      </c>
      <c r="W46" s="206">
        <f>'Tariff Jul 2021'!BL32</f>
        <v>0</v>
      </c>
      <c r="X46" s="207" t="str">
        <f>'Tariff Jul 2021'!BM32</f>
        <v>n</v>
      </c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</row>
    <row r="47" spans="1:42" x14ac:dyDescent="0.15">
      <c r="A47" s="199" t="str">
        <f>'Tariff Jul 2021'!K33</f>
        <v>Lumo Energy</v>
      </c>
      <c r="B47" s="200" t="str">
        <f>'Tariff Jul 2021'!L33</f>
        <v>Plus</v>
      </c>
      <c r="C47" s="217">
        <f>IF('Tariff Jul 2021'!BP33=0,91*'Tariff Jul 2021'!M33/100,(91*'Tariff Jul 2021'!M33/100)+'Tariff Jul 2021'!BP33/4)</f>
        <v>72.709000000000003</v>
      </c>
      <c r="D47" s="217">
        <f>IF('Tariff Jul 2021'!O33="",$C$37*$C$38*'Tariff Jul 2021'!N33/100,IF($C$37*$C$38&gt;='Tariff Jul 2021'!P33,('Tariff Jul 2021'!P33*'Tariff Jul 2021'!N33/100),($C$37*$C$38*'Tariff Jul 2021'!N33/100)))</f>
        <v>464.31818181818176</v>
      </c>
      <c r="E47" s="217">
        <f>IF(AND('Tariff Jul 2021'!P33&gt;0,'Tariff Jul 2021'!R33&gt;0),IF($C$37*$C$38&lt;'Tariff Jul 2021'!P33,0,IF($C$37*$C$38&lt;=('Tariff Jul 2021'!R33+'Tariff Jul 2021'!P33),(($C$37*$C$38-'Tariff Jul 2021'!P33)*'Tariff Jul 2021'!Q33/100),(('Tariff Jul 2021'!R33)*'Tariff Jul 2021'!Q33/100))),0)</f>
        <v>0</v>
      </c>
      <c r="F47" s="217">
        <f>IF(AND('Tariff Jul 2021'!Q33&gt;0,'Tariff Jul 2021'!S33&gt;0),IF($C$37*$C$38&lt;('Tariff Jul 2021'!R33+'Tariff Jul 2021'!P33),0,IF($C$37*$C$38&lt;=('Tariff Jul 2021'!T33+'Tariff Jul 2021'!R33+'Tariff Jul 2021'!P33),(($C$37*$C$38-('Tariff Jul 2021'!R33+'Tariff Jul 2021'!P33))*'Tariff Jul 2021'!S33/100),('Tariff Jul 2021'!T33*'Tariff Jul 2021'!S33/100))),0)</f>
        <v>0</v>
      </c>
      <c r="G47" s="217">
        <f>IF(AND('Tariff Jul 2021'!R33&gt;0,'Tariff Jul 2021'!T33&gt;0),IF(($C$37*$C$38&lt;'Tariff Jul 2021'!T33),(0),($C$37*$C$38-'Tariff Jul 2021'!T33)*'Tariff Jul 2021'!U33/100),IF(AND('Tariff Jul 2021'!R33&gt;0,'Tariff Jul 2021'!T33=""),IF(($C$37*$C$38&lt;'Tariff Jul 2021'!R33+'Tariff Jul 2021'!P33),(0),(($C$37*$C$38-('Tariff Jul 2021'!R33+'Tariff Jul 2021'!P33))*'Tariff Jul 2021'!S33/100)),IF(AND('Tariff Jul 2021'!P33&gt;0,'Tariff Jul 2021'!R33=""&gt;0),IF(($C$37*$C$38&lt;'Tariff Jul 2021'!P33),(0),($C$37*$C$38-'Tariff Jul 2021'!P33)*'Tariff Jul 2021'!Q33/100),0)))</f>
        <v>0</v>
      </c>
      <c r="H47" s="217">
        <f>($C$37*$C$39)*'Tariff Jul 2021'!AE33/100</f>
        <v>58.19318181818182</v>
      </c>
      <c r="I47" s="217">
        <f t="shared" si="23"/>
        <v>595.22036363636369</v>
      </c>
      <c r="J47" s="252">
        <f t="shared" si="24"/>
        <v>2090.045454545455</v>
      </c>
      <c r="K47" s="203">
        <f t="shared" si="25"/>
        <v>2380.8814545454547</v>
      </c>
      <c r="L47" s="203">
        <f t="shared" si="26"/>
        <v>2618.9696000000004</v>
      </c>
      <c r="M47" s="200">
        <f>'Tariff Jul 2021'!AZ33</f>
        <v>0</v>
      </c>
      <c r="N47" s="200">
        <f>'Tariff Jul 2021'!BA33</f>
        <v>0</v>
      </c>
      <c r="O47" s="200">
        <f>'Tariff Jul 2021'!BB33</f>
        <v>0</v>
      </c>
      <c r="P47" s="200">
        <f>'Tariff Jul 2021'!BC33</f>
        <v>0</v>
      </c>
      <c r="Q47" s="204" t="str">
        <f t="shared" si="27"/>
        <v>No discount</v>
      </c>
      <c r="R47" s="205" t="str">
        <f t="shared" si="31"/>
        <v>Exclusive</v>
      </c>
      <c r="S47" s="254">
        <f t="shared" si="28"/>
        <v>2380.8814545454547</v>
      </c>
      <c r="T47" s="252">
        <f t="shared" si="29"/>
        <v>2380.8814545454547</v>
      </c>
      <c r="U47" s="260">
        <f t="shared" si="30"/>
        <v>2618.9696000000004</v>
      </c>
      <c r="V47" s="260">
        <f t="shared" si="30"/>
        <v>2618.9696000000004</v>
      </c>
      <c r="W47" s="206">
        <f>'Tariff Jul 2021'!BL33</f>
        <v>0</v>
      </c>
      <c r="X47" s="207" t="str">
        <f>'Tariff Jul 2021'!BM33</f>
        <v>n</v>
      </c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</row>
    <row r="48" spans="1:42" x14ac:dyDescent="0.15">
      <c r="A48" s="199" t="str">
        <f>'Tariff Jul 2021'!K34</f>
        <v>Momentum Energy</v>
      </c>
      <c r="B48" s="200" t="str">
        <f>'Tariff Jul 2021'!L34</f>
        <v>SmilePower Flexi</v>
      </c>
      <c r="C48" s="217">
        <f>IF('Tariff Jul 2021'!BP34=0,91*'Tariff Jul 2021'!M34/100,(91*'Tariff Jul 2021'!M34/100)+'Tariff Jul 2021'!BP34/4)</f>
        <v>91.537727272727281</v>
      </c>
      <c r="D48" s="217">
        <f>IF('Tariff Jul 2021'!O34="",$C$37*$C$38*'Tariff Jul 2021'!N34/100,IF($C$37*$C$38&gt;='Tariff Jul 2021'!P34,('Tariff Jul 2021'!P34*'Tariff Jul 2021'!N34/100),($C$37*$C$38*'Tariff Jul 2021'!N34/100)))</f>
        <v>441.54545454545456</v>
      </c>
      <c r="E48" s="217">
        <f>IF(AND('Tariff Jul 2021'!P34&gt;0,'Tariff Jul 2021'!R34&gt;0),IF($C$37*$C$38&lt;'Tariff Jul 2021'!P34,0,IF($C$37*$C$38&lt;=('Tariff Jul 2021'!R34+'Tariff Jul 2021'!P34),(($C$37*$C$38-'Tariff Jul 2021'!P34)*'Tariff Jul 2021'!Q34/100),(('Tariff Jul 2021'!R34)*'Tariff Jul 2021'!Q34/100))),0)</f>
        <v>0</v>
      </c>
      <c r="F48" s="217">
        <f>IF(AND('Tariff Jul 2021'!Q34&gt;0,'Tariff Jul 2021'!S34&gt;0),IF($C$37*$C$38&lt;('Tariff Jul 2021'!R34+'Tariff Jul 2021'!P34),0,IF($C$37*$C$38&lt;=('Tariff Jul 2021'!T34+'Tariff Jul 2021'!R34+'Tariff Jul 2021'!P34),(($C$37*$C$38-('Tariff Jul 2021'!R34+'Tariff Jul 2021'!P34))*'Tariff Jul 2021'!S34/100),('Tariff Jul 2021'!T34*'Tariff Jul 2021'!S34/100))),0)</f>
        <v>0</v>
      </c>
      <c r="G48" s="217">
        <f>IF(AND('Tariff Jul 2021'!R34&gt;0,'Tariff Jul 2021'!T34&gt;0),IF(($C$37*$C$38&lt;'Tariff Jul 2021'!T34),(0),($C$37*$C$38-'Tariff Jul 2021'!T34)*'Tariff Jul 2021'!U34/100),IF(AND('Tariff Jul 2021'!R34&gt;0,'Tariff Jul 2021'!T34=""),IF(($C$37*$C$38&lt;'Tariff Jul 2021'!R34+'Tariff Jul 2021'!P34),(0),(($C$37*$C$38-('Tariff Jul 2021'!R34+'Tariff Jul 2021'!P34))*'Tariff Jul 2021'!S34/100)),IF(AND('Tariff Jul 2021'!P34&gt;0,'Tariff Jul 2021'!R34=""&gt;0),IF(($C$37*$C$38&lt;'Tariff Jul 2021'!P34),(0),($C$37*$C$38-'Tariff Jul 2021'!P34)*'Tariff Jul 2021'!Q34/100),0)))</f>
        <v>0</v>
      </c>
      <c r="H48" s="217">
        <f>($C$37*$C$39)*'Tariff Jul 2021'!AE34/100</f>
        <v>55.26136363636364</v>
      </c>
      <c r="I48" s="217">
        <f t="shared" si="23"/>
        <v>588.34454545454548</v>
      </c>
      <c r="J48" s="252">
        <f t="shared" si="24"/>
        <v>1987.2272727272727</v>
      </c>
      <c r="K48" s="203">
        <f t="shared" si="25"/>
        <v>2353.3781818181819</v>
      </c>
      <c r="L48" s="203">
        <f t="shared" si="26"/>
        <v>2588.7160000000003</v>
      </c>
      <c r="M48" s="200">
        <f>'Tariff Jul 2021'!AZ34</f>
        <v>0</v>
      </c>
      <c r="N48" s="200">
        <f>'Tariff Jul 2021'!BA34</f>
        <v>0</v>
      </c>
      <c r="O48" s="200">
        <f>'Tariff Jul 2021'!BB34</f>
        <v>0</v>
      </c>
      <c r="P48" s="200">
        <f>'Tariff Jul 2021'!BC34</f>
        <v>0</v>
      </c>
      <c r="Q48" s="204" t="str">
        <f t="shared" si="27"/>
        <v>No discount</v>
      </c>
      <c r="R48" s="205" t="str">
        <f t="shared" si="31"/>
        <v>Exclusive</v>
      </c>
      <c r="S48" s="254">
        <f t="shared" si="28"/>
        <v>2353.3781818181819</v>
      </c>
      <c r="T48" s="252">
        <f t="shared" si="29"/>
        <v>2353.3781818181819</v>
      </c>
      <c r="U48" s="260">
        <f t="shared" si="30"/>
        <v>2588.7160000000003</v>
      </c>
      <c r="V48" s="260">
        <f t="shared" si="30"/>
        <v>2588.7160000000003</v>
      </c>
      <c r="W48" s="206">
        <f>'Tariff Jul 2021'!BL34</f>
        <v>0</v>
      </c>
      <c r="X48" s="207" t="str">
        <f>'Tariff Jul 2021'!BM34</f>
        <v>n</v>
      </c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</row>
    <row r="49" spans="1:42" x14ac:dyDescent="0.15">
      <c r="A49" s="199" t="str">
        <f>'Tariff Jul 2021'!K35</f>
        <v>Origin Energy</v>
      </c>
      <c r="B49" s="200" t="str">
        <f>'Tariff Jul 2021'!L35</f>
        <v>Go Variable</v>
      </c>
      <c r="C49" s="217">
        <f>IF('Tariff Jul 2021'!BP35=0,91*'Tariff Jul 2021'!M35/100,(91*'Tariff Jul 2021'!M35/100)+'Tariff Jul 2021'!BP35/4)</f>
        <v>65.453818181818178</v>
      </c>
      <c r="D49" s="217">
        <f>IF('Tariff Jul 2021'!O35="",$C$37*$C$38*'Tariff Jul 2021'!N35/100,IF($C$37*$C$38&gt;='Tariff Jul 2021'!P35,('Tariff Jul 2021'!P35*'Tariff Jul 2021'!N35/100),($C$37*$C$38*'Tariff Jul 2021'!N35/100)))</f>
        <v>277.5454545454545</v>
      </c>
      <c r="E49" s="217">
        <f>IF(AND('Tariff Jul 2021'!P35&gt;0,'Tariff Jul 2021'!R35&gt;0),IF($C$37*$C$38&lt;'Tariff Jul 2021'!P35,0,IF($C$37*$C$38&lt;=('Tariff Jul 2021'!R35+'Tariff Jul 2021'!P35),(($C$37*$C$38-'Tariff Jul 2021'!P35)*'Tariff Jul 2021'!Q35/100),(('Tariff Jul 2021'!R35)*'Tariff Jul 2021'!Q35/100))),0)</f>
        <v>0</v>
      </c>
      <c r="F49" s="217">
        <f>IF(AND('Tariff Jul 2021'!Q35&gt;0,'Tariff Jul 2021'!S35&gt;0),IF($C$37*$C$38&lt;('Tariff Jul 2021'!R35+'Tariff Jul 2021'!P35),0,IF($C$37*$C$38&lt;=('Tariff Jul 2021'!T35+'Tariff Jul 2021'!R35+'Tariff Jul 2021'!P35),(($C$37*$C$38-('Tariff Jul 2021'!R35+'Tariff Jul 2021'!P35))*'Tariff Jul 2021'!S35/100),('Tariff Jul 2021'!T35*'Tariff Jul 2021'!S35/100))),0)</f>
        <v>0</v>
      </c>
      <c r="G49" s="217">
        <f>IF(AND('Tariff Jul 2021'!R35&gt;0,'Tariff Jul 2021'!T35&gt;0),IF(($C$37*$C$38&lt;'Tariff Jul 2021'!T35),(0),($C$37*$C$38-'Tariff Jul 2021'!T35)*'Tariff Jul 2021'!U35/100),IF(AND('Tariff Jul 2021'!R35&gt;0,'Tariff Jul 2021'!T35=""),IF(($C$37*$C$38&lt;'Tariff Jul 2021'!R35+'Tariff Jul 2021'!P35),(0),(($C$37*$C$38-('Tariff Jul 2021'!R35+'Tariff Jul 2021'!P35))*'Tariff Jul 2021'!S35/100)),IF(AND('Tariff Jul 2021'!P35&gt;0,'Tariff Jul 2021'!R35=""&gt;0),IF(($C$37*$C$38&lt;'Tariff Jul 2021'!P35),(0),($C$37*$C$38-'Tariff Jul 2021'!P35)*'Tariff Jul 2021'!Q35/100),0)))</f>
        <v>148.99999999999997</v>
      </c>
      <c r="H49" s="217">
        <f>($C$37*$C$39)*'Tariff Jul 2021'!AE35/100</f>
        <v>47.761363636363633</v>
      </c>
      <c r="I49" s="217">
        <f t="shared" si="23"/>
        <v>539.76063636363631</v>
      </c>
      <c r="J49" s="252">
        <f t="shared" si="24"/>
        <v>1897.2272727272725</v>
      </c>
      <c r="K49" s="203">
        <f t="shared" si="25"/>
        <v>2159.0425454545452</v>
      </c>
      <c r="L49" s="203">
        <f t="shared" si="26"/>
        <v>2374.9468000000002</v>
      </c>
      <c r="M49" s="200">
        <f>'Tariff Jul 2021'!AZ35</f>
        <v>0</v>
      </c>
      <c r="N49" s="200">
        <f>'Tariff Jul 2021'!BA35</f>
        <v>0</v>
      </c>
      <c r="O49" s="200">
        <f>'Tariff Jul 2021'!BB35</f>
        <v>0</v>
      </c>
      <c r="P49" s="200">
        <f>'Tariff Jul 2021'!BC35</f>
        <v>0</v>
      </c>
      <c r="Q49" s="204" t="str">
        <f t="shared" si="27"/>
        <v>No discount</v>
      </c>
      <c r="R49" s="205" t="str">
        <f t="shared" si="31"/>
        <v>Inclusive</v>
      </c>
      <c r="S49" s="254">
        <f t="shared" si="28"/>
        <v>2159.0425454545452</v>
      </c>
      <c r="T49" s="252">
        <f t="shared" si="29"/>
        <v>2159.0425454545452</v>
      </c>
      <c r="U49" s="260">
        <f t="shared" si="30"/>
        <v>2374.9468000000002</v>
      </c>
      <c r="V49" s="260">
        <f t="shared" si="30"/>
        <v>2374.9468000000002</v>
      </c>
      <c r="W49" s="206">
        <f>'Tariff Jul 2021'!BL35</f>
        <v>0</v>
      </c>
      <c r="X49" s="207" t="str">
        <f>'Tariff Jul 2021'!BM35</f>
        <v>n</v>
      </c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</row>
    <row r="50" spans="1:42" x14ac:dyDescent="0.15">
      <c r="A50" s="199" t="str">
        <f>'Tariff Jul 2021'!K36</f>
        <v>Powerdirect</v>
      </c>
      <c r="B50" s="200" t="str">
        <f>'Tariff Jul 2021'!L36</f>
        <v>Rate Saver</v>
      </c>
      <c r="C50" s="217">
        <f>IF('Tariff Jul 2021'!BP36=0,91*'Tariff Jul 2021'!M36/100,(91*'Tariff Jul 2021'!M36/100)+'Tariff Jul 2021'!BP36/4)</f>
        <v>60.498454545454535</v>
      </c>
      <c r="D50" s="217">
        <f>IF('Tariff Jul 2021'!O36="",$C$37*$C$38*'Tariff Jul 2021'!N36/100,IF($C$37*$C$38&gt;='Tariff Jul 2021'!P36,('Tariff Jul 2021'!P36*'Tariff Jul 2021'!N36/100),($C$37*$C$38*'Tariff Jul 2021'!N36/100)))</f>
        <v>443.45454545454544</v>
      </c>
      <c r="E50" s="217">
        <f>IF(AND('Tariff Jul 2021'!P36&gt;0,'Tariff Jul 2021'!R36&gt;0),IF($C$37*$C$38&lt;'Tariff Jul 2021'!P36,0,IF($C$37*$C$38&lt;=('Tariff Jul 2021'!R36+'Tariff Jul 2021'!P36),(($C$37*$C$38-'Tariff Jul 2021'!P36)*'Tariff Jul 2021'!Q36/100),(('Tariff Jul 2021'!R36)*'Tariff Jul 2021'!Q36/100))),0)</f>
        <v>0</v>
      </c>
      <c r="F50" s="217">
        <f>IF(AND('Tariff Jul 2021'!Q36&gt;0,'Tariff Jul 2021'!S36&gt;0),IF($C$37*$C$38&lt;('Tariff Jul 2021'!R36+'Tariff Jul 2021'!P36),0,IF($C$37*$C$38&lt;=('Tariff Jul 2021'!T36+'Tariff Jul 2021'!R36+'Tariff Jul 2021'!P36),(($C$37*$C$38-('Tariff Jul 2021'!R36+'Tariff Jul 2021'!P36))*'Tariff Jul 2021'!S36/100),('Tariff Jul 2021'!T36*'Tariff Jul 2021'!S36/100))),0)</f>
        <v>0</v>
      </c>
      <c r="G50" s="217">
        <f>IF(AND('Tariff Jul 2021'!R36&gt;0,'Tariff Jul 2021'!T36&gt;0),IF(($C$37*$C$38&lt;'Tariff Jul 2021'!T36),(0),($C$37*$C$38-'Tariff Jul 2021'!T36)*'Tariff Jul 2021'!U36/100),IF(AND('Tariff Jul 2021'!R36&gt;0,'Tariff Jul 2021'!T36=""),IF(($C$37*$C$38&lt;'Tariff Jul 2021'!R36+'Tariff Jul 2021'!P36),(0),(($C$37*$C$38-('Tariff Jul 2021'!R36+'Tariff Jul 2021'!P36))*'Tariff Jul 2021'!S36/100)),IF(AND('Tariff Jul 2021'!P36&gt;0,'Tariff Jul 2021'!R36=""&gt;0),IF(($C$37*$C$38&lt;'Tariff Jul 2021'!P36),(0),($C$37*$C$38-'Tariff Jul 2021'!P36)*'Tariff Jul 2021'!Q36/100),0)))</f>
        <v>0</v>
      </c>
      <c r="H50" s="217">
        <f>($C$37*$C$39)*'Tariff Jul 2021'!AE36/100</f>
        <v>53.284090909090907</v>
      </c>
      <c r="I50" s="217">
        <f t="shared" si="23"/>
        <v>557.23709090909085</v>
      </c>
      <c r="J50" s="252">
        <f t="shared" si="24"/>
        <v>1986.9545454545453</v>
      </c>
      <c r="K50" s="203">
        <f t="shared" si="25"/>
        <v>2228.9483636363634</v>
      </c>
      <c r="L50" s="203">
        <f t="shared" si="26"/>
        <v>2451.8431999999998</v>
      </c>
      <c r="M50" s="200">
        <f>'Tariff Jul 2021'!AZ36</f>
        <v>0</v>
      </c>
      <c r="N50" s="200">
        <f>'Tariff Jul 2021'!BA36</f>
        <v>0</v>
      </c>
      <c r="O50" s="200">
        <f>'Tariff Jul 2021'!BB36</f>
        <v>0</v>
      </c>
      <c r="P50" s="200">
        <f>'Tariff Jul 2021'!BC36</f>
        <v>0</v>
      </c>
      <c r="Q50" s="204" t="str">
        <f t="shared" si="27"/>
        <v>No discount</v>
      </c>
      <c r="R50" s="205" t="str">
        <f t="shared" si="31"/>
        <v>Exclusive</v>
      </c>
      <c r="S50" s="254">
        <f t="shared" si="28"/>
        <v>2228.9483636363634</v>
      </c>
      <c r="T50" s="252">
        <f t="shared" si="29"/>
        <v>2228.9483636363634</v>
      </c>
      <c r="U50" s="260">
        <f t="shared" si="30"/>
        <v>2451.8431999999998</v>
      </c>
      <c r="V50" s="260">
        <f t="shared" si="30"/>
        <v>2451.8431999999998</v>
      </c>
      <c r="W50" s="206">
        <f>'Tariff Jul 2021'!BL36</f>
        <v>0</v>
      </c>
      <c r="X50" s="207" t="str">
        <f>'Tariff Jul 2021'!BM36</f>
        <v>n</v>
      </c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</row>
    <row r="51" spans="1:42" x14ac:dyDescent="0.15">
      <c r="A51" s="199" t="str">
        <f>'Tariff Jul 2021'!K37</f>
        <v>Red Energy</v>
      </c>
      <c r="B51" s="200" t="str">
        <f>'Tariff Jul 2021'!L37</f>
        <v>Living Energy Saver</v>
      </c>
      <c r="C51" s="217">
        <f>IF('Tariff Jul 2021'!BP37=0,91*'Tariff Jul 2021'!M37/100,(91*'Tariff Jul 2021'!M37/100)+'Tariff Jul 2021'!BP37/4)</f>
        <v>74.62</v>
      </c>
      <c r="D51" s="217">
        <f>IF('Tariff Jul 2021'!O37="",$C$37*$C$38*'Tariff Jul 2021'!N37/100,IF($C$37*$C$38&gt;='Tariff Jul 2021'!P37,('Tariff Jul 2021'!P37*'Tariff Jul 2021'!N37/100),($C$37*$C$38*'Tariff Jul 2021'!N37/100)))</f>
        <v>466.5</v>
      </c>
      <c r="E51" s="217">
        <f>IF(AND('Tariff Jul 2021'!P37&gt;0,'Tariff Jul 2021'!R37&gt;0),IF($C$37*$C$38&lt;'Tariff Jul 2021'!P37,0,IF($C$37*$C$38&lt;=('Tariff Jul 2021'!R37+'Tariff Jul 2021'!P37),(($C$37*$C$38-'Tariff Jul 2021'!P37)*'Tariff Jul 2021'!Q37/100),(('Tariff Jul 2021'!R37)*'Tariff Jul 2021'!Q37/100))),0)</f>
        <v>0</v>
      </c>
      <c r="F51" s="217">
        <f>IF(AND('Tariff Jul 2021'!Q37&gt;0,'Tariff Jul 2021'!S37&gt;0),IF($C$37*$C$38&lt;('Tariff Jul 2021'!R37+'Tariff Jul 2021'!P37),0,IF($C$37*$C$38&lt;=('Tariff Jul 2021'!T37+'Tariff Jul 2021'!R37+'Tariff Jul 2021'!P37),(($C$37*$C$38-('Tariff Jul 2021'!R37+'Tariff Jul 2021'!P37))*'Tariff Jul 2021'!S37/100),('Tariff Jul 2021'!T37*'Tariff Jul 2021'!S37/100))),0)</f>
        <v>0</v>
      </c>
      <c r="G51" s="217">
        <f>IF(AND('Tariff Jul 2021'!R37&gt;0,'Tariff Jul 2021'!T37&gt;0),IF(($C$37*$C$38&lt;'Tariff Jul 2021'!T37),(0),($C$37*$C$38-'Tariff Jul 2021'!T37)*'Tariff Jul 2021'!U37/100),IF(AND('Tariff Jul 2021'!R37&gt;0,'Tariff Jul 2021'!T37=""),IF(($C$37*$C$38&lt;'Tariff Jul 2021'!R37+'Tariff Jul 2021'!P37),(0),(($C$37*$C$38-('Tariff Jul 2021'!R37+'Tariff Jul 2021'!P37))*'Tariff Jul 2021'!S37/100)),IF(AND('Tariff Jul 2021'!P37&gt;0,'Tariff Jul 2021'!R37=""&gt;0),IF(($C$37*$C$38&lt;'Tariff Jul 2021'!P37),(0),($C$37*$C$38-'Tariff Jul 2021'!P37)*'Tariff Jul 2021'!Q37/100),0)))</f>
        <v>0</v>
      </c>
      <c r="H51" s="217">
        <f>($C$37*$C$39)*'Tariff Jul 2021'!AE37/100</f>
        <v>58.19318181818182</v>
      </c>
      <c r="I51" s="217">
        <f t="shared" si="23"/>
        <v>599.31318181818187</v>
      </c>
      <c r="J51" s="252">
        <f t="shared" si="24"/>
        <v>2098.7727272727275</v>
      </c>
      <c r="K51" s="203">
        <f t="shared" si="25"/>
        <v>2397.2527272727275</v>
      </c>
      <c r="L51" s="203">
        <f t="shared" si="26"/>
        <v>2636.9780000000005</v>
      </c>
      <c r="M51" s="200">
        <f>'Tariff Jul 2021'!AZ37</f>
        <v>0</v>
      </c>
      <c r="N51" s="200">
        <f>'Tariff Jul 2021'!BA37</f>
        <v>0</v>
      </c>
      <c r="O51" s="200">
        <f>'Tariff Jul 2021'!BB37</f>
        <v>0</v>
      </c>
      <c r="P51" s="200">
        <f>'Tariff Jul 2021'!BC37</f>
        <v>0</v>
      </c>
      <c r="Q51" s="204" t="str">
        <f t="shared" si="27"/>
        <v>No discount</v>
      </c>
      <c r="R51" s="205" t="str">
        <f t="shared" si="31"/>
        <v>Inclusive</v>
      </c>
      <c r="S51" s="254">
        <f t="shared" si="28"/>
        <v>2397.2527272727275</v>
      </c>
      <c r="T51" s="252">
        <f t="shared" si="29"/>
        <v>2397.2527272727275</v>
      </c>
      <c r="U51" s="260">
        <f t="shared" si="30"/>
        <v>2636.9780000000005</v>
      </c>
      <c r="V51" s="260">
        <f t="shared" si="30"/>
        <v>2636.9780000000005</v>
      </c>
      <c r="W51" s="206">
        <f>'Tariff Jul 2021'!BL37</f>
        <v>0</v>
      </c>
      <c r="X51" s="207" t="str">
        <f>'Tariff Jul 2021'!BM37</f>
        <v>n</v>
      </c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</row>
    <row r="52" spans="1:42" x14ac:dyDescent="0.15">
      <c r="A52" s="199" t="str">
        <f>'Tariff Jul 2021'!K38</f>
        <v>Energy Locals</v>
      </c>
      <c r="B52" s="200" t="str">
        <f>'Tariff Jul 2021'!L38</f>
        <v>Local Member</v>
      </c>
      <c r="C52" s="217">
        <f>IF('Tariff Jul 2021'!BP38=0,91*'Tariff Jul 2021'!M38/100,(91*'Tariff Jul 2021'!M38/100)+'Tariff Jul 2021'!BP38/4)</f>
        <v>84</v>
      </c>
      <c r="D52" s="217">
        <f>IF('Tariff Jul 2021'!O38="",$C$37*$C$38*'Tariff Jul 2021'!N38/100,IF($C$37*$C$38&gt;='Tariff Jul 2021'!P38,('Tariff Jul 2021'!P38*'Tariff Jul 2021'!N38/100),($C$37*$C$38*'Tariff Jul 2021'!N38/100)))</f>
        <v>368.31818181818181</v>
      </c>
      <c r="E52" s="217">
        <f>IF(AND('Tariff Jul 2021'!P38&gt;0,'Tariff Jul 2021'!R38&gt;0),IF($C$37*$C$38&lt;'Tariff Jul 2021'!P38,0,IF($C$37*$C$38&lt;=('Tariff Jul 2021'!R38+'Tariff Jul 2021'!P38),(($C$37*$C$38-'Tariff Jul 2021'!P38)*'Tariff Jul 2021'!Q38/100),(('Tariff Jul 2021'!R38)*'Tariff Jul 2021'!Q38/100))),0)</f>
        <v>0</v>
      </c>
      <c r="F52" s="217">
        <f>IF(AND('Tariff Jul 2021'!Q38&gt;0,'Tariff Jul 2021'!S38&gt;0),IF($C$37*$C$38&lt;('Tariff Jul 2021'!R38+'Tariff Jul 2021'!P38),0,IF($C$37*$C$38&lt;=('Tariff Jul 2021'!T38+'Tariff Jul 2021'!R38+'Tariff Jul 2021'!P38),(($C$37*$C$38-('Tariff Jul 2021'!R38+'Tariff Jul 2021'!P38))*'Tariff Jul 2021'!S38/100),('Tariff Jul 2021'!T38*'Tariff Jul 2021'!S38/100))),0)</f>
        <v>0</v>
      </c>
      <c r="G52" s="217">
        <f>IF(AND('Tariff Jul 2021'!R38&gt;0,'Tariff Jul 2021'!T38&gt;0),IF(($C$37*$C$38&lt;'Tariff Jul 2021'!T38),(0),($C$37*$C$38-'Tariff Jul 2021'!T38)*'Tariff Jul 2021'!U38/100),IF(AND('Tariff Jul 2021'!R38&gt;0,'Tariff Jul 2021'!T38=""),IF(($C$37*$C$38&lt;'Tariff Jul 2021'!R38+'Tariff Jul 2021'!P38),(0),(($C$37*$C$38-('Tariff Jul 2021'!R38+'Tariff Jul 2021'!P38))*'Tariff Jul 2021'!S38/100)),IF(AND('Tariff Jul 2021'!P38&gt;0,'Tariff Jul 2021'!R38=""&gt;0),IF(($C$37*$C$38&lt;'Tariff Jul 2021'!P38),(0),($C$37*$C$38-'Tariff Jul 2021'!P38)*'Tariff Jul 2021'!Q38/100),0)))</f>
        <v>0</v>
      </c>
      <c r="H52" s="217">
        <f>($C$37*$C$39)*'Tariff Jul 2021'!AE38/100</f>
        <v>57.954545454545453</v>
      </c>
      <c r="I52" s="217">
        <f t="shared" si="23"/>
        <v>510.27272727272725</v>
      </c>
      <c r="J52" s="252">
        <f t="shared" si="24"/>
        <v>1705.090909090909</v>
      </c>
      <c r="K52" s="203">
        <f t="shared" si="25"/>
        <v>2041.090909090909</v>
      </c>
      <c r="L52" s="203">
        <f t="shared" si="26"/>
        <v>2245.2000000000003</v>
      </c>
      <c r="M52" s="200">
        <f>'Tariff Jul 2021'!AZ38</f>
        <v>0</v>
      </c>
      <c r="N52" s="200">
        <f>'Tariff Jul 2021'!BA38</f>
        <v>0</v>
      </c>
      <c r="O52" s="200">
        <f>'Tariff Jul 2021'!BB38</f>
        <v>0</v>
      </c>
      <c r="P52" s="200">
        <f>'Tariff Jul 2021'!BC38</f>
        <v>0</v>
      </c>
      <c r="Q52" s="204" t="str">
        <f t="shared" si="27"/>
        <v>No discount</v>
      </c>
      <c r="R52" s="205" t="str">
        <f t="shared" si="31"/>
        <v>Exclusive</v>
      </c>
      <c r="S52" s="254">
        <f t="shared" si="28"/>
        <v>2041.090909090909</v>
      </c>
      <c r="T52" s="252">
        <f t="shared" si="29"/>
        <v>2041.090909090909</v>
      </c>
      <c r="U52" s="260">
        <f t="shared" si="30"/>
        <v>2245.2000000000003</v>
      </c>
      <c r="V52" s="260">
        <f t="shared" si="30"/>
        <v>2245.2000000000003</v>
      </c>
      <c r="W52" s="206">
        <f>'Tariff Jul 2021'!BL38</f>
        <v>0</v>
      </c>
      <c r="X52" s="207" t="str">
        <f>'Tariff Jul 2021'!BM38</f>
        <v>n</v>
      </c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</row>
    <row r="53" spans="1:42" x14ac:dyDescent="0.15">
      <c r="A53" s="199" t="str">
        <f>'Tariff Jul 2021'!K39</f>
        <v>Simply Energy</v>
      </c>
      <c r="B53" s="200" t="str">
        <f>'Tariff Jul 2021'!L39</f>
        <v>Energy Saver</v>
      </c>
      <c r="C53" s="217">
        <f>IF('Tariff Jul 2021'!BP39=0,91*'Tariff Jul 2021'!M39/100,(91*'Tariff Jul 2021'!M39/100)+'Tariff Jul 2021'!BP39/4)</f>
        <v>88.27</v>
      </c>
      <c r="D53" s="217">
        <f>IF('Tariff Jul 2021'!O39="",$C$37*$C$38*'Tariff Jul 2021'!N39/100,IF($C$37*$C$38&gt;='Tariff Jul 2021'!P39,('Tariff Jul 2021'!P39*'Tariff Jul 2021'!N39/100),($C$37*$C$38*'Tariff Jul 2021'!N39/100)))</f>
        <v>301.36363636363632</v>
      </c>
      <c r="E53" s="217">
        <f>IF(AND('Tariff Jul 2021'!P39&gt;0,'Tariff Jul 2021'!R39&gt;0),IF($C$37*$C$38&lt;'Tariff Jul 2021'!P39,0,IF($C$37*$C$38&lt;=('Tariff Jul 2021'!R39+'Tariff Jul 2021'!P39),(($C$37*$C$38-'Tariff Jul 2021'!P39)*'Tariff Jul 2021'!Q39/100),(('Tariff Jul 2021'!R39)*'Tariff Jul 2021'!Q39/100))),0)</f>
        <v>0</v>
      </c>
      <c r="F53" s="217">
        <f>IF(AND('Tariff Jul 2021'!Q39&gt;0,'Tariff Jul 2021'!S39&gt;0),IF($C$37*$C$38&lt;('Tariff Jul 2021'!R39+'Tariff Jul 2021'!P39),0,IF($C$37*$C$38&lt;=('Tariff Jul 2021'!T39+'Tariff Jul 2021'!R39+'Tariff Jul 2021'!P39),(($C$37*$C$38-('Tariff Jul 2021'!R39+'Tariff Jul 2021'!P39))*'Tariff Jul 2021'!S39/100),('Tariff Jul 2021'!T39*'Tariff Jul 2021'!S39/100))),0)</f>
        <v>0</v>
      </c>
      <c r="G53" s="217">
        <f>IF(AND('Tariff Jul 2021'!R39&gt;0,'Tariff Jul 2021'!T39&gt;0),IF(($C$37*$C$38&lt;'Tariff Jul 2021'!T39),(0),($C$37*$C$38-'Tariff Jul 2021'!T39)*'Tariff Jul 2021'!U39/100),IF(AND('Tariff Jul 2021'!R39&gt;0,'Tariff Jul 2021'!T39=""),IF(($C$37*$C$38&lt;'Tariff Jul 2021'!R39+'Tariff Jul 2021'!P39),(0),(($C$37*$C$38-('Tariff Jul 2021'!R39+'Tariff Jul 2021'!P39))*'Tariff Jul 2021'!S39/100)),IF(AND('Tariff Jul 2021'!P39&gt;0,'Tariff Jul 2021'!R39=""&gt;0),IF(($C$37*$C$38&lt;'Tariff Jul 2021'!P39),(0),($C$37*$C$38-'Tariff Jul 2021'!P39)*'Tariff Jul 2021'!Q39/100),0)))</f>
        <v>165.68181818181816</v>
      </c>
      <c r="H53" s="217">
        <f>($C$37*$C$39)*'Tariff Jul 2021'!AE39/100</f>
        <v>54.715909090909093</v>
      </c>
      <c r="I53" s="217">
        <f t="shared" si="23"/>
        <v>610.03136363636361</v>
      </c>
      <c r="J53" s="252">
        <f t="shared" si="24"/>
        <v>2087.0454545454545</v>
      </c>
      <c r="K53" s="203">
        <f t="shared" si="25"/>
        <v>2440.1254545454544</v>
      </c>
      <c r="L53" s="203">
        <f t="shared" si="26"/>
        <v>2684.1379999999999</v>
      </c>
      <c r="M53" s="200">
        <f>'Tariff Jul 2021'!AZ39</f>
        <v>10</v>
      </c>
      <c r="N53" s="200">
        <f>'Tariff Jul 2021'!BA39</f>
        <v>0</v>
      </c>
      <c r="O53" s="200">
        <f>'Tariff Jul 2021'!BB39</f>
        <v>0</v>
      </c>
      <c r="P53" s="200">
        <f>'Tariff Jul 2021'!BC39</f>
        <v>0</v>
      </c>
      <c r="Q53" s="204" t="str">
        <f t="shared" si="27"/>
        <v>Guaranteed off bill</v>
      </c>
      <c r="R53" s="205" t="str">
        <f t="shared" si="31"/>
        <v>Exclusive</v>
      </c>
      <c r="S53" s="254">
        <f t="shared" si="28"/>
        <v>2196.1129090909089</v>
      </c>
      <c r="T53" s="252">
        <f t="shared" si="29"/>
        <v>2196.1129090909089</v>
      </c>
      <c r="U53" s="260">
        <f t="shared" si="30"/>
        <v>2415.7242000000001</v>
      </c>
      <c r="V53" s="260">
        <f t="shared" si="30"/>
        <v>2415.7242000000001</v>
      </c>
      <c r="W53" s="206">
        <f>'Tariff Jul 2021'!BL39</f>
        <v>0</v>
      </c>
      <c r="X53" s="207" t="str">
        <f>'Tariff Jul 2021'!BM39</f>
        <v>n</v>
      </c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4"/>
      <c r="AM53" s="284"/>
      <c r="AN53" s="284"/>
      <c r="AO53" s="284"/>
      <c r="AP53" s="284"/>
    </row>
    <row r="54" spans="1:42" x14ac:dyDescent="0.15">
      <c r="A54" s="199" t="str">
        <f>'Tariff Jul 2021'!K40</f>
        <v>Powershop</v>
      </c>
      <c r="B54" s="200" t="str">
        <f>'Tariff Jul 2021'!L40</f>
        <v>Carbon neutral</v>
      </c>
      <c r="C54" s="217">
        <f>IF('Tariff Jul 2021'!BP40=0,91*'Tariff Jul 2021'!M40/100,(91*'Tariff Jul 2021'!M40/100)+'Tariff Jul 2021'!BP40/4)</f>
        <v>86.449999999999989</v>
      </c>
      <c r="D54" s="217">
        <f>IF('Tariff Jul 2021'!O40="",$C$37*$C$38*'Tariff Jul 2021'!N40/100,IF($C$37*$C$38&gt;='Tariff Jul 2021'!P40,('Tariff Jul 2021'!P40*'Tariff Jul 2021'!N40/100),($C$37*$C$38*'Tariff Jul 2021'!N40/100)))</f>
        <v>367.49999999999994</v>
      </c>
      <c r="E54" s="217">
        <f>IF(AND('Tariff Jul 2021'!P40&gt;0,'Tariff Jul 2021'!R40&gt;0),IF($C$37*$C$38&lt;'Tariff Jul 2021'!P40,0,IF($C$37*$C$38&lt;=('Tariff Jul 2021'!R40+'Tariff Jul 2021'!P40),(($C$37*$C$38-'Tariff Jul 2021'!P40)*'Tariff Jul 2021'!Q40/100),(('Tariff Jul 2021'!R40)*'Tariff Jul 2021'!Q40/100))),0)</f>
        <v>0</v>
      </c>
      <c r="F54" s="217">
        <f>IF(AND('Tariff Jul 2021'!Q40&gt;0,'Tariff Jul 2021'!S40&gt;0),IF($C$37*$C$38&lt;('Tariff Jul 2021'!R40+'Tariff Jul 2021'!P40),0,IF($C$37*$C$38&lt;=('Tariff Jul 2021'!T40+'Tariff Jul 2021'!R40+'Tariff Jul 2021'!P40),(($C$37*$C$38-('Tariff Jul 2021'!R40+'Tariff Jul 2021'!P40))*'Tariff Jul 2021'!S40/100),('Tariff Jul 2021'!T40*'Tariff Jul 2021'!S40/100))),0)</f>
        <v>0</v>
      </c>
      <c r="G54" s="217">
        <f>IF(AND('Tariff Jul 2021'!R40&gt;0,'Tariff Jul 2021'!T40&gt;0),IF(($C$37*$C$38&lt;'Tariff Jul 2021'!T40),(0),($C$37*$C$38-'Tariff Jul 2021'!T40)*'Tariff Jul 2021'!U40/100),IF(AND('Tariff Jul 2021'!R40&gt;0,'Tariff Jul 2021'!T40=""),IF(($C$37*$C$38&lt;'Tariff Jul 2021'!R40+'Tariff Jul 2021'!P40),(0),(($C$37*$C$38-('Tariff Jul 2021'!R40+'Tariff Jul 2021'!P40))*'Tariff Jul 2021'!S40/100)),IF(AND('Tariff Jul 2021'!P40&gt;0,'Tariff Jul 2021'!R40=""&gt;0),IF(($C$37*$C$38&lt;'Tariff Jul 2021'!P40),(0),($C$37*$C$38-'Tariff Jul 2021'!P40)*'Tariff Jul 2021'!Q40/100),0)))</f>
        <v>0</v>
      </c>
      <c r="H54" s="217">
        <f>($C$37*$C$39)*'Tariff Jul 2021'!AE40/100</f>
        <v>58.125</v>
      </c>
      <c r="I54" s="217">
        <f t="shared" si="23"/>
        <v>512.07499999999993</v>
      </c>
      <c r="J54" s="252">
        <f t="shared" si="24"/>
        <v>1702.4999999999998</v>
      </c>
      <c r="K54" s="203">
        <f t="shared" si="25"/>
        <v>2048.2999999999997</v>
      </c>
      <c r="L54" s="203">
        <f t="shared" si="26"/>
        <v>2253.13</v>
      </c>
      <c r="M54" s="200">
        <f>'Tariff Jul 2021'!AZ40</f>
        <v>0</v>
      </c>
      <c r="N54" s="200">
        <f>'Tariff Jul 2021'!BA40</f>
        <v>0</v>
      </c>
      <c r="O54" s="200">
        <f>'Tariff Jul 2021'!BB40</f>
        <v>0</v>
      </c>
      <c r="P54" s="200">
        <f>'Tariff Jul 2021'!BC40</f>
        <v>0</v>
      </c>
      <c r="Q54" s="204" t="str">
        <f t="shared" si="27"/>
        <v>No discount</v>
      </c>
      <c r="R54" s="205" t="str">
        <f t="shared" si="31"/>
        <v>Inclusive</v>
      </c>
      <c r="S54" s="254">
        <f t="shared" si="28"/>
        <v>2048.2999999999997</v>
      </c>
      <c r="T54" s="252">
        <f t="shared" si="29"/>
        <v>2048.2999999999997</v>
      </c>
      <c r="U54" s="260">
        <f t="shared" si="30"/>
        <v>2253.13</v>
      </c>
      <c r="V54" s="260">
        <f t="shared" si="30"/>
        <v>2253.13</v>
      </c>
      <c r="W54" s="206">
        <f>'Tariff Jul 2021'!BL40</f>
        <v>0</v>
      </c>
      <c r="X54" s="207" t="str">
        <f>'Tariff Jul 2021'!BM40</f>
        <v>n</v>
      </c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</row>
    <row r="55" spans="1:42" x14ac:dyDescent="0.15">
      <c r="A55" s="199" t="str">
        <f>'Tariff Jul 2021'!K41</f>
        <v>Amber Electric</v>
      </c>
      <c r="B55" s="200" t="str">
        <f>'Tariff Jul 2021'!L41</f>
        <v>Amber 15</v>
      </c>
      <c r="C55" s="217">
        <f>IF('Tariff Jul 2021'!BP41=0,91*'Tariff Jul 2021'!M41/100,(91*'Tariff Jul 2021'!M41/100)+'Tariff Jul 2021'!BP41/4)</f>
        <v>124.25522727272725</v>
      </c>
      <c r="D55" s="217">
        <f>IF('Tariff Jul 2021'!O41="",$C$37*$C$38*'Tariff Jul 2021'!N41/100,IF($C$37*$C$38&gt;='Tariff Jul 2021'!P41,('Tariff Jul 2021'!P41*'Tariff Jul 2021'!N41/100),($C$37*$C$38*'Tariff Jul 2021'!N41/100)))</f>
        <v>398.31818181818181</v>
      </c>
      <c r="E55" s="217">
        <f>IF(AND('Tariff Jul 2021'!P41&gt;0,'Tariff Jul 2021'!R41&gt;0),IF($C$37*$C$38&lt;'Tariff Jul 2021'!P41,0,IF($C$37*$C$38&lt;=('Tariff Jul 2021'!R41+'Tariff Jul 2021'!P41),(($C$37*$C$38-'Tariff Jul 2021'!P41)*'Tariff Jul 2021'!Q41/100),(('Tariff Jul 2021'!R41)*'Tariff Jul 2021'!Q41/100))),0)</f>
        <v>0</v>
      </c>
      <c r="F55" s="217">
        <f>IF(AND('Tariff Jul 2021'!Q41&gt;0,'Tariff Jul 2021'!S41&gt;0),IF($C$37*$C$38&lt;('Tariff Jul 2021'!R41+'Tariff Jul 2021'!P41),0,IF($C$37*$C$38&lt;=('Tariff Jul 2021'!T41+'Tariff Jul 2021'!R41+'Tariff Jul 2021'!P41),(($C$37*$C$38-('Tariff Jul 2021'!R41+'Tariff Jul 2021'!P41))*'Tariff Jul 2021'!S41/100),('Tariff Jul 2021'!T41*'Tariff Jul 2021'!S41/100))),0)</f>
        <v>0</v>
      </c>
      <c r="G55" s="217">
        <f>IF(AND('Tariff Jul 2021'!R41&gt;0,'Tariff Jul 2021'!T41&gt;0),IF(($C$37*$C$38&lt;'Tariff Jul 2021'!T41),(0),($C$37*$C$38-'Tariff Jul 2021'!T41)*'Tariff Jul 2021'!U41/100),IF(AND('Tariff Jul 2021'!R41&gt;0,'Tariff Jul 2021'!T41=""),IF(($C$37*$C$38&lt;'Tariff Jul 2021'!R41+'Tariff Jul 2021'!P41),(0),(($C$37*$C$38-('Tariff Jul 2021'!R41+'Tariff Jul 2021'!P41))*'Tariff Jul 2021'!S41/100)),IF(AND('Tariff Jul 2021'!P41&gt;0,'Tariff Jul 2021'!R41=""&gt;0),IF(($C$37*$C$38&lt;'Tariff Jul 2021'!P41),(0),($C$37*$C$38-'Tariff Jul 2021'!P41)*'Tariff Jul 2021'!Q41/100),0)))</f>
        <v>0</v>
      </c>
      <c r="H55" s="217">
        <f>($C$37*$C$39)*'Tariff Jul 2021'!AE41/100</f>
        <v>57.306818181818173</v>
      </c>
      <c r="I55" s="217">
        <f t="shared" si="23"/>
        <v>579.88022727272721</v>
      </c>
      <c r="J55" s="252">
        <f t="shared" si="24"/>
        <v>1822.4999999999998</v>
      </c>
      <c r="K55" s="203">
        <f t="shared" si="25"/>
        <v>2319.5209090909088</v>
      </c>
      <c r="L55" s="203">
        <f t="shared" si="26"/>
        <v>2551.473</v>
      </c>
      <c r="M55" s="200">
        <f>'Tariff Jul 2021'!AZ41</f>
        <v>0</v>
      </c>
      <c r="N55" s="200">
        <f>'Tariff Jul 2021'!BA41</f>
        <v>0</v>
      </c>
      <c r="O55" s="200">
        <f>'Tariff Jul 2021'!BB41</f>
        <v>0</v>
      </c>
      <c r="P55" s="200">
        <f>'Tariff Jul 2021'!BC41</f>
        <v>0</v>
      </c>
      <c r="Q55" s="204" t="str">
        <f t="shared" si="27"/>
        <v>No discount</v>
      </c>
      <c r="R55" s="205" t="str">
        <f t="shared" si="31"/>
        <v>Exclusive</v>
      </c>
      <c r="S55" s="254">
        <f t="shared" si="28"/>
        <v>2319.5209090909088</v>
      </c>
      <c r="T55" s="252">
        <f t="shared" si="29"/>
        <v>2319.5209090909088</v>
      </c>
      <c r="U55" s="260">
        <f t="shared" si="30"/>
        <v>2551.473</v>
      </c>
      <c r="V55" s="260">
        <f t="shared" si="30"/>
        <v>2551.473</v>
      </c>
      <c r="W55" s="206">
        <f>'Tariff Jul 2021'!BL41</f>
        <v>0</v>
      </c>
      <c r="X55" s="207" t="str">
        <f>'Tariff Jul 2021'!BM41</f>
        <v>n</v>
      </c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</row>
    <row r="56" spans="1:42" x14ac:dyDescent="0.15">
      <c r="A56" s="199" t="str">
        <f>'Tariff Jul 2021'!K42</f>
        <v>Discover Energy</v>
      </c>
      <c r="B56" s="200" t="str">
        <f>'Tariff Jul 2021'!L42</f>
        <v>Smart Saver</v>
      </c>
      <c r="C56" s="217">
        <f>IF('Tariff Jul 2021'!BP42=0,91*'Tariff Jul 2021'!M42/100,(91*'Tariff Jul 2021'!M42/100)+'Tariff Jul 2021'!BP42/4)</f>
        <v>56.246272727272718</v>
      </c>
      <c r="D56" s="217">
        <f>IF('Tariff Jul 2021'!O42="",$C$37*$C$38*'Tariff Jul 2021'!N42/100,IF($C$37*$C$38&gt;='Tariff Jul 2021'!P42,('Tariff Jul 2021'!P42*'Tariff Jul 2021'!N42/100),($C$37*$C$38*'Tariff Jul 2021'!N42/100)))</f>
        <v>465.8181818181817</v>
      </c>
      <c r="E56" s="217">
        <f>IF(AND('Tariff Jul 2021'!P42&gt;0,'Tariff Jul 2021'!R42&gt;0),IF($C$37*$C$38&lt;'Tariff Jul 2021'!P42,0,IF($C$37*$C$38&lt;=('Tariff Jul 2021'!R42+'Tariff Jul 2021'!P42),(($C$37*$C$38-'Tariff Jul 2021'!P42)*'Tariff Jul 2021'!Q42/100),(('Tariff Jul 2021'!R42)*'Tariff Jul 2021'!Q42/100))),0)</f>
        <v>0</v>
      </c>
      <c r="F56" s="217">
        <f>IF(AND('Tariff Jul 2021'!Q42&gt;0,'Tariff Jul 2021'!S42&gt;0),IF($C$37*$C$38&lt;('Tariff Jul 2021'!R42+'Tariff Jul 2021'!P42),0,IF($C$37*$C$38&lt;=('Tariff Jul 2021'!T42+'Tariff Jul 2021'!R42+'Tariff Jul 2021'!P42),(($C$37*$C$38-('Tariff Jul 2021'!R42+'Tariff Jul 2021'!P42))*'Tariff Jul 2021'!S42/100),('Tariff Jul 2021'!T42*'Tariff Jul 2021'!S42/100))),0)</f>
        <v>0</v>
      </c>
      <c r="G56" s="217">
        <f>IF(AND('Tariff Jul 2021'!R42&gt;0,'Tariff Jul 2021'!T42&gt;0),IF(($C$37*$C$38&lt;'Tariff Jul 2021'!T42),(0),($C$37*$C$38-'Tariff Jul 2021'!T42)*'Tariff Jul 2021'!U42/100),IF(AND('Tariff Jul 2021'!R42&gt;0,'Tariff Jul 2021'!T42=""),IF(($C$37*$C$38&lt;'Tariff Jul 2021'!R42+'Tariff Jul 2021'!P42),(0),(($C$37*$C$38-('Tariff Jul 2021'!R42+'Tariff Jul 2021'!P42))*'Tariff Jul 2021'!S42/100)),IF(AND('Tariff Jul 2021'!P42&gt;0,'Tariff Jul 2021'!R42=""&gt;0),IF(($C$37*$C$38&lt;'Tariff Jul 2021'!P42),(0),($C$37*$C$38-'Tariff Jul 2021'!P42)*'Tariff Jul 2021'!Q42/100),0)))</f>
        <v>0</v>
      </c>
      <c r="H56" s="217">
        <f>($C$37*$C$39)*'Tariff Jul 2021'!AE42/100</f>
        <v>60</v>
      </c>
      <c r="I56" s="217">
        <f t="shared" si="23"/>
        <v>582.0644545454544</v>
      </c>
      <c r="J56" s="252">
        <f t="shared" si="24"/>
        <v>2103.2727272727266</v>
      </c>
      <c r="K56" s="203">
        <f t="shared" si="25"/>
        <v>2328.2578181818176</v>
      </c>
      <c r="L56" s="203">
        <f t="shared" si="26"/>
        <v>2561.0835999999995</v>
      </c>
      <c r="M56" s="200">
        <f>'Tariff Jul 2021'!AZ42</f>
        <v>0</v>
      </c>
      <c r="N56" s="200">
        <f>'Tariff Jul 2021'!BA42</f>
        <v>24</v>
      </c>
      <c r="O56" s="200">
        <f>'Tariff Jul 2021'!BB42</f>
        <v>0</v>
      </c>
      <c r="P56" s="200">
        <f>'Tariff Jul 2021'!BC42</f>
        <v>0</v>
      </c>
      <c r="Q56" s="204" t="str">
        <f t="shared" si="27"/>
        <v>Guaranteed off usage</v>
      </c>
      <c r="R56" s="205" t="str">
        <f t="shared" si="31"/>
        <v>Exclusive</v>
      </c>
      <c r="S56" s="254">
        <f t="shared" si="28"/>
        <v>1823.4723636363633</v>
      </c>
      <c r="T56" s="252">
        <f t="shared" si="29"/>
        <v>1823.4723636363633</v>
      </c>
      <c r="U56" s="260">
        <f t="shared" si="30"/>
        <v>2005.8195999999998</v>
      </c>
      <c r="V56" s="260">
        <f t="shared" si="30"/>
        <v>2005.8195999999998</v>
      </c>
      <c r="W56" s="206">
        <f>'Tariff Jul 2021'!BL42</f>
        <v>0</v>
      </c>
      <c r="X56" s="207" t="str">
        <f>'Tariff Jul 2021'!BM42</f>
        <v>n</v>
      </c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</row>
    <row r="57" spans="1:42" x14ac:dyDescent="0.15">
      <c r="A57" s="199" t="str">
        <f>'Tariff Jul 2021'!K43</f>
        <v>Future X Power</v>
      </c>
      <c r="B57" s="200" t="str">
        <f>'Tariff Jul 2021'!L43</f>
        <v>Flexi Saver</v>
      </c>
      <c r="C57" s="217">
        <f>IF('Tariff Jul 2021'!BP43=0,91*'Tariff Jul 2021'!M43/100,(91*'Tariff Jul 2021'!M43/100)+'Tariff Jul 2021'!BP43/4)</f>
        <v>78.077999999999989</v>
      </c>
      <c r="D57" s="217">
        <f>IF('Tariff Jul 2021'!O43="",$C$37*$C$38*'Tariff Jul 2021'!N43/100,IF($C$37*$C$38&gt;='Tariff Jul 2021'!P43,('Tariff Jul 2021'!P43*'Tariff Jul 2021'!N43/100),($C$37*$C$38*'Tariff Jul 2021'!N43/100)))</f>
        <v>423.81818181818176</v>
      </c>
      <c r="E57" s="217">
        <f>IF(AND('Tariff Jul 2021'!P43&gt;0,'Tariff Jul 2021'!R43&gt;0),IF($C$37*$C$38&lt;'Tariff Jul 2021'!P43,0,IF($C$37*$C$38&lt;=('Tariff Jul 2021'!R43+'Tariff Jul 2021'!P43),(($C$37*$C$38-'Tariff Jul 2021'!P43)*'Tariff Jul 2021'!Q43/100),(('Tariff Jul 2021'!R43)*'Tariff Jul 2021'!Q43/100))),0)</f>
        <v>0</v>
      </c>
      <c r="F57" s="217">
        <f>IF(AND('Tariff Jul 2021'!Q43&gt;0,'Tariff Jul 2021'!S43&gt;0),IF($C$37*$C$38&lt;('Tariff Jul 2021'!R43+'Tariff Jul 2021'!P43),0,IF($C$37*$C$38&lt;=('Tariff Jul 2021'!T43+'Tariff Jul 2021'!R43+'Tariff Jul 2021'!P43),(($C$37*$C$38-('Tariff Jul 2021'!R43+'Tariff Jul 2021'!P43))*'Tariff Jul 2021'!S43/100),('Tariff Jul 2021'!T43*'Tariff Jul 2021'!S43/100))),0)</f>
        <v>0</v>
      </c>
      <c r="G57" s="217">
        <f>IF(AND('Tariff Jul 2021'!R43&gt;0,'Tariff Jul 2021'!T43&gt;0),IF(($C$37*$C$38&lt;'Tariff Jul 2021'!T43),(0),($C$37*$C$38-'Tariff Jul 2021'!T43)*'Tariff Jul 2021'!U43/100),IF(AND('Tariff Jul 2021'!R43&gt;0,'Tariff Jul 2021'!T43=""),IF(($C$37*$C$38&lt;'Tariff Jul 2021'!R43+'Tariff Jul 2021'!P43),(0),(($C$37*$C$38-('Tariff Jul 2021'!R43+'Tariff Jul 2021'!P43))*'Tariff Jul 2021'!S43/100)),IF(AND('Tariff Jul 2021'!P43&gt;0,'Tariff Jul 2021'!R43=""&gt;0),IF(($C$37*$C$38&lt;'Tariff Jul 2021'!P43),(0),($C$37*$C$38-'Tariff Jul 2021'!P43)*'Tariff Jul 2021'!Q43/100),0)))</f>
        <v>0</v>
      </c>
      <c r="H57" s="217">
        <f>($C$37*$C$39)*'Tariff Jul 2021'!AE43/100</f>
        <v>58.568181818181813</v>
      </c>
      <c r="I57" s="217">
        <f t="shared" si="23"/>
        <v>560.46436363636349</v>
      </c>
      <c r="J57" s="252">
        <f t="shared" si="24"/>
        <v>1929.545454545454</v>
      </c>
      <c r="K57" s="203">
        <f t="shared" si="25"/>
        <v>2241.8574545454539</v>
      </c>
      <c r="L57" s="203">
        <f t="shared" si="26"/>
        <v>2466.0431999999996</v>
      </c>
      <c r="M57" s="200">
        <f>'Tariff Jul 2021'!AZ43</f>
        <v>0</v>
      </c>
      <c r="N57" s="200">
        <f>'Tariff Jul 2021'!BA43</f>
        <v>0</v>
      </c>
      <c r="O57" s="200">
        <f>'Tariff Jul 2021'!BB43</f>
        <v>0</v>
      </c>
      <c r="P57" s="200">
        <f>'Tariff Jul 2021'!BC43</f>
        <v>0</v>
      </c>
      <c r="Q57" s="204" t="str">
        <f t="shared" si="27"/>
        <v>No discount</v>
      </c>
      <c r="R57" s="205" t="str">
        <f t="shared" si="31"/>
        <v>Exclusive</v>
      </c>
      <c r="S57" s="254">
        <f t="shared" si="28"/>
        <v>2241.8574545454539</v>
      </c>
      <c r="T57" s="252">
        <f t="shared" si="29"/>
        <v>2241.8574545454539</v>
      </c>
      <c r="U57" s="260">
        <f t="shared" si="30"/>
        <v>2466.0431999999996</v>
      </c>
      <c r="V57" s="260">
        <f t="shared" si="30"/>
        <v>2466.0431999999996</v>
      </c>
      <c r="W57" s="206">
        <f>'Tariff Jul 2021'!BL43</f>
        <v>0</v>
      </c>
      <c r="X57" s="207" t="str">
        <f>'Tariff Jul 2021'!BM43</f>
        <v>n</v>
      </c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  <c r="AP57" s="284"/>
    </row>
    <row r="58" spans="1:42" x14ac:dyDescent="0.15">
      <c r="A58" s="199" t="str">
        <f>'Tariff Jul 2021'!K44</f>
        <v>GloBird Energy</v>
      </c>
      <c r="B58" s="200" t="str">
        <f>'Tariff Jul 2021'!L44</f>
        <v>SureSave</v>
      </c>
      <c r="C58" s="217">
        <f>IF('Tariff Jul 2021'!BP44=0,91*'Tariff Jul 2021'!M44/100,(91*'Tariff Jul 2021'!M44/100)+'Tariff Jul 2021'!BP44/4)</f>
        <v>99.19</v>
      </c>
      <c r="D58" s="217">
        <f>IF('Tariff Jul 2021'!O44="",$C$37*$C$38*'Tariff Jul 2021'!N44/100,IF($C$37*$C$38&gt;='Tariff Jul 2021'!P44,('Tariff Jul 2021'!P44*'Tariff Jul 2021'!N44/100),($C$37*$C$38*'Tariff Jul 2021'!N44/100)))</f>
        <v>434.99999999999994</v>
      </c>
      <c r="E58" s="217">
        <f>IF(AND('Tariff Jul 2021'!P44&gt;0,'Tariff Jul 2021'!R44&gt;0),IF($C$37*$C$38&lt;'Tariff Jul 2021'!P44,0,IF($C$37*$C$38&lt;=('Tariff Jul 2021'!R44+'Tariff Jul 2021'!P44),(($C$37*$C$38-'Tariff Jul 2021'!P44)*'Tariff Jul 2021'!Q44/100),(('Tariff Jul 2021'!R44)*'Tariff Jul 2021'!Q44/100))),0)</f>
        <v>0</v>
      </c>
      <c r="F58" s="217">
        <f>IF(AND('Tariff Jul 2021'!Q44&gt;0,'Tariff Jul 2021'!S44&gt;0),IF($C$37*$C$38&lt;('Tariff Jul 2021'!R44+'Tariff Jul 2021'!P44),0,IF($C$37*$C$38&lt;=('Tariff Jul 2021'!T44+'Tariff Jul 2021'!R44+'Tariff Jul 2021'!P44),(($C$37*$C$38-('Tariff Jul 2021'!R44+'Tariff Jul 2021'!P44))*'Tariff Jul 2021'!S44/100),('Tariff Jul 2021'!T44*'Tariff Jul 2021'!S44/100))),0)</f>
        <v>0</v>
      </c>
      <c r="G58" s="217">
        <f>IF(AND('Tariff Jul 2021'!R44&gt;0,'Tariff Jul 2021'!T44&gt;0),IF(($C$37*$C$38&lt;'Tariff Jul 2021'!T44),(0),($C$37*$C$38-'Tariff Jul 2021'!T44)*'Tariff Jul 2021'!U44/100),IF(AND('Tariff Jul 2021'!R44&gt;0,'Tariff Jul 2021'!T44=""),IF(($C$37*$C$38&lt;'Tariff Jul 2021'!R44+'Tariff Jul 2021'!P44),(0),(($C$37*$C$38-('Tariff Jul 2021'!R44+'Tariff Jul 2021'!P44))*'Tariff Jul 2021'!S44/100)),IF(AND('Tariff Jul 2021'!P44&gt;0,'Tariff Jul 2021'!R44=""&gt;0),IF(($C$37*$C$38&lt;'Tariff Jul 2021'!P44),(0),($C$37*$C$38-'Tariff Jul 2021'!P44)*'Tariff Jul 2021'!Q44/100),0)))</f>
        <v>0</v>
      </c>
      <c r="H58" s="217">
        <f>($C$37*$C$39)*'Tariff Jul 2021'!AE44/100</f>
        <v>56.624999999999993</v>
      </c>
      <c r="I58" s="217">
        <f t="shared" si="23"/>
        <v>590.81499999999994</v>
      </c>
      <c r="J58" s="252">
        <f t="shared" si="24"/>
        <v>1966.4999999999998</v>
      </c>
      <c r="K58" s="203">
        <f t="shared" si="25"/>
        <v>2363.2599999999998</v>
      </c>
      <c r="L58" s="203">
        <f t="shared" si="26"/>
        <v>2599.5859999999998</v>
      </c>
      <c r="M58" s="200">
        <f>'Tariff Jul 2021'!AZ44</f>
        <v>0</v>
      </c>
      <c r="N58" s="200">
        <f>'Tariff Jul 2021'!BA44</f>
        <v>0</v>
      </c>
      <c r="O58" s="200">
        <f>'Tariff Jul 2021'!BB44</f>
        <v>0</v>
      </c>
      <c r="P58" s="200">
        <f>'Tariff Jul 2021'!BC44</f>
        <v>0</v>
      </c>
      <c r="Q58" s="204" t="str">
        <f t="shared" ref="Q58:Q64" si="32">IF(SUM(M58:P58)=0,"No discount",IF(M58&gt;0,"Guaranteed off bill",IF(N58&gt;0,"Guaranteed off usage",IF(O58&gt;0,"Pay-on-time off bill","Pay-on-time off usage"))))</f>
        <v>No discount</v>
      </c>
      <c r="R58" s="205" t="str">
        <f t="shared" si="31"/>
        <v>Exclusive</v>
      </c>
      <c r="S58" s="254">
        <f t="shared" si="28"/>
        <v>2363.2599999999998</v>
      </c>
      <c r="T58" s="252">
        <f t="shared" si="29"/>
        <v>2363.2599999999998</v>
      </c>
      <c r="U58" s="260">
        <f t="shared" si="30"/>
        <v>2599.5859999999998</v>
      </c>
      <c r="V58" s="260">
        <f t="shared" si="30"/>
        <v>2599.5859999999998</v>
      </c>
      <c r="W58" s="206">
        <f>'Tariff Jul 2021'!BL44</f>
        <v>0</v>
      </c>
      <c r="X58" s="207" t="str">
        <f>'Tariff Jul 2021'!BM44</f>
        <v>n</v>
      </c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</row>
    <row r="59" spans="1:42" x14ac:dyDescent="0.15">
      <c r="A59" s="199" t="str">
        <f>'Tariff Jul 2021'!K45</f>
        <v>Kogan Energy</v>
      </c>
      <c r="B59" s="200" t="str">
        <f>'Tariff Jul 2021'!L45</f>
        <v>Market offer</v>
      </c>
      <c r="C59" s="217">
        <f>IF('Tariff Jul 2021'!BP45=0,91*'Tariff Jul 2021'!M45/100,(91*'Tariff Jul 2021'!M45/100)+'Tariff Jul 2021'!BP45/4)</f>
        <v>96.766090909090906</v>
      </c>
      <c r="D59" s="217">
        <f>IF('Tariff Jul 2021'!O45="",$C$37*$C$38*'Tariff Jul 2021'!N45/100,IF($C$37*$C$38&gt;='Tariff Jul 2021'!P45,('Tariff Jul 2021'!P45*'Tariff Jul 2021'!N45/100),($C$37*$C$38*'Tariff Jul 2021'!N45/100)))</f>
        <v>342.54545454545456</v>
      </c>
      <c r="E59" s="217">
        <f>IF(AND('Tariff Jul 2021'!P45&gt;0,'Tariff Jul 2021'!R45&gt;0),IF($C$37*$C$38&lt;'Tariff Jul 2021'!P45,0,IF($C$37*$C$38&lt;=('Tariff Jul 2021'!R45+'Tariff Jul 2021'!P45),(($C$37*$C$38-'Tariff Jul 2021'!P45)*'Tariff Jul 2021'!Q45/100),(('Tariff Jul 2021'!R45)*'Tariff Jul 2021'!Q45/100))),0)</f>
        <v>0</v>
      </c>
      <c r="F59" s="217">
        <f>IF(AND('Tariff Jul 2021'!Q45&gt;0,'Tariff Jul 2021'!S45&gt;0),IF($C$37*$C$38&lt;('Tariff Jul 2021'!R45+'Tariff Jul 2021'!P45),0,IF($C$37*$C$38&lt;=('Tariff Jul 2021'!T45+'Tariff Jul 2021'!R45+'Tariff Jul 2021'!P45),(($C$37*$C$38-('Tariff Jul 2021'!R45+'Tariff Jul 2021'!P45))*'Tariff Jul 2021'!S45/100),('Tariff Jul 2021'!T45*'Tariff Jul 2021'!S45/100))),0)</f>
        <v>0</v>
      </c>
      <c r="G59" s="217">
        <f>IF(AND('Tariff Jul 2021'!R45&gt;0,'Tariff Jul 2021'!T45&gt;0),IF(($C$37*$C$38&lt;'Tariff Jul 2021'!T45),(0),($C$37*$C$38-'Tariff Jul 2021'!T45)*'Tariff Jul 2021'!U45/100),IF(AND('Tariff Jul 2021'!R45&gt;0,'Tariff Jul 2021'!T45=""),IF(($C$37*$C$38&lt;'Tariff Jul 2021'!R45+'Tariff Jul 2021'!P45),(0),(($C$37*$C$38-('Tariff Jul 2021'!R45+'Tariff Jul 2021'!P45))*'Tariff Jul 2021'!S45/100)),IF(AND('Tariff Jul 2021'!P45&gt;0,'Tariff Jul 2021'!R45=""&gt;0),IF(($C$37*$C$38&lt;'Tariff Jul 2021'!P45),(0),($C$37*$C$38-'Tariff Jul 2021'!P45)*'Tariff Jul 2021'!Q45/100),0)))</f>
        <v>0</v>
      </c>
      <c r="H59" s="217">
        <f>($C$37*$C$39)*'Tariff Jul 2021'!AE45/100</f>
        <v>60.47727272727272</v>
      </c>
      <c r="I59" s="217">
        <f t="shared" si="23"/>
        <v>499.78881818181821</v>
      </c>
      <c r="J59" s="252">
        <f t="shared" si="24"/>
        <v>1612.0909090909092</v>
      </c>
      <c r="K59" s="203">
        <f t="shared" si="25"/>
        <v>1999.1552727272729</v>
      </c>
      <c r="L59" s="203">
        <f t="shared" si="26"/>
        <v>2199.0708000000004</v>
      </c>
      <c r="M59" s="200">
        <f>'Tariff Jul 2021'!AZ45</f>
        <v>0</v>
      </c>
      <c r="N59" s="200">
        <f>'Tariff Jul 2021'!BA45</f>
        <v>0</v>
      </c>
      <c r="O59" s="200">
        <f>'Tariff Jul 2021'!BB45</f>
        <v>0</v>
      </c>
      <c r="P59" s="200">
        <f>'Tariff Jul 2021'!BC45</f>
        <v>0</v>
      </c>
      <c r="Q59" s="204" t="str">
        <f t="shared" si="32"/>
        <v>No discount</v>
      </c>
      <c r="R59" s="205" t="str">
        <f t="shared" si="31"/>
        <v>Exclusive</v>
      </c>
      <c r="S59" s="254">
        <f t="shared" si="28"/>
        <v>1999.1552727272729</v>
      </c>
      <c r="T59" s="252">
        <f t="shared" si="29"/>
        <v>1999.1552727272729</v>
      </c>
      <c r="U59" s="260">
        <f t="shared" ref="U59:V64" si="33">S59*1.1</f>
        <v>2199.0708000000004</v>
      </c>
      <c r="V59" s="260">
        <f t="shared" si="33"/>
        <v>2199.0708000000004</v>
      </c>
      <c r="W59" s="206">
        <f>'Tariff Jul 2021'!BL45</f>
        <v>0</v>
      </c>
      <c r="X59" s="207" t="str">
        <f>'Tariff Jul 2021'!BM45</f>
        <v>n</v>
      </c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</row>
    <row r="60" spans="1:42" x14ac:dyDescent="0.15">
      <c r="A60" s="199" t="str">
        <f>'Tariff Jul 2021'!K46</f>
        <v>OVO Energy</v>
      </c>
      <c r="B60" s="200" t="str">
        <f>'Tariff Jul 2021'!L46</f>
        <v>The One Plan</v>
      </c>
      <c r="C60" s="217">
        <f>IF('Tariff Jul 2021'!BP46=0,91*'Tariff Jul 2021'!M46/100,(91*'Tariff Jul 2021'!M46/100)+'Tariff Jul 2021'!BP46/4)</f>
        <v>70.069999999999993</v>
      </c>
      <c r="D60" s="217">
        <f>IF('Tariff Jul 2021'!O46="",$C$37*$C$38*'Tariff Jul 2021'!N46/100,IF($C$37*$C$38&gt;='Tariff Jul 2021'!P46,('Tariff Jul 2021'!P46*'Tariff Jul 2021'!N46/100),($C$37*$C$38*'Tariff Jul 2021'!N46/100)))</f>
        <v>374.99999999999994</v>
      </c>
      <c r="E60" s="217">
        <f>IF(AND('Tariff Jul 2021'!P46&gt;0,'Tariff Jul 2021'!R46&gt;0),IF($C$37*$C$38&lt;'Tariff Jul 2021'!P46,0,IF($C$37*$C$38&lt;=('Tariff Jul 2021'!R46+'Tariff Jul 2021'!P46),(($C$37*$C$38-'Tariff Jul 2021'!P46)*'Tariff Jul 2021'!Q46/100),(('Tariff Jul 2021'!R46)*'Tariff Jul 2021'!Q46/100))),0)</f>
        <v>0</v>
      </c>
      <c r="F60" s="217">
        <f>IF(AND('Tariff Jul 2021'!Q46&gt;0,'Tariff Jul 2021'!S46&gt;0),IF($C$37*$C$38&lt;('Tariff Jul 2021'!R46+'Tariff Jul 2021'!P46),0,IF($C$37*$C$38&lt;=('Tariff Jul 2021'!T46+'Tariff Jul 2021'!R46+'Tariff Jul 2021'!P46),(($C$37*$C$38-('Tariff Jul 2021'!R46+'Tariff Jul 2021'!P46))*'Tariff Jul 2021'!S46/100),('Tariff Jul 2021'!T46*'Tariff Jul 2021'!S46/100))),0)</f>
        <v>0</v>
      </c>
      <c r="G60" s="217">
        <f>IF(AND('Tariff Jul 2021'!R46&gt;0,'Tariff Jul 2021'!T46&gt;0),IF(($C$37*$C$38&lt;'Tariff Jul 2021'!T46),(0),($C$37*$C$38-'Tariff Jul 2021'!T46)*'Tariff Jul 2021'!U46/100),IF(AND('Tariff Jul 2021'!R46&gt;0,'Tariff Jul 2021'!T46=""),IF(($C$37*$C$38&lt;'Tariff Jul 2021'!R46+'Tariff Jul 2021'!P46),(0),(($C$37*$C$38-('Tariff Jul 2021'!R46+'Tariff Jul 2021'!P46))*'Tariff Jul 2021'!S46/100)),IF(AND('Tariff Jul 2021'!P46&gt;0,'Tariff Jul 2021'!R46=""&gt;0),IF(($C$37*$C$38&lt;'Tariff Jul 2021'!P46),(0),($C$37*$C$38-'Tariff Jul 2021'!P46)*'Tariff Jul 2021'!Q46/100),0)))</f>
        <v>0</v>
      </c>
      <c r="H60" s="217">
        <f>($C$37*$C$39)*'Tariff Jul 2021'!AE46/100</f>
        <v>66.149999999999991</v>
      </c>
      <c r="I60" s="217">
        <f t="shared" si="23"/>
        <v>511.21999999999991</v>
      </c>
      <c r="J60" s="252">
        <f t="shared" si="24"/>
        <v>1764.5999999999997</v>
      </c>
      <c r="K60" s="203">
        <f t="shared" si="25"/>
        <v>2044.8799999999997</v>
      </c>
      <c r="L60" s="203">
        <f t="shared" si="26"/>
        <v>2249.3679999999999</v>
      </c>
      <c r="M60" s="200">
        <f>'Tariff Jul 2021'!AZ46</f>
        <v>0</v>
      </c>
      <c r="N60" s="200">
        <f>'Tariff Jul 2021'!BA46</f>
        <v>0</v>
      </c>
      <c r="O60" s="200">
        <f>'Tariff Jul 2021'!BB46</f>
        <v>0</v>
      </c>
      <c r="P60" s="200">
        <f>'Tariff Jul 2021'!BC46</f>
        <v>0</v>
      </c>
      <c r="Q60" s="204" t="str">
        <f t="shared" si="32"/>
        <v>No discount</v>
      </c>
      <c r="R60" s="205" t="str">
        <f t="shared" si="31"/>
        <v>Exclusive</v>
      </c>
      <c r="S60" s="254">
        <f t="shared" si="28"/>
        <v>2044.8799999999997</v>
      </c>
      <c r="T60" s="252">
        <f t="shared" si="29"/>
        <v>2044.8799999999997</v>
      </c>
      <c r="U60" s="260">
        <f t="shared" si="33"/>
        <v>2249.3679999999999</v>
      </c>
      <c r="V60" s="260">
        <f t="shared" si="33"/>
        <v>2249.3679999999999</v>
      </c>
      <c r="W60" s="206">
        <f>'Tariff Jul 2021'!BL46</f>
        <v>0</v>
      </c>
      <c r="X60" s="207" t="str">
        <f>'Tariff Jul 2021'!BM46</f>
        <v>n</v>
      </c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</row>
    <row r="61" spans="1:42" x14ac:dyDescent="0.15">
      <c r="A61" s="199" t="str">
        <f>'Tariff Jul 2021'!K47</f>
        <v>ReAmped Energy</v>
      </c>
      <c r="B61" s="200" t="str">
        <f>'Tariff Jul 2021'!L47</f>
        <v>Advance</v>
      </c>
      <c r="C61" s="217">
        <f>IF('Tariff Jul 2021'!BP47=0,91*'Tariff Jul 2021'!M47/100,(91*'Tariff Jul 2021'!M47/100)+'Tariff Jul 2021'!BP47/4)</f>
        <v>76.10081818181817</v>
      </c>
      <c r="D61" s="217">
        <f>IF('Tariff Jul 2021'!O47="",$C$37*$C$38*'Tariff Jul 2021'!N47/100,IF($C$37*$C$38&gt;='Tariff Jul 2021'!P47,('Tariff Jul 2021'!P47*'Tariff Jul 2021'!N47/100),($C$37*$C$38*'Tariff Jul 2021'!N47/100)))</f>
        <v>365.45454545454544</v>
      </c>
      <c r="E61" s="217">
        <f>IF(AND('Tariff Jul 2021'!P47&gt;0,'Tariff Jul 2021'!R47&gt;0),IF($C$37*$C$38&lt;'Tariff Jul 2021'!P47,0,IF($C$37*$C$38&lt;=('Tariff Jul 2021'!R47+'Tariff Jul 2021'!P47),(($C$37*$C$38-'Tariff Jul 2021'!P47)*'Tariff Jul 2021'!Q47/100),(('Tariff Jul 2021'!R47)*'Tariff Jul 2021'!Q47/100))),0)</f>
        <v>0</v>
      </c>
      <c r="F61" s="217">
        <f>IF(AND('Tariff Jul 2021'!Q47&gt;0,'Tariff Jul 2021'!S47&gt;0),IF($C$37*$C$38&lt;('Tariff Jul 2021'!R47+'Tariff Jul 2021'!P47),0,IF($C$37*$C$38&lt;=('Tariff Jul 2021'!T47+'Tariff Jul 2021'!R47+'Tariff Jul 2021'!P47),(($C$37*$C$38-('Tariff Jul 2021'!R47+'Tariff Jul 2021'!P47))*'Tariff Jul 2021'!S47/100),('Tariff Jul 2021'!T47*'Tariff Jul 2021'!S47/100))),0)</f>
        <v>0</v>
      </c>
      <c r="G61" s="217">
        <f>IF(AND('Tariff Jul 2021'!R47&gt;0,'Tariff Jul 2021'!T47&gt;0),IF(($C$37*$C$38&lt;'Tariff Jul 2021'!T47),(0),($C$37*$C$38-'Tariff Jul 2021'!T47)*'Tariff Jul 2021'!U47/100),IF(AND('Tariff Jul 2021'!R47&gt;0,'Tariff Jul 2021'!T47=""),IF(($C$37*$C$38&lt;'Tariff Jul 2021'!R47+'Tariff Jul 2021'!P47),(0),(($C$37*$C$38-('Tariff Jul 2021'!R47+'Tariff Jul 2021'!P47))*'Tariff Jul 2021'!S47/100)),IF(AND('Tariff Jul 2021'!P47&gt;0,'Tariff Jul 2021'!R47=""&gt;0),IF(($C$37*$C$38&lt;'Tariff Jul 2021'!P47),(0),($C$37*$C$38-'Tariff Jul 2021'!P47)*'Tariff Jul 2021'!Q47/100),0)))</f>
        <v>0</v>
      </c>
      <c r="H61" s="217">
        <f>($C$37*$C$39)*'Tariff Jul 2021'!AE47/100</f>
        <v>56.079545454545453</v>
      </c>
      <c r="I61" s="217">
        <f t="shared" si="23"/>
        <v>497.63490909090905</v>
      </c>
      <c r="J61" s="252">
        <f t="shared" si="24"/>
        <v>1686.1363636363635</v>
      </c>
      <c r="K61" s="203">
        <f t="shared" si="25"/>
        <v>1990.5396363636362</v>
      </c>
      <c r="L61" s="203">
        <f t="shared" si="26"/>
        <v>2189.5936000000002</v>
      </c>
      <c r="M61" s="200">
        <f>'Tariff Jul 2021'!AZ47</f>
        <v>0</v>
      </c>
      <c r="N61" s="200">
        <f>'Tariff Jul 2021'!BA47</f>
        <v>0</v>
      </c>
      <c r="O61" s="200">
        <f>'Tariff Jul 2021'!BB47</f>
        <v>0</v>
      </c>
      <c r="P61" s="200">
        <f>'Tariff Jul 2021'!BC47</f>
        <v>0</v>
      </c>
      <c r="Q61" s="204" t="str">
        <f t="shared" si="32"/>
        <v>No discount</v>
      </c>
      <c r="R61" s="205" t="str">
        <f t="shared" si="31"/>
        <v>Exclusive</v>
      </c>
      <c r="S61" s="254">
        <f t="shared" si="28"/>
        <v>1990.5396363636362</v>
      </c>
      <c r="T61" s="252">
        <f t="shared" si="29"/>
        <v>1990.5396363636362</v>
      </c>
      <c r="U61" s="260">
        <f t="shared" si="33"/>
        <v>2189.5936000000002</v>
      </c>
      <c r="V61" s="260">
        <f t="shared" si="33"/>
        <v>2189.5936000000002</v>
      </c>
      <c r="W61" s="206">
        <f>'Tariff Jul 2021'!BL47</f>
        <v>0</v>
      </c>
      <c r="X61" s="207" t="str">
        <f>'Tariff Jul 2021'!BM47</f>
        <v>n</v>
      </c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</row>
    <row r="62" spans="1:42" x14ac:dyDescent="0.15">
      <c r="A62" s="199" t="str">
        <f>'Tariff Jul 2021'!K48</f>
        <v>1st Energy</v>
      </c>
      <c r="B62" s="200" t="str">
        <f>'Tariff Jul 2021'!L48</f>
        <v>1st Saver</v>
      </c>
      <c r="C62" s="217">
        <f>IF('Tariff Jul 2021'!BP48=0,91*'Tariff Jul 2021'!M48/100,(91*'Tariff Jul 2021'!M48/100)+'Tariff Jul 2021'!BP48/4)</f>
        <v>73.668636363636352</v>
      </c>
      <c r="D62" s="217">
        <f>IF('Tariff Jul 2021'!O48="",$C$37*$C$38*'Tariff Jul 2021'!N48/100,IF($C$37*$C$38&gt;='Tariff Jul 2021'!P48,('Tariff Jul 2021'!P48*'Tariff Jul 2021'!N48/100),($C$37*$C$38*'Tariff Jul 2021'!N48/100)))</f>
        <v>314.81818181818181</v>
      </c>
      <c r="E62" s="217">
        <f>IF(AND('Tariff Jul 2021'!P48&gt;0,'Tariff Jul 2021'!R48&gt;0),IF($C$37*$C$38&lt;'Tariff Jul 2021'!P48,0,IF($C$37*$C$38&lt;=('Tariff Jul 2021'!R48+'Tariff Jul 2021'!P48),(($C$37*$C$38-'Tariff Jul 2021'!P48)*'Tariff Jul 2021'!Q48/100),(('Tariff Jul 2021'!R48)*'Tariff Jul 2021'!Q48/100))),0)</f>
        <v>0</v>
      </c>
      <c r="F62" s="217">
        <f>IF(AND('Tariff Jul 2021'!Q48&gt;0,'Tariff Jul 2021'!S48&gt;0),IF($C$37*$C$38&lt;('Tariff Jul 2021'!R48+'Tariff Jul 2021'!P48),0,IF($C$37*$C$38&lt;=('Tariff Jul 2021'!T48+'Tariff Jul 2021'!R48+'Tariff Jul 2021'!P48),(($C$37*$C$38-('Tariff Jul 2021'!R48+'Tariff Jul 2021'!P48))*'Tariff Jul 2021'!S48/100),('Tariff Jul 2021'!T48*'Tariff Jul 2021'!S48/100))),0)</f>
        <v>0</v>
      </c>
      <c r="G62" s="217">
        <f>IF(AND('Tariff Jul 2021'!R48&gt;0,'Tariff Jul 2021'!T48&gt;0),IF(($C$37*$C$38&lt;'Tariff Jul 2021'!T48),(0),($C$37*$C$38-'Tariff Jul 2021'!T48)*'Tariff Jul 2021'!U48/100),IF(AND('Tariff Jul 2021'!R48&gt;0,'Tariff Jul 2021'!T48=""),IF(($C$37*$C$38&lt;'Tariff Jul 2021'!R48+'Tariff Jul 2021'!P48),(0),(($C$37*$C$38-('Tariff Jul 2021'!R48+'Tariff Jul 2021'!P48))*'Tariff Jul 2021'!S48/100)),IF(AND('Tariff Jul 2021'!P48&gt;0,'Tariff Jul 2021'!R48=""&gt;0),IF(($C$37*$C$38&lt;'Tariff Jul 2021'!P48),(0),($C$37*$C$38-'Tariff Jul 2021'!P48)*'Tariff Jul 2021'!Q48/100),0)))</f>
        <v>168.90909090909088</v>
      </c>
      <c r="H62" s="217">
        <f>($C$37*$C$39)*'Tariff Jul 2021'!AE48/100</f>
        <v>54.30681818181818</v>
      </c>
      <c r="I62" s="217">
        <f t="shared" si="23"/>
        <v>611.7027272727272</v>
      </c>
      <c r="J62" s="252">
        <f t="shared" si="24"/>
        <v>2152.1363636363635</v>
      </c>
      <c r="K62" s="203">
        <f t="shared" si="25"/>
        <v>2446.8109090909088</v>
      </c>
      <c r="L62" s="203">
        <f t="shared" si="26"/>
        <v>2691.4919999999997</v>
      </c>
      <c r="M62" s="200">
        <f>'Tariff Jul 2021'!AZ48</f>
        <v>0</v>
      </c>
      <c r="N62" s="200">
        <f>'Tariff Jul 2021'!BA48</f>
        <v>0</v>
      </c>
      <c r="O62" s="200">
        <f>'Tariff Jul 2021'!BB48</f>
        <v>10</v>
      </c>
      <c r="P62" s="200">
        <f>'Tariff Jul 2021'!BC48</f>
        <v>0</v>
      </c>
      <c r="Q62" s="204" t="str">
        <f t="shared" si="32"/>
        <v>Pay-on-time off bill</v>
      </c>
      <c r="R62" s="205" t="str">
        <f t="shared" si="31"/>
        <v>Exclusive</v>
      </c>
      <c r="S62" s="254">
        <f t="shared" si="28"/>
        <v>2446.8109090909088</v>
      </c>
      <c r="T62" s="252">
        <f t="shared" si="29"/>
        <v>2202.1298181818179</v>
      </c>
      <c r="U62" s="260">
        <f t="shared" si="33"/>
        <v>2691.4919999999997</v>
      </c>
      <c r="V62" s="260">
        <f t="shared" si="33"/>
        <v>2422.3427999999999</v>
      </c>
      <c r="W62" s="206">
        <f>'Tariff Jul 2021'!BL48</f>
        <v>0</v>
      </c>
      <c r="X62" s="207" t="str">
        <f>'Tariff Jul 2021'!BM48</f>
        <v>n</v>
      </c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</row>
    <row r="63" spans="1:42" x14ac:dyDescent="0.15">
      <c r="A63" s="199" t="str">
        <f>'Tariff Jul 2021'!K49</f>
        <v>IO Energy</v>
      </c>
      <c r="B63" s="200" t="str">
        <f>'Tariff Jul 2021'!L49</f>
        <v>Spark</v>
      </c>
      <c r="C63" s="217">
        <f>IF('Tariff Jul 2021'!BP49=0,91*'Tariff Jul 2021'!M49/100,(91*'Tariff Jul 2021'!M49/100)+'Tariff Jul 2021'!BP49/4)</f>
        <v>90.999999999999986</v>
      </c>
      <c r="D63" s="217">
        <f>IF('Tariff Jul 2021'!O49="",$C$37*$C$38*'Tariff Jul 2021'!N49/100,IF($C$37*$C$38&gt;='Tariff Jul 2021'!P49,('Tariff Jul 2021'!P49*'Tariff Jul 2021'!N49/100),($C$37*$C$38*'Tariff Jul 2021'!N49/100)))</f>
        <v>409.09090909090907</v>
      </c>
      <c r="E63" s="217">
        <f>IF(AND('Tariff Jul 2021'!P49&gt;0,'Tariff Jul 2021'!R49&gt;0),IF($C$37*$C$38&lt;'Tariff Jul 2021'!P49,0,IF($C$37*$C$38&lt;=('Tariff Jul 2021'!R49+'Tariff Jul 2021'!P49),(($C$37*$C$38-'Tariff Jul 2021'!P49)*'Tariff Jul 2021'!Q49/100),(('Tariff Jul 2021'!R49)*'Tariff Jul 2021'!Q49/100))),0)</f>
        <v>0</v>
      </c>
      <c r="F63" s="217">
        <f>IF(AND('Tariff Jul 2021'!Q49&gt;0,'Tariff Jul 2021'!S49&gt;0),IF($C$37*$C$38&lt;('Tariff Jul 2021'!R49+'Tariff Jul 2021'!P49),0,IF($C$37*$C$38&lt;=('Tariff Jul 2021'!T49+'Tariff Jul 2021'!R49+'Tariff Jul 2021'!P49),(($C$37*$C$38-('Tariff Jul 2021'!R49+'Tariff Jul 2021'!P49))*'Tariff Jul 2021'!S49/100),('Tariff Jul 2021'!T49*'Tariff Jul 2021'!S49/100))),0)</f>
        <v>0</v>
      </c>
      <c r="G63" s="217">
        <f>IF(AND('Tariff Jul 2021'!R49&gt;0,'Tariff Jul 2021'!T49&gt;0),IF(($C$37*$C$38&lt;'Tariff Jul 2021'!T49),(0),($C$37*$C$38-'Tariff Jul 2021'!T49)*'Tariff Jul 2021'!U49/100),IF(AND('Tariff Jul 2021'!R49&gt;0,'Tariff Jul 2021'!T49=""),IF(($C$37*$C$38&lt;'Tariff Jul 2021'!R49+'Tariff Jul 2021'!P49),(0),(($C$37*$C$38-('Tariff Jul 2021'!R49+'Tariff Jul 2021'!P49))*'Tariff Jul 2021'!S49/100)),IF(AND('Tariff Jul 2021'!P49&gt;0,'Tariff Jul 2021'!R49=""&gt;0),IF(($C$37*$C$38&lt;'Tariff Jul 2021'!P49),(0),($C$37*$C$38-'Tariff Jul 2021'!P49)*'Tariff Jul 2021'!Q49/100),0)))</f>
        <v>0</v>
      </c>
      <c r="H63" s="217">
        <f>($C$37*$C$39)*'Tariff Jul 2021'!AE49/100</f>
        <v>61.36363636363636</v>
      </c>
      <c r="I63" s="217">
        <f t="shared" si="23"/>
        <v>561.45454545454538</v>
      </c>
      <c r="J63" s="252">
        <f t="shared" si="24"/>
        <v>1881.8181818181815</v>
      </c>
      <c r="K63" s="203">
        <f t="shared" si="25"/>
        <v>2245.8181818181815</v>
      </c>
      <c r="L63" s="203">
        <f t="shared" si="26"/>
        <v>2470.4</v>
      </c>
      <c r="M63" s="200">
        <f>'Tariff Jul 2021'!AZ49</f>
        <v>0</v>
      </c>
      <c r="N63" s="200">
        <f>'Tariff Jul 2021'!BA49</f>
        <v>0</v>
      </c>
      <c r="O63" s="200">
        <f>'Tariff Jul 2021'!BB49</f>
        <v>0</v>
      </c>
      <c r="P63" s="200">
        <f>'Tariff Jul 2021'!BC49</f>
        <v>0</v>
      </c>
      <c r="Q63" s="204" t="str">
        <f t="shared" si="32"/>
        <v>No discount</v>
      </c>
      <c r="R63" s="205" t="str">
        <f t="shared" si="31"/>
        <v>Exclusive</v>
      </c>
      <c r="S63" s="254">
        <f t="shared" si="28"/>
        <v>2245.8181818181815</v>
      </c>
      <c r="T63" s="252">
        <f t="shared" si="29"/>
        <v>2245.8181818181815</v>
      </c>
      <c r="U63" s="260">
        <f t="shared" si="33"/>
        <v>2470.4</v>
      </c>
      <c r="V63" s="260">
        <f t="shared" si="33"/>
        <v>2470.4</v>
      </c>
      <c r="W63" s="206">
        <f>'Tariff Jul 2021'!BL49</f>
        <v>0</v>
      </c>
      <c r="X63" s="207" t="str">
        <f>'Tariff Jul 2021'!BM49</f>
        <v>n</v>
      </c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</row>
    <row r="64" spans="1:42" x14ac:dyDescent="0.15">
      <c r="A64" s="199" t="str">
        <f>'Tariff Jul 2021'!K50</f>
        <v>Nectr</v>
      </c>
      <c r="B64" s="200" t="str">
        <f>'Tariff Jul 2021'!L50</f>
        <v>Friends Clean</v>
      </c>
      <c r="C64" s="217">
        <f>IF('Tariff Jul 2021'!BP50=0,91*'Tariff Jul 2021'!M50/100,(91*'Tariff Jul 2021'!M50/100)+'Tariff Jul 2021'!BP50/4)</f>
        <v>93.274999999999977</v>
      </c>
      <c r="D64" s="217">
        <f>IF('Tariff Jul 2021'!O50="",$C$37*$C$38*'Tariff Jul 2021'!N50/100,IF($C$37*$C$38&gt;='Tariff Jul 2021'!P50,('Tariff Jul 2021'!P50*'Tariff Jul 2021'!N50/100),($C$37*$C$38*'Tariff Jul 2021'!N50/100)))</f>
        <v>386.99999999999994</v>
      </c>
      <c r="E64" s="217">
        <f>IF(AND('Tariff Jul 2021'!P50&gt;0,'Tariff Jul 2021'!R50&gt;0),IF($C$37*$C$38&lt;'Tariff Jul 2021'!P50,0,IF($C$37*$C$38&lt;=('Tariff Jul 2021'!R50+'Tariff Jul 2021'!P50),(($C$37*$C$38-'Tariff Jul 2021'!P50)*'Tariff Jul 2021'!Q50/100),(('Tariff Jul 2021'!R50)*'Tariff Jul 2021'!Q50/100))),0)</f>
        <v>0</v>
      </c>
      <c r="F64" s="217">
        <f>IF(AND('Tariff Jul 2021'!Q50&gt;0,'Tariff Jul 2021'!S50&gt;0),IF($C$37*$C$38&lt;('Tariff Jul 2021'!R50+'Tariff Jul 2021'!P50),0,IF($C$37*$C$38&lt;=('Tariff Jul 2021'!T50+'Tariff Jul 2021'!R50+'Tariff Jul 2021'!P50),(($C$37*$C$38-('Tariff Jul 2021'!R50+'Tariff Jul 2021'!P50))*'Tariff Jul 2021'!S50/100),('Tariff Jul 2021'!T50*'Tariff Jul 2021'!S50/100))),0)</f>
        <v>0</v>
      </c>
      <c r="G64" s="217">
        <f>IF(AND('Tariff Jul 2021'!R50&gt;0,'Tariff Jul 2021'!T50&gt;0),IF(($C$37*$C$38&lt;'Tariff Jul 2021'!T50),(0),($C$37*$C$38-'Tariff Jul 2021'!T50)*'Tariff Jul 2021'!U50/100),IF(AND('Tariff Jul 2021'!R50&gt;0,'Tariff Jul 2021'!T50=""),IF(($C$37*$C$38&lt;'Tariff Jul 2021'!R50+'Tariff Jul 2021'!P50),(0),(($C$37*$C$38-('Tariff Jul 2021'!R50+'Tariff Jul 2021'!P50))*'Tariff Jul 2021'!S50/100)),IF(AND('Tariff Jul 2021'!P50&gt;0,'Tariff Jul 2021'!R50=""&gt;0),IF(($C$37*$C$38&lt;'Tariff Jul 2021'!P50),(0),($C$37*$C$38-'Tariff Jul 2021'!P50)*'Tariff Jul 2021'!Q50/100),0)))</f>
        <v>0</v>
      </c>
      <c r="H64" s="217">
        <f>($C$37*$C$39)*'Tariff Jul 2021'!AE50/100</f>
        <v>64.704545454545453</v>
      </c>
      <c r="I64" s="217">
        <f t="shared" si="23"/>
        <v>544.97954545454536</v>
      </c>
      <c r="J64" s="252">
        <f t="shared" si="24"/>
        <v>1806.8181818181815</v>
      </c>
      <c r="K64" s="203">
        <f t="shared" si="25"/>
        <v>2179.9181818181814</v>
      </c>
      <c r="L64" s="203">
        <f t="shared" si="26"/>
        <v>2397.91</v>
      </c>
      <c r="M64" s="200">
        <f>'Tariff Jul 2021'!AZ50</f>
        <v>0</v>
      </c>
      <c r="N64" s="200">
        <f>'Tariff Jul 2021'!BA50</f>
        <v>0</v>
      </c>
      <c r="O64" s="200">
        <f>'Tariff Jul 2021'!BB50</f>
        <v>0</v>
      </c>
      <c r="P64" s="200">
        <f>'Tariff Jul 2021'!BC50</f>
        <v>0</v>
      </c>
      <c r="Q64" s="204" t="str">
        <f t="shared" si="32"/>
        <v>No discount</v>
      </c>
      <c r="R64" s="205" t="str">
        <f t="shared" si="31"/>
        <v>Exclusive</v>
      </c>
      <c r="S64" s="254">
        <f t="shared" si="28"/>
        <v>2179.9181818181814</v>
      </c>
      <c r="T64" s="252">
        <f t="shared" si="29"/>
        <v>2179.9181818181814</v>
      </c>
      <c r="U64" s="260">
        <f t="shared" si="33"/>
        <v>2397.91</v>
      </c>
      <c r="V64" s="260">
        <f t="shared" si="33"/>
        <v>2397.91</v>
      </c>
      <c r="W64" s="206">
        <f>'Tariff Jul 2021'!BL50</f>
        <v>0</v>
      </c>
      <c r="X64" s="207" t="str">
        <f>'Tariff Jul 2021'!BM50</f>
        <v>n</v>
      </c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</row>
    <row r="65" spans="1:42" customFormat="1" x14ac:dyDescent="0.15">
      <c r="A65" s="199" t="str">
        <f>'Tariff Jul 2021'!K51</f>
        <v>Tango Energy</v>
      </c>
      <c r="B65" s="200" t="str">
        <f>'Tariff Jul 2021'!L51</f>
        <v>Home Select</v>
      </c>
      <c r="C65" s="217">
        <f>IF('Tariff Jul 2021'!BP51=0,91*'Tariff Jul 2021'!M51/100,(91*'Tariff Jul 2021'!M51/100)+'Tariff Jul 2021'!BP51/4)</f>
        <v>93.729999999999976</v>
      </c>
      <c r="D65" s="217">
        <f>IF('Tariff Jul 2021'!O51="",$C$37*$C$38*'Tariff Jul 2021'!N51/100,IF($C$37*$C$38&gt;='Tariff Jul 2021'!P51,('Tariff Jul 2021'!P51*'Tariff Jul 2021'!N51/100),($C$37*$C$38*'Tariff Jul 2021'!N51/100)))</f>
        <v>421.5</v>
      </c>
      <c r="E65" s="217">
        <f>IF(AND('Tariff Jul 2021'!P51&gt;0,'Tariff Jul 2021'!R51&gt;0),IF($C$37*$C$38&lt;'Tariff Jul 2021'!P51,0,IF($C$37*$C$38&lt;=('Tariff Jul 2021'!R51+'Tariff Jul 2021'!P51),(($C$37*$C$38-'Tariff Jul 2021'!P51)*'Tariff Jul 2021'!Q51/100),(('Tariff Jul 2021'!R51)*'Tariff Jul 2021'!Q51/100))),0)</f>
        <v>0</v>
      </c>
      <c r="F65" s="217">
        <f>IF(AND('Tariff Jul 2021'!Q51&gt;0,'Tariff Jul 2021'!S51&gt;0),IF($C$37*$C$38&lt;('Tariff Jul 2021'!R51+'Tariff Jul 2021'!P51),0,IF($C$37*$C$38&lt;=('Tariff Jul 2021'!T51+'Tariff Jul 2021'!R51+'Tariff Jul 2021'!P51),(($C$37*$C$38-('Tariff Jul 2021'!R51+'Tariff Jul 2021'!P51))*'Tariff Jul 2021'!S51/100),('Tariff Jul 2021'!T51*'Tariff Jul 2021'!S51/100))),0)</f>
        <v>0</v>
      </c>
      <c r="G65" s="217">
        <f>IF(AND('Tariff Jul 2021'!R51&gt;0,'Tariff Jul 2021'!T51&gt;0),IF(($C$37*$C$38&lt;'Tariff Jul 2021'!T51),(0),($C$37*$C$38-'Tariff Jul 2021'!T51)*'Tariff Jul 2021'!U51/100),IF(AND('Tariff Jul 2021'!R51&gt;0,'Tariff Jul 2021'!T51=""),IF(($C$37*$C$38&lt;'Tariff Jul 2021'!R51+'Tariff Jul 2021'!P51),(0),(($C$37*$C$38-('Tariff Jul 2021'!R51+'Tariff Jul 2021'!P51))*'Tariff Jul 2021'!S51/100)),IF(AND('Tariff Jul 2021'!P51&gt;0,'Tariff Jul 2021'!R51=""&gt;0),IF(($C$37*$C$38&lt;'Tariff Jul 2021'!P51),(0),($C$37*$C$38-'Tariff Jul 2021'!P51)*'Tariff Jul 2021'!Q51/100),0)))</f>
        <v>0</v>
      </c>
      <c r="H65" s="217">
        <f>($C$37*$C$39)*'Tariff Jul 2021'!AE51/100</f>
        <v>51.136363636363619</v>
      </c>
      <c r="I65" s="217">
        <f t="shared" ref="I65:I66" si="34">SUM(C65:H65)</f>
        <v>566.36636363636364</v>
      </c>
      <c r="J65" s="252">
        <f t="shared" ref="J65:J66" si="35">(I65-C65)*4</f>
        <v>1890.5454545454547</v>
      </c>
      <c r="K65" s="203">
        <f t="shared" ref="K65:K66" si="36">I65*4</f>
        <v>2265.4654545454546</v>
      </c>
      <c r="L65" s="203">
        <f t="shared" ref="L65:L66" si="37">K65*1.1</f>
        <v>2492.0120000000002</v>
      </c>
      <c r="M65" s="200">
        <f>'Tariff Jul 2021'!AZ51</f>
        <v>0</v>
      </c>
      <c r="N65" s="200">
        <f>'Tariff Jul 2021'!BA51</f>
        <v>0</v>
      </c>
      <c r="O65" s="200">
        <f>'Tariff Jul 2021'!BB51</f>
        <v>0</v>
      </c>
      <c r="P65" s="200">
        <f>'Tariff Jul 2021'!BC51</f>
        <v>0</v>
      </c>
      <c r="Q65" s="204" t="str">
        <f t="shared" ref="Q65:Q66" si="38">IF(SUM(M65:P65)=0,"No discount",IF(M65&gt;0,"Guaranteed off bill",IF(N65&gt;0,"Guaranteed off usage",IF(O65&gt;0,"Pay-on-time off bill","Pay-on-time off usage"))))</f>
        <v>No discount</v>
      </c>
      <c r="R65" s="205" t="str">
        <f t="shared" ref="R65:R66" si="39">IF(OR(A65="Origin Energy",A65="Red Energy",A65="Powershop"),"Inclusive","Exclusive")</f>
        <v>Exclusive</v>
      </c>
      <c r="S65" s="254">
        <f t="shared" ref="S65:S66" si="40">IF(AND(Q65="Guaranteed off bill",R65="Inclusive"),((K65*1.1)-((K65*1.1)*M65/100))/1.1,IF(AND(Q65="Guaranteed off usage",R65="Inclusive"),((K65*1.1)-((J65*1.1)*N65/100))/1.1,IF(AND(Q65="Guaranteed off bill",R65="Exclusive"),K65-(K65*M65/100),IF(AND(Q65="Guaranteed off usage",R65="Exclusive"),K65-(J65*N65/100),IF(R65="Inclusive",((K65*1.1))/1.1,K65)))))</f>
        <v>2265.4654545454546</v>
      </c>
      <c r="T65" s="252">
        <f t="shared" ref="T65:T66" si="41">IF(AND(Q65="Pay-on-time off bill",R65="Inclusive"),((S65*1.1)-((S65*1.1)*O65/100))/1.1,IF(AND(Q65="Pay-on-time off usage",R65="Inclusive"),((S65*1.1)-((J65*1.1)*P65/100))/1.1,IF(AND(Q65="Pay-on-time off bill",R65="Exclusive"),S65-(S65*O65/100),IF(AND(Q65="Pay-on-time off usage",R65="Exclusive"),S65-(J65*P65/100),IF(R65="Inclusive",((S65*1.1))/1.1,S65)))))</f>
        <v>2265.4654545454546</v>
      </c>
      <c r="U65" s="260">
        <f t="shared" ref="U65:U66" si="42">S65*1.1</f>
        <v>2492.0120000000002</v>
      </c>
      <c r="V65" s="260">
        <f t="shared" ref="V65:V66" si="43">T65*1.1</f>
        <v>2492.0120000000002</v>
      </c>
      <c r="W65" s="206">
        <f>'Tariff Jul 2021'!BL51</f>
        <v>0</v>
      </c>
      <c r="X65" s="207" t="str">
        <f>'Tariff Jul 2021'!BM51</f>
        <v>n</v>
      </c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</row>
    <row r="66" spans="1:42" customFormat="1" ht="15" thickBot="1" x14ac:dyDescent="0.2">
      <c r="A66" s="208" t="str">
        <f>'Tariff Jul 2021'!K52</f>
        <v>Covau</v>
      </c>
      <c r="B66" s="209" t="str">
        <f>'Tariff Jul 2021'!L52</f>
        <v>Freedom</v>
      </c>
      <c r="C66" s="218">
        <f>IF('Tariff Jul 2021'!BP52=0,91*'Tariff Jul 2021'!M52/100,(91*'Tariff Jul 2021'!M52/100)+'Tariff Jul 2021'!BP52/4)</f>
        <v>60.515000000000001</v>
      </c>
      <c r="D66" s="218">
        <f>IF('Tariff Jul 2021'!O52="",$C$37*$C$38*'Tariff Jul 2021'!N52/100,IF($C$37*$C$38&gt;='Tariff Jul 2021'!P52,('Tariff Jul 2021'!P52*'Tariff Jul 2021'!N52/100),($C$37*$C$38*'Tariff Jul 2021'!N52/100)))</f>
        <v>428.45454545454544</v>
      </c>
      <c r="E66" s="218">
        <f>IF(AND('Tariff Jul 2021'!P52&gt;0,'Tariff Jul 2021'!R52&gt;0),IF($C$37*$C$38&lt;'Tariff Jul 2021'!P52,0,IF($C$37*$C$38&lt;=('Tariff Jul 2021'!R52+'Tariff Jul 2021'!P52),(($C$37*$C$38-'Tariff Jul 2021'!P52)*'Tariff Jul 2021'!Q52/100),(('Tariff Jul 2021'!R52)*'Tariff Jul 2021'!Q52/100))),0)</f>
        <v>0</v>
      </c>
      <c r="F66" s="218">
        <f>IF(AND('Tariff Jul 2021'!Q52&gt;0,'Tariff Jul 2021'!S52&gt;0),IF($C$37*$C$38&lt;('Tariff Jul 2021'!R52+'Tariff Jul 2021'!P52),0,IF($C$37*$C$38&lt;=('Tariff Jul 2021'!T52+'Tariff Jul 2021'!R52+'Tariff Jul 2021'!P52),(($C$37*$C$38-('Tariff Jul 2021'!R52+'Tariff Jul 2021'!P52))*'Tariff Jul 2021'!S52/100),('Tariff Jul 2021'!T52*'Tariff Jul 2021'!S52/100))),0)</f>
        <v>0</v>
      </c>
      <c r="G66" s="218">
        <f>IF(AND('Tariff Jul 2021'!R52&gt;0,'Tariff Jul 2021'!T52&gt;0),IF(($C$37*$C$38&lt;'Tariff Jul 2021'!T52),(0),($C$37*$C$38-'Tariff Jul 2021'!T52)*'Tariff Jul 2021'!U52/100),IF(AND('Tariff Jul 2021'!R52&gt;0,'Tariff Jul 2021'!T52=""),IF(($C$37*$C$38&lt;'Tariff Jul 2021'!R52+'Tariff Jul 2021'!P52),(0),(($C$37*$C$38-('Tariff Jul 2021'!R52+'Tariff Jul 2021'!P52))*'Tariff Jul 2021'!S52/100)),IF(AND('Tariff Jul 2021'!P52&gt;0,'Tariff Jul 2021'!R52=""&gt;0),IF(($C$37*$C$38&lt;'Tariff Jul 2021'!P52),(0),($C$37*$C$38-'Tariff Jul 2021'!P52)*'Tariff Jul 2021'!Q52/100),0)))</f>
        <v>0</v>
      </c>
      <c r="H66" s="218">
        <f>($C$37*$C$39)*'Tariff Jul 2021'!AE52/100</f>
        <v>53.057851239669411</v>
      </c>
      <c r="I66" s="218">
        <f t="shared" si="34"/>
        <v>542.02739669421487</v>
      </c>
      <c r="J66" s="253">
        <f t="shared" si="35"/>
        <v>1926.0495867768595</v>
      </c>
      <c r="K66" s="212">
        <f t="shared" si="36"/>
        <v>2168.1095867768595</v>
      </c>
      <c r="L66" s="212">
        <f t="shared" si="37"/>
        <v>2384.9205454545458</v>
      </c>
      <c r="M66" s="209">
        <f>'Tariff Jul 2021'!AZ52</f>
        <v>0</v>
      </c>
      <c r="N66" s="209">
        <f>'Tariff Jul 2021'!BA52</f>
        <v>5</v>
      </c>
      <c r="O66" s="209">
        <f>'Tariff Jul 2021'!BB52</f>
        <v>0</v>
      </c>
      <c r="P66" s="209">
        <f>'Tariff Jul 2021'!BC52</f>
        <v>0</v>
      </c>
      <c r="Q66" s="213" t="str">
        <f t="shared" si="38"/>
        <v>Guaranteed off usage</v>
      </c>
      <c r="R66" s="214" t="str">
        <f t="shared" si="39"/>
        <v>Exclusive</v>
      </c>
      <c r="S66" s="255">
        <f t="shared" si="40"/>
        <v>2071.8071074380164</v>
      </c>
      <c r="T66" s="253">
        <f t="shared" si="41"/>
        <v>2071.8071074380164</v>
      </c>
      <c r="U66" s="261">
        <f t="shared" si="42"/>
        <v>2278.9878181818181</v>
      </c>
      <c r="V66" s="261">
        <f t="shared" si="43"/>
        <v>2278.9878181818181</v>
      </c>
      <c r="W66" s="215">
        <f>'Tariff Jul 2021'!BL52</f>
        <v>0</v>
      </c>
      <c r="X66" s="216" t="str">
        <f>'Tariff Jul 2021'!BM52</f>
        <v>n</v>
      </c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</row>
    <row r="67" spans="1:42" customFormat="1" ht="13" x14ac:dyDescent="0.15">
      <c r="A67" s="284"/>
      <c r="B67" s="284"/>
      <c r="C67" s="284"/>
      <c r="D67" s="284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</row>
    <row r="68" spans="1:42" customFormat="1" ht="13" x14ac:dyDescent="0.15">
      <c r="A68" s="284"/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</row>
    <row r="69" spans="1:42" customFormat="1" ht="13" x14ac:dyDescent="0.15">
      <c r="A69" s="284"/>
      <c r="B69" s="284"/>
      <c r="C69" s="284"/>
      <c r="D69" s="284"/>
      <c r="E69" s="284"/>
      <c r="F69" s="284"/>
      <c r="G69" s="284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</row>
    <row r="70" spans="1:42" customFormat="1" ht="13" x14ac:dyDescent="0.15">
      <c r="A70" s="284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</row>
    <row r="71" spans="1:42" customFormat="1" ht="13" x14ac:dyDescent="0.15">
      <c r="A71" s="284"/>
      <c r="B71" s="284"/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</row>
    <row r="72" spans="1:42" customFormat="1" ht="13" x14ac:dyDescent="0.15">
      <c r="A72" s="284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</row>
    <row r="73" spans="1:42" customFormat="1" ht="13" x14ac:dyDescent="0.15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</row>
    <row r="74" spans="1:42" customFormat="1" ht="13" x14ac:dyDescent="0.15">
      <c r="A74" s="284"/>
      <c r="B74" s="284"/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</row>
    <row r="75" spans="1:42" customFormat="1" ht="13" x14ac:dyDescent="0.15">
      <c r="A75" s="284"/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</row>
    <row r="76" spans="1:42" customFormat="1" ht="13" x14ac:dyDescent="0.15">
      <c r="A76" s="284"/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</row>
    <row r="77" spans="1:42" customFormat="1" ht="13" x14ac:dyDescent="0.15">
      <c r="A77" s="284"/>
      <c r="B77" s="284"/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</row>
    <row r="78" spans="1:42" customFormat="1" ht="13" x14ac:dyDescent="0.15">
      <c r="A78" s="284"/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</row>
    <row r="79" spans="1:42" customFormat="1" ht="13" x14ac:dyDescent="0.15">
      <c r="A79" s="284"/>
      <c r="B79" s="284"/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</row>
    <row r="80" spans="1:42" customFormat="1" ht="13" x14ac:dyDescent="0.15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</row>
    <row r="81" spans="1:42" customFormat="1" ht="13" x14ac:dyDescent="0.15">
      <c r="A81" s="284"/>
      <c r="B81" s="284"/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</row>
    <row r="82" spans="1:42" customFormat="1" ht="13" x14ac:dyDescent="0.15">
      <c r="A82" s="284"/>
      <c r="B82" s="284"/>
      <c r="C82" s="284"/>
      <c r="D82" s="284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</row>
    <row r="83" spans="1:42" customFormat="1" ht="13" x14ac:dyDescent="0.15">
      <c r="A83" s="284"/>
      <c r="B83" s="284"/>
      <c r="C83" s="284"/>
      <c r="D83" s="284"/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</row>
    <row r="84" spans="1:42" customFormat="1" ht="13" x14ac:dyDescent="0.15">
      <c r="A84" s="284"/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</row>
    <row r="85" spans="1:42" customFormat="1" ht="13" x14ac:dyDescent="0.15">
      <c r="A85" s="284"/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</row>
    <row r="86" spans="1:42" customFormat="1" ht="13" x14ac:dyDescent="0.15">
      <c r="A86" s="284"/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</row>
    <row r="87" spans="1:42" customFormat="1" ht="13" x14ac:dyDescent="0.15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</row>
    <row r="88" spans="1:42" customFormat="1" ht="13" x14ac:dyDescent="0.15">
      <c r="A88" s="284"/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</row>
    <row r="89" spans="1:42" customFormat="1" ht="13" x14ac:dyDescent="0.15">
      <c r="A89" s="284"/>
      <c r="B89" s="284"/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</row>
    <row r="90" spans="1:42" customFormat="1" ht="13" x14ac:dyDescent="0.15">
      <c r="A90" s="284"/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</row>
    <row r="91" spans="1:42" customFormat="1" ht="13" x14ac:dyDescent="0.15">
      <c r="A91" s="284"/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</row>
    <row r="92" spans="1:42" customFormat="1" ht="13" x14ac:dyDescent="0.15">
      <c r="A92" s="284"/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</row>
    <row r="93" spans="1:42" customFormat="1" ht="13" x14ac:dyDescent="0.15">
      <c r="A93" s="284"/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</row>
    <row r="94" spans="1:42" customFormat="1" ht="13" x14ac:dyDescent="0.15">
      <c r="A94" s="284"/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</row>
    <row r="95" spans="1:42" customFormat="1" ht="13" x14ac:dyDescent="0.15">
      <c r="A95" s="284"/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4"/>
      <c r="AF95" s="284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</row>
    <row r="96" spans="1:42" customFormat="1" ht="13" x14ac:dyDescent="0.15">
      <c r="A96" s="284"/>
      <c r="B96" s="284"/>
      <c r="C96" s="284"/>
      <c r="D96" s="284"/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  <c r="AA96" s="284"/>
      <c r="AB96" s="284"/>
      <c r="AC96" s="284"/>
      <c r="AD96" s="284"/>
      <c r="AE96" s="284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</row>
    <row r="97" spans="1:42" customFormat="1" ht="13" x14ac:dyDescent="0.15">
      <c r="A97" s="284"/>
      <c r="B97" s="284"/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284"/>
      <c r="AA97" s="284"/>
      <c r="AB97" s="284"/>
      <c r="AC97" s="284"/>
      <c r="AD97" s="284"/>
      <c r="AE97" s="284"/>
      <c r="AF97" s="284"/>
      <c r="AG97" s="284"/>
      <c r="AH97" s="284"/>
      <c r="AI97" s="284"/>
      <c r="AJ97" s="284"/>
      <c r="AK97" s="284"/>
      <c r="AL97" s="284"/>
      <c r="AM97" s="284"/>
      <c r="AN97" s="284"/>
      <c r="AO97" s="284"/>
      <c r="AP97" s="284"/>
    </row>
    <row r="98" spans="1:42" customFormat="1" ht="13" x14ac:dyDescent="0.15">
      <c r="A98" s="284"/>
      <c r="B98" s="284"/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</row>
    <row r="99" spans="1:42" customFormat="1" ht="13" x14ac:dyDescent="0.15">
      <c r="A99" s="284"/>
      <c r="B99" s="284"/>
      <c r="C99" s="284"/>
      <c r="D99" s="284"/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</row>
    <row r="100" spans="1:42" customFormat="1" ht="13" x14ac:dyDescent="0.15">
      <c r="A100" s="284"/>
      <c r="B100" s="284"/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  <c r="AA100" s="284"/>
      <c r="AB100" s="284"/>
      <c r="AC100" s="284"/>
      <c r="AD100" s="284"/>
      <c r="AE100" s="284"/>
      <c r="AF100" s="284"/>
      <c r="AG100" s="284"/>
      <c r="AH100" s="284"/>
      <c r="AI100" s="284"/>
      <c r="AJ100" s="284"/>
      <c r="AK100" s="284"/>
      <c r="AL100" s="284"/>
      <c r="AM100" s="284"/>
      <c r="AN100" s="284"/>
      <c r="AO100" s="284"/>
      <c r="AP100" s="284"/>
    </row>
    <row r="101" spans="1:42" customFormat="1" ht="13" x14ac:dyDescent="0.15">
      <c r="A101" s="284"/>
      <c r="B101" s="284"/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</row>
    <row r="102" spans="1:42" customFormat="1" ht="13" x14ac:dyDescent="0.15">
      <c r="A102" s="284"/>
      <c r="B102" s="284"/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</row>
    <row r="103" spans="1:42" customFormat="1" ht="13" x14ac:dyDescent="0.15">
      <c r="A103" s="284"/>
      <c r="B103" s="284"/>
      <c r="C103" s="284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</row>
    <row r="104" spans="1:42" customFormat="1" ht="13" x14ac:dyDescent="0.15">
      <c r="A104" s="284"/>
      <c r="B104" s="284"/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</row>
    <row r="105" spans="1:42" customFormat="1" ht="13" x14ac:dyDescent="0.15">
      <c r="A105" s="284"/>
      <c r="B105" s="284"/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</row>
    <row r="106" spans="1:42" customFormat="1" ht="13" x14ac:dyDescent="0.15">
      <c r="A106" s="284"/>
      <c r="B106" s="284"/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</row>
    <row r="107" spans="1:42" customFormat="1" ht="13" x14ac:dyDescent="0.15">
      <c r="A107" s="284"/>
      <c r="B107" s="284"/>
      <c r="C107" s="284"/>
      <c r="D107" s="284"/>
      <c r="E107" s="284"/>
      <c r="F107" s="284"/>
      <c r="G107" s="284"/>
      <c r="H107" s="284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</row>
    <row r="108" spans="1:42" customFormat="1" ht="13" x14ac:dyDescent="0.15">
      <c r="A108" s="284"/>
      <c r="B108" s="284"/>
      <c r="C108" s="284"/>
      <c r="D108" s="284"/>
      <c r="E108" s="284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</row>
    <row r="109" spans="1:42" customFormat="1" ht="13" x14ac:dyDescent="0.15">
      <c r="A109" s="284"/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</row>
    <row r="110" spans="1:42" customFormat="1" ht="13" x14ac:dyDescent="0.15">
      <c r="A110" s="284"/>
      <c r="B110" s="284"/>
      <c r="C110" s="284"/>
      <c r="D110" s="284"/>
      <c r="E110" s="284"/>
      <c r="F110" s="284"/>
      <c r="G110" s="284"/>
      <c r="H110" s="284"/>
      <c r="I110" s="284"/>
      <c r="J110" s="284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</row>
    <row r="111" spans="1:42" customFormat="1" ht="13" x14ac:dyDescent="0.15">
      <c r="A111" s="284"/>
      <c r="B111" s="284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</row>
    <row r="112" spans="1:42" customFormat="1" ht="13" x14ac:dyDescent="0.15">
      <c r="A112" s="284"/>
      <c r="B112" s="284"/>
      <c r="C112" s="284"/>
      <c r="D112" s="284"/>
      <c r="E112" s="284"/>
      <c r="F112" s="284"/>
      <c r="G112" s="284"/>
      <c r="H112" s="284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  <c r="AA112" s="284"/>
      <c r="AB112" s="284"/>
      <c r="AC112" s="284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</row>
    <row r="113" spans="1:42" customFormat="1" ht="13" x14ac:dyDescent="0.15">
      <c r="A113" s="284"/>
      <c r="B113" s="284"/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</row>
    <row r="114" spans="1:42" customFormat="1" ht="13" x14ac:dyDescent="0.15">
      <c r="A114" s="284"/>
      <c r="B114" s="284"/>
      <c r="C114" s="284"/>
      <c r="D114" s="284"/>
      <c r="E114" s="284"/>
      <c r="F114" s="284"/>
      <c r="G114" s="284"/>
      <c r="H114" s="284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</row>
    <row r="115" spans="1:42" customFormat="1" ht="13" x14ac:dyDescent="0.15">
      <c r="A115" s="284"/>
      <c r="B115" s="284"/>
      <c r="C115" s="284"/>
      <c r="D115" s="284"/>
      <c r="E115" s="284"/>
      <c r="F115" s="284"/>
      <c r="G115" s="284"/>
      <c r="H115" s="284"/>
      <c r="I115" s="284"/>
      <c r="J115" s="284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  <c r="AA115" s="284"/>
      <c r="AB115" s="284"/>
      <c r="AC115" s="284"/>
      <c r="AD115" s="284"/>
      <c r="AE115" s="284"/>
      <c r="AF115" s="284"/>
      <c r="AG115" s="284"/>
      <c r="AH115" s="284"/>
      <c r="AI115" s="284"/>
      <c r="AJ115" s="284"/>
      <c r="AK115" s="284"/>
      <c r="AL115" s="284"/>
      <c r="AM115" s="284"/>
      <c r="AN115" s="284"/>
      <c r="AO115" s="284"/>
      <c r="AP115" s="284"/>
    </row>
    <row r="116" spans="1:42" customFormat="1" ht="13" x14ac:dyDescent="0.15">
      <c r="A116" s="284"/>
      <c r="B116" s="284"/>
      <c r="C116" s="284"/>
      <c r="D116" s="284"/>
      <c r="E116" s="284"/>
      <c r="F116" s="284"/>
      <c r="G116" s="284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</row>
    <row r="117" spans="1:42" customFormat="1" ht="13" x14ac:dyDescent="0.15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</row>
    <row r="118" spans="1:42" customFormat="1" ht="13" x14ac:dyDescent="0.15">
      <c r="A118" s="284"/>
      <c r="B118" s="284"/>
      <c r="C118" s="284"/>
      <c r="D118" s="284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</row>
    <row r="119" spans="1:42" customFormat="1" ht="13" x14ac:dyDescent="0.15">
      <c r="A119" s="284"/>
      <c r="B119" s="284"/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4"/>
      <c r="AL119" s="284"/>
      <c r="AM119" s="284"/>
      <c r="AN119" s="284"/>
      <c r="AO119" s="284"/>
      <c r="AP119" s="284"/>
    </row>
    <row r="120" spans="1:42" customFormat="1" ht="13" x14ac:dyDescent="0.15">
      <c r="A120" s="284"/>
      <c r="B120" s="284"/>
      <c r="C120" s="284"/>
      <c r="D120" s="284"/>
      <c r="E120" s="284"/>
      <c r="F120" s="284"/>
      <c r="G120" s="284"/>
      <c r="H120" s="284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4"/>
      <c r="AL120" s="284"/>
      <c r="AM120" s="284"/>
      <c r="AN120" s="284"/>
      <c r="AO120" s="284"/>
      <c r="AP120" s="284"/>
    </row>
    <row r="121" spans="1:42" customFormat="1" ht="13" x14ac:dyDescent="0.15">
      <c r="A121" s="284"/>
      <c r="B121" s="284"/>
      <c r="C121" s="2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</row>
    <row r="122" spans="1:42" customFormat="1" ht="13" x14ac:dyDescent="0.15">
      <c r="A122" s="284"/>
      <c r="B122" s="284"/>
      <c r="C122" s="284"/>
      <c r="D122" s="284"/>
      <c r="E122" s="284"/>
      <c r="F122" s="284"/>
      <c r="G122" s="284"/>
      <c r="H122" s="284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</row>
    <row r="123" spans="1:42" customFormat="1" ht="13" x14ac:dyDescent="0.15">
      <c r="A123" s="284"/>
      <c r="B123" s="284"/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4"/>
      <c r="AL123" s="284"/>
      <c r="AM123" s="284"/>
      <c r="AN123" s="284"/>
      <c r="AO123" s="284"/>
      <c r="AP123" s="284"/>
    </row>
    <row r="124" spans="1:42" customFormat="1" ht="13" x14ac:dyDescent="0.15">
      <c r="A124" s="284"/>
      <c r="B124" s="284"/>
      <c r="C124" s="2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</row>
    <row r="125" spans="1:42" customFormat="1" ht="13" x14ac:dyDescent="0.15">
      <c r="A125" s="284"/>
      <c r="B125" s="284"/>
      <c r="C125" s="284"/>
      <c r="D125" s="284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</row>
    <row r="126" spans="1:42" customFormat="1" ht="13" x14ac:dyDescent="0.15">
      <c r="A126" s="284"/>
      <c r="B126" s="284"/>
      <c r="C126" s="284"/>
      <c r="D126" s="284"/>
      <c r="E126" s="284"/>
      <c r="F126" s="284"/>
      <c r="G126" s="284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</row>
    <row r="127" spans="1:42" customFormat="1" ht="13" x14ac:dyDescent="0.15">
      <c r="A127" s="284"/>
      <c r="B127" s="284"/>
      <c r="C127" s="2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284"/>
      <c r="AA127" s="284"/>
      <c r="AB127" s="284"/>
      <c r="AC127" s="284"/>
      <c r="AD127" s="284"/>
      <c r="AE127" s="284"/>
      <c r="AF127" s="284"/>
      <c r="AG127" s="284"/>
      <c r="AH127" s="284"/>
      <c r="AI127" s="284"/>
      <c r="AJ127" s="284"/>
      <c r="AK127" s="284"/>
      <c r="AL127" s="284"/>
      <c r="AM127" s="284"/>
      <c r="AN127" s="284"/>
      <c r="AO127" s="284"/>
      <c r="AP127" s="284"/>
    </row>
    <row r="128" spans="1:42" customFormat="1" ht="13" x14ac:dyDescent="0.15">
      <c r="A128" s="284"/>
      <c r="B128" s="284"/>
      <c r="C128" s="284"/>
      <c r="D128" s="284"/>
      <c r="E128" s="284"/>
      <c r="F128" s="284"/>
      <c r="G128" s="284"/>
      <c r="H128" s="284"/>
      <c r="I128" s="284"/>
      <c r="J128" s="284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  <c r="AA128" s="284"/>
      <c r="AB128" s="284"/>
      <c r="AC128" s="284"/>
      <c r="AD128" s="284"/>
      <c r="AE128" s="284"/>
      <c r="AF128" s="284"/>
      <c r="AG128" s="284"/>
      <c r="AH128" s="284"/>
      <c r="AI128" s="284"/>
      <c r="AJ128" s="284"/>
      <c r="AK128" s="284"/>
      <c r="AL128" s="284"/>
      <c r="AM128" s="284"/>
      <c r="AN128" s="284"/>
      <c r="AO128" s="284"/>
      <c r="AP128" s="284"/>
    </row>
    <row r="129" spans="1:42" customFormat="1" ht="13" x14ac:dyDescent="0.15">
      <c r="A129" s="284"/>
      <c r="B129" s="284"/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</row>
    <row r="130" spans="1:42" customFormat="1" ht="13" x14ac:dyDescent="0.15">
      <c r="A130" s="284"/>
      <c r="B130" s="284"/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</row>
    <row r="131" spans="1:42" customFormat="1" ht="13" x14ac:dyDescent="0.15">
      <c r="A131" s="284"/>
      <c r="B131" s="284"/>
      <c r="C131" s="284"/>
      <c r="D131" s="284"/>
      <c r="E131" s="284"/>
      <c r="F131" s="284"/>
      <c r="G131" s="284"/>
      <c r="H131" s="284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  <c r="AA131" s="284"/>
      <c r="AB131" s="284"/>
      <c r="AC131" s="284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</row>
    <row r="132" spans="1:42" customFormat="1" ht="13" x14ac:dyDescent="0.15">
      <c r="A132" s="284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  <c r="AA132" s="284"/>
      <c r="AB132" s="284"/>
      <c r="AC132" s="284"/>
      <c r="AD132" s="284"/>
      <c r="AE132" s="284"/>
      <c r="AF132" s="284"/>
      <c r="AG132" s="284"/>
      <c r="AH132" s="284"/>
      <c r="AI132" s="284"/>
      <c r="AJ132" s="284"/>
      <c r="AK132" s="284"/>
      <c r="AL132" s="284"/>
      <c r="AM132" s="284"/>
      <c r="AN132" s="284"/>
      <c r="AO132" s="284"/>
      <c r="AP132" s="284"/>
    </row>
    <row r="133" spans="1:42" customFormat="1" ht="13" x14ac:dyDescent="0.15">
      <c r="A133" s="284"/>
      <c r="B133" s="284"/>
      <c r="C133" s="284"/>
      <c r="D133" s="284"/>
      <c r="E133" s="284"/>
      <c r="F133" s="284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</row>
    <row r="134" spans="1:42" customFormat="1" ht="13" x14ac:dyDescent="0.15">
      <c r="A134" s="284"/>
      <c r="B134" s="284"/>
      <c r="C134" s="284"/>
      <c r="D134" s="284"/>
      <c r="E134" s="284"/>
      <c r="F134" s="284"/>
      <c r="G134" s="284"/>
      <c r="H134" s="284"/>
      <c r="I134" s="284"/>
      <c r="J134" s="284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</row>
    <row r="135" spans="1:42" customFormat="1" ht="13" x14ac:dyDescent="0.15">
      <c r="A135" s="284"/>
      <c r="B135" s="284"/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  <c r="AA135" s="284"/>
      <c r="AB135" s="284"/>
      <c r="AC135" s="284"/>
      <c r="AD135" s="284"/>
      <c r="AE135" s="284"/>
      <c r="AF135" s="284"/>
      <c r="AG135" s="284"/>
      <c r="AH135" s="284"/>
      <c r="AI135" s="284"/>
      <c r="AJ135" s="284"/>
      <c r="AK135" s="284"/>
      <c r="AL135" s="284"/>
      <c r="AM135" s="284"/>
      <c r="AN135" s="284"/>
      <c r="AO135" s="284"/>
      <c r="AP135" s="284"/>
    </row>
    <row r="136" spans="1:42" customFormat="1" ht="13" x14ac:dyDescent="0.15">
      <c r="A136" s="284"/>
      <c r="B136" s="284"/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  <c r="AA136" s="284"/>
      <c r="AB136" s="284"/>
      <c r="AC136" s="284"/>
      <c r="AD136" s="284"/>
      <c r="AE136" s="284"/>
      <c r="AF136" s="284"/>
      <c r="AG136" s="284"/>
      <c r="AH136" s="284"/>
      <c r="AI136" s="284"/>
      <c r="AJ136" s="284"/>
      <c r="AK136" s="284"/>
      <c r="AL136" s="284"/>
      <c r="AM136" s="284"/>
      <c r="AN136" s="284"/>
      <c r="AO136" s="284"/>
      <c r="AP136" s="284"/>
    </row>
    <row r="137" spans="1:42" customFormat="1" ht="13" x14ac:dyDescent="0.15">
      <c r="A137" s="284"/>
      <c r="B137" s="284"/>
      <c r="C137" s="284"/>
      <c r="D137" s="284"/>
      <c r="E137" s="284"/>
      <c r="F137" s="284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</row>
    <row r="138" spans="1:42" customFormat="1" ht="13" x14ac:dyDescent="0.15">
      <c r="A138" s="284"/>
      <c r="B138" s="284"/>
      <c r="C138" s="284"/>
      <c r="D138" s="284"/>
      <c r="E138" s="284"/>
      <c r="F138" s="284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</row>
    <row r="139" spans="1:42" customFormat="1" ht="13" x14ac:dyDescent="0.15">
      <c r="A139" s="284"/>
      <c r="B139" s="284"/>
      <c r="C139" s="284"/>
      <c r="D139" s="284"/>
      <c r="E139" s="284"/>
      <c r="F139" s="284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  <c r="AA139" s="284"/>
      <c r="AB139" s="284"/>
      <c r="AC139" s="284"/>
      <c r="AD139" s="284"/>
      <c r="AE139" s="284"/>
      <c r="AF139" s="284"/>
      <c r="AG139" s="284"/>
      <c r="AH139" s="284"/>
      <c r="AI139" s="284"/>
      <c r="AJ139" s="284"/>
      <c r="AK139" s="284"/>
      <c r="AL139" s="284"/>
      <c r="AM139" s="284"/>
      <c r="AN139" s="284"/>
      <c r="AO139" s="284"/>
      <c r="AP139" s="284"/>
    </row>
    <row r="140" spans="1:42" customFormat="1" ht="13" x14ac:dyDescent="0.15">
      <c r="A140" s="284"/>
      <c r="B140" s="284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</row>
    <row r="141" spans="1:42" customFormat="1" ht="13" x14ac:dyDescent="0.15">
      <c r="A141" s="284"/>
      <c r="B141" s="284"/>
      <c r="C141" s="284"/>
      <c r="D141" s="284"/>
      <c r="E141" s="284"/>
      <c r="F141" s="284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</row>
    <row r="142" spans="1:42" customFormat="1" ht="13" x14ac:dyDescent="0.15">
      <c r="A142" s="284"/>
      <c r="B142" s="284"/>
      <c r="C142" s="284"/>
      <c r="D142" s="284"/>
      <c r="E142" s="284"/>
      <c r="F142" s="284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</row>
    <row r="143" spans="1:42" customFormat="1" ht="13" x14ac:dyDescent="0.15">
      <c r="A143" s="284"/>
      <c r="B143" s="284"/>
      <c r="C143" s="284"/>
      <c r="D143" s="284"/>
      <c r="E143" s="284"/>
      <c r="F143" s="284"/>
      <c r="G143" s="284"/>
      <c r="H143" s="284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284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</row>
    <row r="144" spans="1:42" customFormat="1" ht="13" x14ac:dyDescent="0.15">
      <c r="A144" s="284"/>
      <c r="B144" s="284"/>
      <c r="C144" s="284"/>
      <c r="D144" s="284"/>
      <c r="E144" s="284"/>
      <c r="F144" s="284"/>
      <c r="G144" s="284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</row>
    <row r="145" spans="1:42" customFormat="1" ht="13" x14ac:dyDescent="0.15">
      <c r="A145" s="284"/>
      <c r="B145" s="284"/>
      <c r="C145" s="284"/>
      <c r="D145" s="284"/>
      <c r="E145" s="284"/>
      <c r="F145" s="284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</row>
    <row r="146" spans="1:42" customFormat="1" ht="13" x14ac:dyDescent="0.15">
      <c r="A146" s="284"/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</row>
    <row r="147" spans="1:42" customFormat="1" ht="13" x14ac:dyDescent="0.15">
      <c r="A147" s="284"/>
      <c r="B147" s="284"/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4"/>
      <c r="AL147" s="284"/>
      <c r="AM147" s="284"/>
      <c r="AN147" s="284"/>
      <c r="AO147" s="284"/>
      <c r="AP147" s="284"/>
    </row>
    <row r="148" spans="1:42" customFormat="1" ht="13" x14ac:dyDescent="0.15">
      <c r="A148" s="284"/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4"/>
      <c r="AL148" s="284"/>
      <c r="AM148" s="284"/>
      <c r="AN148" s="284"/>
      <c r="AO148" s="284"/>
      <c r="AP148" s="284"/>
    </row>
    <row r="149" spans="1:42" customFormat="1" ht="13" x14ac:dyDescent="0.15">
      <c r="A149" s="284"/>
      <c r="B149" s="284"/>
      <c r="C149" s="284"/>
      <c r="D149" s="284"/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</row>
    <row r="150" spans="1:42" customFormat="1" ht="13" x14ac:dyDescent="0.15">
      <c r="A150" s="284"/>
      <c r="B150" s="284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</row>
    <row r="151" spans="1:42" customFormat="1" ht="13" x14ac:dyDescent="0.15">
      <c r="A151" s="284"/>
      <c r="B151" s="284"/>
      <c r="C151" s="284"/>
      <c r="D151" s="284"/>
      <c r="E151" s="284"/>
      <c r="F151" s="284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4"/>
      <c r="AL151" s="284"/>
      <c r="AM151" s="284"/>
      <c r="AN151" s="284"/>
      <c r="AO151" s="284"/>
      <c r="AP151" s="284"/>
    </row>
    <row r="152" spans="1:42" customFormat="1" ht="13" x14ac:dyDescent="0.15">
      <c r="A152" s="284"/>
      <c r="B152" s="284"/>
      <c r="C152" s="284"/>
      <c r="D152" s="284"/>
      <c r="E152" s="284"/>
      <c r="F152" s="284"/>
      <c r="G152" s="284"/>
      <c r="H152" s="284"/>
      <c r="I152" s="284"/>
      <c r="J152" s="284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284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4"/>
      <c r="AL152" s="284"/>
      <c r="AM152" s="284"/>
      <c r="AN152" s="284"/>
      <c r="AO152" s="284"/>
      <c r="AP152" s="284"/>
    </row>
    <row r="153" spans="1:42" customFormat="1" ht="13" x14ac:dyDescent="0.15">
      <c r="A153" s="284"/>
      <c r="B153" s="284"/>
      <c r="C153" s="284"/>
      <c r="D153" s="284"/>
      <c r="E153" s="284"/>
      <c r="F153" s="284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</row>
    <row r="154" spans="1:42" customFormat="1" ht="13" x14ac:dyDescent="0.15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</row>
    <row r="155" spans="1:42" customFormat="1" ht="13" x14ac:dyDescent="0.15">
      <c r="A155" s="284"/>
      <c r="B155" s="284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</row>
    <row r="156" spans="1:42" customFormat="1" ht="13" x14ac:dyDescent="0.15">
      <c r="A156" s="284"/>
      <c r="B156" s="284"/>
      <c r="C156" s="284"/>
      <c r="D156" s="284"/>
      <c r="E156" s="284"/>
      <c r="F156" s="284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4"/>
      <c r="AL156" s="284"/>
      <c r="AM156" s="284"/>
      <c r="AN156" s="284"/>
      <c r="AO156" s="284"/>
      <c r="AP156" s="284"/>
    </row>
    <row r="157" spans="1:42" customFormat="1" ht="13" x14ac:dyDescent="0.15">
      <c r="A157" s="284"/>
      <c r="B157" s="284"/>
      <c r="C157" s="284"/>
      <c r="D157" s="284"/>
      <c r="E157" s="284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</row>
    <row r="158" spans="1:42" customFormat="1" ht="13" x14ac:dyDescent="0.15">
      <c r="A158" s="284"/>
      <c r="B158" s="284"/>
      <c r="C158" s="284"/>
      <c r="D158" s="284"/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</row>
    <row r="159" spans="1:42" customFormat="1" ht="13" x14ac:dyDescent="0.15">
      <c r="A159" s="284"/>
      <c r="B159" s="284"/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4"/>
      <c r="AL159" s="284"/>
      <c r="AM159" s="284"/>
      <c r="AN159" s="284"/>
      <c r="AO159" s="284"/>
      <c r="AP159" s="284"/>
    </row>
    <row r="160" spans="1:42" customFormat="1" ht="13" x14ac:dyDescent="0.15">
      <c r="A160" s="284"/>
      <c r="B160" s="284"/>
      <c r="C160" s="284"/>
      <c r="D160" s="284"/>
      <c r="E160" s="284"/>
      <c r="F160" s="284"/>
      <c r="G160" s="284"/>
      <c r="H160" s="284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284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4"/>
      <c r="AL160" s="284"/>
      <c r="AM160" s="284"/>
      <c r="AN160" s="284"/>
      <c r="AO160" s="284"/>
      <c r="AP160" s="284"/>
    </row>
    <row r="161" spans="1:42" customFormat="1" ht="13" x14ac:dyDescent="0.15">
      <c r="A161" s="284"/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</row>
    <row r="162" spans="1:42" customFormat="1" ht="13" x14ac:dyDescent="0.15">
      <c r="A162" s="284"/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</row>
    <row r="163" spans="1:42" customFormat="1" ht="13" x14ac:dyDescent="0.15">
      <c r="A163" s="284"/>
      <c r="B163" s="284"/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</row>
    <row r="164" spans="1:42" customFormat="1" ht="13" x14ac:dyDescent="0.15">
      <c r="A164" s="284"/>
      <c r="B164" s="284"/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  <c r="AA164" s="284"/>
      <c r="AB164" s="284"/>
      <c r="AC164" s="284"/>
      <c r="AD164" s="284"/>
      <c r="AE164" s="284"/>
      <c r="AF164" s="284"/>
      <c r="AG164" s="284"/>
      <c r="AH164" s="284"/>
      <c r="AI164" s="284"/>
      <c r="AJ164" s="284"/>
      <c r="AK164" s="284"/>
      <c r="AL164" s="284"/>
      <c r="AM164" s="284"/>
      <c r="AN164" s="284"/>
      <c r="AO164" s="284"/>
      <c r="AP164" s="284"/>
    </row>
    <row r="165" spans="1:42" customFormat="1" ht="13" x14ac:dyDescent="0.15">
      <c r="A165" s="284"/>
      <c r="B165" s="284"/>
      <c r="C165" s="284"/>
      <c r="D165" s="284"/>
      <c r="E165" s="284"/>
      <c r="F165" s="284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</row>
    <row r="166" spans="1:42" customFormat="1" ht="13" x14ac:dyDescent="0.15">
      <c r="A166" s="284"/>
      <c r="B166" s="284"/>
      <c r="C166" s="284"/>
      <c r="D166" s="284"/>
      <c r="E166" s="284"/>
      <c r="F166" s="284"/>
      <c r="G166" s="284"/>
      <c r="H166" s="284"/>
      <c r="I166" s="284"/>
      <c r="J166" s="284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</row>
    <row r="167" spans="1:42" customFormat="1" ht="13" x14ac:dyDescent="0.15">
      <c r="A167" s="284"/>
      <c r="B167" s="284"/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284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4"/>
      <c r="AL167" s="284"/>
      <c r="AM167" s="284"/>
      <c r="AN167" s="284"/>
      <c r="AO167" s="284"/>
      <c r="AP167" s="284"/>
    </row>
    <row r="168" spans="1:42" customFormat="1" ht="13" x14ac:dyDescent="0.15">
      <c r="A168" s="284"/>
      <c r="B168" s="284"/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</row>
    <row r="169" spans="1:42" customFormat="1" ht="13" x14ac:dyDescent="0.15">
      <c r="A169" s="284"/>
      <c r="B169" s="284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</row>
    <row r="170" spans="1:42" customFormat="1" ht="13" x14ac:dyDescent="0.15">
      <c r="A170" s="284"/>
      <c r="B170" s="284"/>
      <c r="C170" s="284"/>
      <c r="D170" s="284"/>
      <c r="E170" s="284"/>
      <c r="F170" s="284"/>
      <c r="G170" s="284"/>
      <c r="H170" s="284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</row>
    <row r="171" spans="1:42" customFormat="1" ht="13" x14ac:dyDescent="0.15">
      <c r="A171" s="284"/>
      <c r="B171" s="284"/>
      <c r="C171" s="284"/>
      <c r="D171" s="284"/>
      <c r="E171" s="284"/>
      <c r="F171" s="284"/>
      <c r="G171" s="284"/>
      <c r="H171" s="284"/>
      <c r="I171" s="284"/>
      <c r="J171" s="284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</row>
    <row r="172" spans="1:42" customFormat="1" ht="13" x14ac:dyDescent="0.15">
      <c r="A172" s="284"/>
      <c r="B172" s="284"/>
      <c r="C172" s="284"/>
      <c r="D172" s="284"/>
      <c r="E172" s="284"/>
      <c r="F172" s="284"/>
      <c r="G172" s="284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  <c r="AA172" s="284"/>
      <c r="AB172" s="284"/>
      <c r="AC172" s="284"/>
      <c r="AD172" s="284"/>
      <c r="AE172" s="284"/>
      <c r="AF172" s="284"/>
      <c r="AG172" s="284"/>
      <c r="AH172" s="284"/>
      <c r="AI172" s="284"/>
      <c r="AJ172" s="284"/>
      <c r="AK172" s="284"/>
      <c r="AL172" s="284"/>
      <c r="AM172" s="284"/>
      <c r="AN172" s="284"/>
      <c r="AO172" s="284"/>
      <c r="AP172" s="284"/>
    </row>
    <row r="173" spans="1:42" customFormat="1" ht="13" x14ac:dyDescent="0.15">
      <c r="A173" s="284"/>
      <c r="B173" s="284"/>
      <c r="C173" s="284"/>
      <c r="D173" s="284"/>
      <c r="E173" s="284"/>
      <c r="F173" s="284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</row>
    <row r="174" spans="1:42" customFormat="1" ht="13" x14ac:dyDescent="0.15">
      <c r="A174" s="284"/>
      <c r="B174" s="284"/>
      <c r="C174" s="284"/>
      <c r="D174" s="284"/>
      <c r="E174" s="284"/>
      <c r="F174" s="284"/>
      <c r="G174" s="284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</row>
    <row r="175" spans="1:42" customFormat="1" ht="13" x14ac:dyDescent="0.15">
      <c r="A175" s="284"/>
      <c r="B175" s="284"/>
      <c r="C175" s="284"/>
      <c r="D175" s="284"/>
      <c r="E175" s="284"/>
      <c r="F175" s="284"/>
      <c r="G175" s="284"/>
      <c r="H175" s="284"/>
      <c r="I175" s="284"/>
      <c r="J175" s="284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284"/>
      <c r="AA175" s="284"/>
      <c r="AB175" s="284"/>
      <c r="AC175" s="284"/>
      <c r="AD175" s="284"/>
      <c r="AE175" s="284"/>
      <c r="AF175" s="284"/>
      <c r="AG175" s="284"/>
      <c r="AH175" s="284"/>
      <c r="AI175" s="284"/>
      <c r="AJ175" s="284"/>
      <c r="AK175" s="284"/>
      <c r="AL175" s="284"/>
      <c r="AM175" s="284"/>
      <c r="AN175" s="284"/>
      <c r="AO175" s="284"/>
      <c r="AP175" s="284"/>
    </row>
    <row r="176" spans="1:42" customFormat="1" ht="13" x14ac:dyDescent="0.15">
      <c r="A176" s="284"/>
      <c r="B176" s="284"/>
      <c r="C176" s="284"/>
      <c r="D176" s="284"/>
      <c r="E176" s="284"/>
      <c r="F176" s="284"/>
      <c r="G176" s="284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  <c r="AA176" s="284"/>
      <c r="AB176" s="284"/>
      <c r="AC176" s="284"/>
      <c r="AD176" s="284"/>
      <c r="AE176" s="284"/>
      <c r="AF176" s="284"/>
      <c r="AG176" s="284"/>
      <c r="AH176" s="284"/>
      <c r="AI176" s="284"/>
      <c r="AJ176" s="284"/>
      <c r="AK176" s="284"/>
      <c r="AL176" s="284"/>
      <c r="AM176" s="284"/>
      <c r="AN176" s="284"/>
      <c r="AO176" s="284"/>
      <c r="AP176" s="284"/>
    </row>
    <row r="177" spans="1:42" customFormat="1" ht="13" x14ac:dyDescent="0.15">
      <c r="A177" s="284"/>
      <c r="B177" s="284"/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</row>
    <row r="178" spans="1:42" customFormat="1" ht="13" x14ac:dyDescent="0.15">
      <c r="A178" s="284"/>
      <c r="B178" s="284"/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</row>
    <row r="179" spans="1:42" customFormat="1" ht="13" x14ac:dyDescent="0.15">
      <c r="A179" s="284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284"/>
      <c r="AG179" s="284"/>
      <c r="AH179" s="284"/>
      <c r="AI179" s="284"/>
      <c r="AJ179" s="284"/>
      <c r="AK179" s="284"/>
      <c r="AL179" s="284"/>
      <c r="AM179" s="284"/>
      <c r="AN179" s="284"/>
      <c r="AO179" s="284"/>
      <c r="AP179" s="284"/>
    </row>
    <row r="180" spans="1:42" customFormat="1" ht="13" x14ac:dyDescent="0.15">
      <c r="A180" s="284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  <c r="AA180" s="284"/>
      <c r="AB180" s="284"/>
      <c r="AC180" s="284"/>
      <c r="AD180" s="284"/>
      <c r="AE180" s="284"/>
      <c r="AF180" s="284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</row>
    <row r="181" spans="1:42" customFormat="1" ht="13" x14ac:dyDescent="0.15">
      <c r="A181" s="284"/>
      <c r="B181" s="284"/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</row>
    <row r="182" spans="1:42" customFormat="1" ht="13" x14ac:dyDescent="0.15">
      <c r="A182" s="284"/>
      <c r="B182" s="284"/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</row>
    <row r="183" spans="1:42" customFormat="1" ht="13" x14ac:dyDescent="0.15">
      <c r="A183" s="284"/>
      <c r="B183" s="284"/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284"/>
      <c r="AA183" s="284"/>
      <c r="AB183" s="284"/>
      <c r="AC183" s="284"/>
      <c r="AD183" s="284"/>
      <c r="AE183" s="284"/>
      <c r="AF183" s="284"/>
      <c r="AG183" s="284"/>
      <c r="AH183" s="284"/>
      <c r="AI183" s="284"/>
      <c r="AJ183" s="284"/>
      <c r="AK183" s="284"/>
      <c r="AL183" s="284"/>
      <c r="AM183" s="284"/>
      <c r="AN183" s="284"/>
      <c r="AO183" s="284"/>
      <c r="AP183" s="284"/>
    </row>
    <row r="184" spans="1:42" customFormat="1" ht="13" x14ac:dyDescent="0.15">
      <c r="A184" s="284"/>
      <c r="B184" s="284"/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G184" s="284"/>
      <c r="AH184" s="284"/>
      <c r="AI184" s="284"/>
      <c r="AJ184" s="284"/>
      <c r="AK184" s="284"/>
      <c r="AL184" s="284"/>
      <c r="AM184" s="284"/>
      <c r="AN184" s="284"/>
      <c r="AO184" s="284"/>
      <c r="AP184" s="284"/>
    </row>
    <row r="185" spans="1:42" customFormat="1" ht="13" x14ac:dyDescent="0.15">
      <c r="A185" s="284"/>
      <c r="B185" s="284"/>
      <c r="C185" s="284"/>
      <c r="D185" s="284"/>
      <c r="E185" s="284"/>
      <c r="F185" s="284"/>
      <c r="G185" s="284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4"/>
      <c r="AG185" s="284"/>
      <c r="AH185" s="284"/>
      <c r="AI185" s="284"/>
      <c r="AJ185" s="284"/>
      <c r="AK185" s="284"/>
      <c r="AL185" s="284"/>
      <c r="AM185" s="284"/>
      <c r="AN185" s="284"/>
      <c r="AO185" s="284"/>
      <c r="AP185" s="284"/>
    </row>
    <row r="186" spans="1:42" customFormat="1" ht="13" x14ac:dyDescent="0.15">
      <c r="A186" s="284"/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  <c r="AA186" s="284"/>
      <c r="AB186" s="284"/>
      <c r="AC186" s="284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4"/>
      <c r="AN186" s="284"/>
      <c r="AO186" s="284"/>
      <c r="AP186" s="284"/>
    </row>
    <row r="187" spans="1:42" customFormat="1" ht="13" x14ac:dyDescent="0.15">
      <c r="A187" s="284"/>
      <c r="B187" s="284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G187" s="284"/>
      <c r="AH187" s="284"/>
      <c r="AI187" s="284"/>
      <c r="AJ187" s="284"/>
      <c r="AK187" s="284"/>
      <c r="AL187" s="284"/>
      <c r="AM187" s="284"/>
      <c r="AN187" s="284"/>
      <c r="AO187" s="284"/>
      <c r="AP187" s="284"/>
    </row>
    <row r="188" spans="1:42" customFormat="1" ht="13" x14ac:dyDescent="0.15">
      <c r="A188" s="284"/>
      <c r="B188" s="284"/>
      <c r="C188" s="284"/>
      <c r="D188" s="284"/>
      <c r="E188" s="284"/>
      <c r="F188" s="284"/>
      <c r="G188" s="284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284"/>
      <c r="AA188" s="284"/>
      <c r="AB188" s="284"/>
      <c r="AC188" s="284"/>
      <c r="AD188" s="284"/>
      <c r="AE188" s="284"/>
      <c r="AF188" s="284"/>
      <c r="AG188" s="284"/>
      <c r="AH188" s="284"/>
      <c r="AI188" s="284"/>
      <c r="AJ188" s="284"/>
      <c r="AK188" s="284"/>
      <c r="AL188" s="284"/>
      <c r="AM188" s="284"/>
      <c r="AN188" s="284"/>
      <c r="AO188" s="284"/>
      <c r="AP188" s="284"/>
    </row>
    <row r="189" spans="1:42" customFormat="1" ht="13" x14ac:dyDescent="0.15">
      <c r="A189" s="284"/>
      <c r="B189" s="284"/>
      <c r="C189" s="284"/>
      <c r="D189" s="284"/>
      <c r="E189" s="284"/>
      <c r="F189" s="284"/>
      <c r="G189" s="284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284"/>
      <c r="AA189" s="284"/>
      <c r="AB189" s="284"/>
      <c r="AC189" s="284"/>
      <c r="AD189" s="284"/>
      <c r="AE189" s="284"/>
      <c r="AF189" s="284"/>
      <c r="AG189" s="284"/>
      <c r="AH189" s="284"/>
      <c r="AI189" s="284"/>
      <c r="AJ189" s="284"/>
      <c r="AK189" s="284"/>
      <c r="AL189" s="284"/>
      <c r="AM189" s="284"/>
      <c r="AN189" s="284"/>
      <c r="AO189" s="284"/>
      <c r="AP189" s="284"/>
    </row>
    <row r="190" spans="1:42" customFormat="1" ht="13" x14ac:dyDescent="0.15">
      <c r="A190" s="284"/>
      <c r="B190" s="284"/>
      <c r="C190" s="284"/>
      <c r="D190" s="284"/>
      <c r="E190" s="284"/>
      <c r="F190" s="284"/>
      <c r="G190" s="284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84"/>
      <c r="AI190" s="284"/>
      <c r="AJ190" s="284"/>
      <c r="AK190" s="284"/>
      <c r="AL190" s="284"/>
      <c r="AM190" s="284"/>
      <c r="AN190" s="284"/>
      <c r="AO190" s="284"/>
      <c r="AP190" s="284"/>
    </row>
    <row r="191" spans="1:42" customFormat="1" ht="13" x14ac:dyDescent="0.15">
      <c r="A191" s="284"/>
      <c r="B191" s="284"/>
      <c r="C191" s="284"/>
      <c r="D191" s="284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284"/>
      <c r="AA191" s="284"/>
      <c r="AB191" s="284"/>
      <c r="AC191" s="284"/>
      <c r="AD191" s="284"/>
      <c r="AE191" s="284"/>
      <c r="AF191" s="284"/>
      <c r="AG191" s="284"/>
      <c r="AH191" s="284"/>
      <c r="AI191" s="284"/>
      <c r="AJ191" s="284"/>
      <c r="AK191" s="284"/>
      <c r="AL191" s="284"/>
      <c r="AM191" s="284"/>
      <c r="AN191" s="284"/>
      <c r="AO191" s="284"/>
      <c r="AP191" s="284"/>
    </row>
    <row r="192" spans="1:42" customFormat="1" ht="13" x14ac:dyDescent="0.15">
      <c r="A192" s="284"/>
      <c r="B192" s="284"/>
      <c r="C192" s="284"/>
      <c r="D192" s="284"/>
      <c r="E192" s="284"/>
      <c r="F192" s="284"/>
      <c r="G192" s="284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284"/>
      <c r="AA192" s="284"/>
      <c r="AB192" s="284"/>
      <c r="AC192" s="284"/>
      <c r="AD192" s="284"/>
      <c r="AE192" s="284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</row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customFormat="1" ht="13" x14ac:dyDescent="0.15"/>
    <row r="418" customFormat="1" ht="13" x14ac:dyDescent="0.15"/>
    <row r="419" customFormat="1" ht="13" x14ac:dyDescent="0.15"/>
    <row r="420" customFormat="1" ht="13" x14ac:dyDescent="0.15"/>
    <row r="421" customFormat="1" ht="13" x14ac:dyDescent="0.15"/>
    <row r="422" customFormat="1" ht="13" x14ac:dyDescent="0.15"/>
    <row r="423" customFormat="1" ht="13" x14ac:dyDescent="0.15"/>
    <row r="424" customFormat="1" ht="13" x14ac:dyDescent="0.15"/>
    <row r="425" customFormat="1" ht="13" x14ac:dyDescent="0.15"/>
    <row r="426" customFormat="1" ht="13" x14ac:dyDescent="0.15"/>
    <row r="427" customFormat="1" ht="13" x14ac:dyDescent="0.15"/>
    <row r="428" customFormat="1" ht="13" x14ac:dyDescent="0.15"/>
    <row r="429" customFormat="1" ht="13" x14ac:dyDescent="0.15"/>
    <row r="430" customFormat="1" ht="13" x14ac:dyDescent="0.15"/>
    <row r="431" customFormat="1" ht="13" x14ac:dyDescent="0.15"/>
    <row r="432" customFormat="1" ht="13" x14ac:dyDescent="0.15"/>
    <row r="433" customFormat="1" ht="13" x14ac:dyDescent="0.15"/>
    <row r="434" customFormat="1" ht="13" x14ac:dyDescent="0.15"/>
    <row r="435" customFormat="1" ht="13" x14ac:dyDescent="0.15"/>
    <row r="436" customFormat="1" ht="13" x14ac:dyDescent="0.15"/>
    <row r="437" customFormat="1" ht="13" x14ac:dyDescent="0.15"/>
    <row r="438" customFormat="1" ht="13" x14ac:dyDescent="0.15"/>
    <row r="439" customFormat="1" ht="13" x14ac:dyDescent="0.15"/>
    <row r="440" customFormat="1" ht="13" x14ac:dyDescent="0.15"/>
    <row r="441" customFormat="1" ht="13" x14ac:dyDescent="0.15"/>
    <row r="442" customFormat="1" ht="13" x14ac:dyDescent="0.15"/>
    <row r="443" customFormat="1" ht="13" x14ac:dyDescent="0.15"/>
    <row r="444" customFormat="1" ht="13" x14ac:dyDescent="0.15"/>
    <row r="445" customFormat="1" ht="13" x14ac:dyDescent="0.15"/>
    <row r="446" customFormat="1" ht="13" x14ac:dyDescent="0.15"/>
    <row r="447" customFormat="1" ht="13" x14ac:dyDescent="0.15"/>
    <row r="448" customFormat="1" ht="13" x14ac:dyDescent="0.15"/>
    <row r="449" spans="25:40" customFormat="1" ht="13" x14ac:dyDescent="0.15"/>
    <row r="450" spans="25:40" customFormat="1" ht="13" x14ac:dyDescent="0.15"/>
    <row r="451" spans="25:40" customFormat="1" ht="13" x14ac:dyDescent="0.15"/>
    <row r="452" spans="25:40" customFormat="1" ht="13" x14ac:dyDescent="0.15"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</row>
    <row r="453" spans="25:40" customFormat="1" ht="13" x14ac:dyDescent="0.15"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  <c r="AM453" s="284"/>
      <c r="AN453" s="284"/>
    </row>
    <row r="454" spans="25:40" customFormat="1" ht="13" x14ac:dyDescent="0.15"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</row>
    <row r="455" spans="25:40" customFormat="1" ht="13" x14ac:dyDescent="0.15"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</row>
    <row r="456" spans="25:40" customFormat="1" ht="13" x14ac:dyDescent="0.15"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</row>
    <row r="457" spans="25:40" customFormat="1" ht="13" x14ac:dyDescent="0.15"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  <c r="AM457" s="284"/>
      <c r="AN457" s="284"/>
    </row>
    <row r="458" spans="25:40" customFormat="1" ht="13" x14ac:dyDescent="0.15"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  <c r="AM458" s="284"/>
      <c r="AN458" s="284"/>
    </row>
    <row r="459" spans="25:40" customFormat="1" ht="13" x14ac:dyDescent="0.15"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</row>
    <row r="460" spans="25:40" customFormat="1" ht="13" x14ac:dyDescent="0.15"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</row>
    <row r="461" spans="25:40" customFormat="1" ht="13" x14ac:dyDescent="0.15"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  <c r="AM461" s="284"/>
      <c r="AN461" s="284"/>
    </row>
    <row r="462" spans="25:40" customFormat="1" ht="13" x14ac:dyDescent="0.15"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</row>
    <row r="463" spans="25:40" customFormat="1" ht="13" x14ac:dyDescent="0.15"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</row>
    <row r="464" spans="25:40" customFormat="1" ht="13" x14ac:dyDescent="0.15"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</row>
    <row r="465" spans="25:40" customFormat="1" ht="13" x14ac:dyDescent="0.15"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  <c r="AM465" s="284"/>
      <c r="AN465" s="284"/>
    </row>
    <row r="466" spans="25:40" customFormat="1" ht="13" x14ac:dyDescent="0.15"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  <c r="AM466" s="284"/>
      <c r="AN466" s="284"/>
    </row>
    <row r="467" spans="25:40" customFormat="1" ht="13" x14ac:dyDescent="0.15"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</row>
    <row r="468" spans="25:40" customFormat="1" ht="13" x14ac:dyDescent="0.15"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  <c r="AM468" s="284"/>
      <c r="AN468" s="284"/>
    </row>
    <row r="469" spans="25:40" customFormat="1" ht="13" x14ac:dyDescent="0.15"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  <c r="AM469" s="284"/>
      <c r="AN469" s="284"/>
    </row>
    <row r="470" spans="25:40" customFormat="1" ht="13" x14ac:dyDescent="0.15"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  <c r="AM470" s="284"/>
      <c r="AN470" s="284"/>
    </row>
    <row r="471" spans="25:40" customFormat="1" ht="13" x14ac:dyDescent="0.15"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  <c r="AM471" s="284"/>
      <c r="AN471" s="284"/>
    </row>
    <row r="472" spans="25:40" customFormat="1" ht="13" x14ac:dyDescent="0.15"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  <c r="AM472" s="284"/>
      <c r="AN472" s="284"/>
    </row>
    <row r="473" spans="25:40" customFormat="1" ht="13" x14ac:dyDescent="0.15"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  <c r="AM473" s="284"/>
      <c r="AN473" s="284"/>
    </row>
    <row r="474" spans="25:40" customFormat="1" ht="13" x14ac:dyDescent="0.15"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  <c r="AM474" s="284"/>
      <c r="AN474" s="284"/>
    </row>
    <row r="475" spans="25:40" customFormat="1" ht="13" x14ac:dyDescent="0.15"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  <c r="AM475" s="284"/>
      <c r="AN475" s="284"/>
    </row>
    <row r="476" spans="25:40" customFormat="1" ht="13" x14ac:dyDescent="0.15"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  <c r="AM476" s="284"/>
      <c r="AN476" s="284"/>
    </row>
    <row r="477" spans="25:40" customFormat="1" ht="13" x14ac:dyDescent="0.15"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  <c r="AM477" s="284"/>
      <c r="AN477" s="284"/>
    </row>
    <row r="478" spans="25:40" customFormat="1" ht="13" x14ac:dyDescent="0.15"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  <c r="AM478" s="284"/>
      <c r="AN478" s="284"/>
    </row>
    <row r="479" spans="25:40" customFormat="1" ht="13" x14ac:dyDescent="0.15"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</row>
    <row r="480" spans="25:40" customFormat="1" ht="13" x14ac:dyDescent="0.15"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</row>
    <row r="481" spans="25:40" customFormat="1" ht="13" x14ac:dyDescent="0.15"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</row>
    <row r="482" spans="25:40" customFormat="1" ht="13" x14ac:dyDescent="0.15"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</row>
    <row r="483" spans="25:40" customFormat="1" ht="13" x14ac:dyDescent="0.15"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  <c r="AM483" s="284"/>
      <c r="AN483" s="284"/>
    </row>
    <row r="484" spans="25:40" customFormat="1" ht="13" x14ac:dyDescent="0.15"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  <c r="AM484" s="284"/>
      <c r="AN484" s="284"/>
    </row>
    <row r="485" spans="25:40" customFormat="1" ht="13" x14ac:dyDescent="0.15"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</row>
    <row r="486" spans="25:40" customFormat="1" ht="13" x14ac:dyDescent="0.15"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</row>
    <row r="487" spans="25:40" customFormat="1" ht="13" x14ac:dyDescent="0.15"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</row>
    <row r="488" spans="25:40" customFormat="1" ht="13" x14ac:dyDescent="0.15"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</row>
    <row r="489" spans="25:40" customFormat="1" ht="13" x14ac:dyDescent="0.15"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</row>
    <row r="490" spans="25:40" customFormat="1" ht="13" x14ac:dyDescent="0.15"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</row>
    <row r="491" spans="25:40" customFormat="1" ht="13" x14ac:dyDescent="0.15"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  <c r="AM491" s="284"/>
      <c r="AN491" s="284"/>
    </row>
    <row r="492" spans="25:40" customFormat="1" ht="13" x14ac:dyDescent="0.15"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  <c r="AM492" s="284"/>
      <c r="AN492" s="284"/>
    </row>
    <row r="493" spans="25:40" customFormat="1" ht="13" x14ac:dyDescent="0.15"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</row>
    <row r="494" spans="25:40" customFormat="1" ht="13" x14ac:dyDescent="0.15"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</row>
    <row r="495" spans="25:40" customFormat="1" ht="13" x14ac:dyDescent="0.15"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  <c r="AM495" s="284"/>
      <c r="AN495" s="284"/>
    </row>
    <row r="496" spans="25:40" customFormat="1" ht="13" x14ac:dyDescent="0.15"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  <c r="AM496" s="284"/>
      <c r="AN496" s="284"/>
    </row>
    <row r="497" spans="25:40" customFormat="1" ht="13" x14ac:dyDescent="0.15"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</row>
    <row r="498" spans="25:40" customFormat="1" ht="13" x14ac:dyDescent="0.15"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</row>
    <row r="499" spans="25:40" customFormat="1" ht="13" x14ac:dyDescent="0.15"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  <c r="AM499" s="284"/>
      <c r="AN499" s="284"/>
    </row>
    <row r="500" spans="25:40" customFormat="1" ht="13" x14ac:dyDescent="0.15"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  <c r="AM500" s="284"/>
      <c r="AN500" s="284"/>
    </row>
    <row r="501" spans="25:40" customFormat="1" ht="13" x14ac:dyDescent="0.15"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</row>
    <row r="502" spans="25:40" customFormat="1" ht="13" x14ac:dyDescent="0.15"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</row>
    <row r="503" spans="25:40" customFormat="1" ht="13" x14ac:dyDescent="0.15"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  <c r="AM503" s="284"/>
      <c r="AN503" s="284"/>
    </row>
    <row r="504" spans="25:40" customFormat="1" ht="13" x14ac:dyDescent="0.15"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  <c r="AM504" s="284"/>
      <c r="AN504" s="284"/>
    </row>
    <row r="505" spans="25:40" customFormat="1" ht="13" x14ac:dyDescent="0.15"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</row>
    <row r="506" spans="25:40" customFormat="1" ht="13" x14ac:dyDescent="0.15"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</row>
    <row r="507" spans="25:40" customFormat="1" ht="13" x14ac:dyDescent="0.15"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  <c r="AM507" s="284"/>
      <c r="AN507" s="284"/>
    </row>
    <row r="508" spans="25:40" customFormat="1" ht="13" x14ac:dyDescent="0.15"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  <c r="AM508" s="284"/>
      <c r="AN508" s="284"/>
    </row>
    <row r="509" spans="25:40" customFormat="1" ht="13" x14ac:dyDescent="0.15"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</row>
    <row r="510" spans="25:40" customFormat="1" ht="13" x14ac:dyDescent="0.15"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</row>
    <row r="511" spans="25:40" customFormat="1" ht="13" x14ac:dyDescent="0.15"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  <c r="AM511" s="284"/>
      <c r="AN511" s="284"/>
    </row>
    <row r="512" spans="25:40" customFormat="1" ht="13" x14ac:dyDescent="0.15"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  <c r="AM512" s="284"/>
      <c r="AN512" s="284"/>
    </row>
    <row r="513" spans="25:40" customFormat="1" ht="13" x14ac:dyDescent="0.15"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</row>
    <row r="514" spans="25:40" customFormat="1" ht="13" x14ac:dyDescent="0.15"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</row>
    <row r="515" spans="25:40" customFormat="1" ht="13" x14ac:dyDescent="0.15"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  <c r="AM515" s="284"/>
      <c r="AN515" s="284"/>
    </row>
    <row r="516" spans="25:40" customFormat="1" ht="13" x14ac:dyDescent="0.15"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  <c r="AM516" s="284"/>
      <c r="AN516" s="284"/>
    </row>
    <row r="517" spans="25:40" customFormat="1" ht="13" x14ac:dyDescent="0.15"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</row>
    <row r="518" spans="25:40" customFormat="1" ht="13" x14ac:dyDescent="0.15"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</row>
    <row r="519" spans="25:40" customFormat="1" ht="13" x14ac:dyDescent="0.15"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</row>
    <row r="520" spans="25:40" customFormat="1" ht="13" x14ac:dyDescent="0.15"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  <c r="AM520" s="284"/>
      <c r="AN520" s="284"/>
    </row>
    <row r="521" spans="25:40" customFormat="1" ht="13" x14ac:dyDescent="0.15"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</row>
    <row r="522" spans="25:40" customFormat="1" ht="13" x14ac:dyDescent="0.15"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</row>
    <row r="523" spans="25:40" customFormat="1" ht="13" x14ac:dyDescent="0.15"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  <c r="AM523" s="284"/>
      <c r="AN523" s="284"/>
    </row>
    <row r="524" spans="25:40" customFormat="1" ht="13" x14ac:dyDescent="0.15"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  <c r="AM524" s="284"/>
      <c r="AN524" s="284"/>
    </row>
    <row r="525" spans="25:40" customFormat="1" ht="13" x14ac:dyDescent="0.15"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</row>
    <row r="526" spans="25:40" customFormat="1" ht="13" x14ac:dyDescent="0.15"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</row>
    <row r="527" spans="25:40" customFormat="1" ht="13" x14ac:dyDescent="0.15"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  <c r="AM527" s="284"/>
      <c r="AN527" s="284"/>
    </row>
    <row r="528" spans="25:40" customFormat="1" ht="13" x14ac:dyDescent="0.15"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  <c r="AM528" s="284"/>
      <c r="AN528" s="284"/>
    </row>
    <row r="529" spans="25:40" customFormat="1" ht="13" x14ac:dyDescent="0.15"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</row>
    <row r="530" spans="25:40" customFormat="1" ht="13" x14ac:dyDescent="0.15"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</row>
    <row r="531" spans="25:40" customFormat="1" ht="13" x14ac:dyDescent="0.15"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  <c r="AM531" s="284"/>
      <c r="AN531" s="284"/>
    </row>
    <row r="532" spans="25:40" customFormat="1" ht="13" x14ac:dyDescent="0.15"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</row>
    <row r="533" spans="25:40" customFormat="1" ht="13" x14ac:dyDescent="0.15"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</row>
    <row r="534" spans="25:40" customFormat="1" ht="13" x14ac:dyDescent="0.15"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</row>
    <row r="535" spans="25:40" customFormat="1" ht="13" x14ac:dyDescent="0.15"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  <c r="AM535" s="284"/>
      <c r="AN535" s="284"/>
    </row>
    <row r="536" spans="25:40" customFormat="1" ht="13" x14ac:dyDescent="0.15"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  <c r="AM536" s="284"/>
      <c r="AN536" s="284"/>
    </row>
    <row r="537" spans="25:40" customFormat="1" ht="13" x14ac:dyDescent="0.15"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</row>
    <row r="538" spans="25:40" customFormat="1" ht="13" x14ac:dyDescent="0.15"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</row>
    <row r="539" spans="25:40" customFormat="1" ht="13" x14ac:dyDescent="0.15"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  <c r="AM539" s="284"/>
      <c r="AN539" s="284"/>
    </row>
    <row r="540" spans="25:40" customFormat="1" ht="13" x14ac:dyDescent="0.15"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  <c r="AM540" s="284"/>
      <c r="AN540" s="284"/>
    </row>
    <row r="541" spans="25:40" customFormat="1" ht="13" x14ac:dyDescent="0.15"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</row>
    <row r="542" spans="25:40" customFormat="1" ht="13" x14ac:dyDescent="0.15"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</row>
    <row r="543" spans="25:40" customFormat="1" ht="13" x14ac:dyDescent="0.15"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</row>
    <row r="544" spans="25:40" customFormat="1" ht="13" x14ac:dyDescent="0.15"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  <c r="AM544" s="284"/>
      <c r="AN544" s="284"/>
    </row>
    <row r="545" spans="25:40" customFormat="1" ht="13" x14ac:dyDescent="0.15"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</row>
    <row r="546" spans="25:40" customFormat="1" ht="13" x14ac:dyDescent="0.15"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</row>
    <row r="547" spans="25:40" customFormat="1" ht="13" x14ac:dyDescent="0.15"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  <c r="AM547" s="284"/>
      <c r="AN547" s="284"/>
    </row>
    <row r="548" spans="25:40" customFormat="1" ht="13" x14ac:dyDescent="0.15"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  <c r="AM548" s="284"/>
      <c r="AN548" s="284"/>
    </row>
    <row r="549" spans="25:40" customFormat="1" ht="13" x14ac:dyDescent="0.15"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</row>
    <row r="550" spans="25:40" customFormat="1" ht="13" x14ac:dyDescent="0.15"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</row>
    <row r="551" spans="25:40" customFormat="1" ht="13" x14ac:dyDescent="0.15"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  <c r="AM551" s="284"/>
      <c r="AN551" s="284"/>
    </row>
    <row r="552" spans="25:40" customFormat="1" ht="13" x14ac:dyDescent="0.15"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  <c r="AM552" s="284"/>
      <c r="AN552" s="284"/>
    </row>
    <row r="553" spans="25:40" customFormat="1" ht="13" x14ac:dyDescent="0.15"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</row>
    <row r="554" spans="25:40" customFormat="1" ht="13" x14ac:dyDescent="0.15"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</row>
    <row r="555" spans="25:40" customFormat="1" ht="13" x14ac:dyDescent="0.15"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</row>
    <row r="556" spans="25:40" customFormat="1" ht="13" x14ac:dyDescent="0.15"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</row>
    <row r="557" spans="25:40" customFormat="1" ht="13" x14ac:dyDescent="0.15"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</row>
    <row r="558" spans="25:40" customFormat="1" ht="13" x14ac:dyDescent="0.15"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</row>
    <row r="559" spans="25:40" customFormat="1" ht="13" x14ac:dyDescent="0.15"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  <c r="AM559" s="284"/>
      <c r="AN559" s="284"/>
    </row>
    <row r="560" spans="25:40" customFormat="1" ht="13" x14ac:dyDescent="0.15"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  <c r="AM560" s="284"/>
      <c r="AN560" s="284"/>
    </row>
    <row r="561" spans="25:40" customFormat="1" ht="13" x14ac:dyDescent="0.15"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  <c r="AM561" s="284"/>
      <c r="AN561" s="284"/>
    </row>
    <row r="562" spans="25:40" customFormat="1" ht="13" x14ac:dyDescent="0.15"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</row>
    <row r="563" spans="25:40" customFormat="1" ht="13" x14ac:dyDescent="0.15"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  <c r="AM563" s="284"/>
      <c r="AN563" s="284"/>
    </row>
    <row r="564" spans="25:40" customFormat="1" ht="13" x14ac:dyDescent="0.15"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  <c r="AM564" s="284"/>
      <c r="AN564" s="284"/>
    </row>
    <row r="565" spans="25:40" customFormat="1" ht="13" x14ac:dyDescent="0.15"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  <c r="AM565" s="284"/>
      <c r="AN565" s="284"/>
    </row>
    <row r="566" spans="25:40" customFormat="1" ht="13" x14ac:dyDescent="0.15"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</row>
    <row r="567" spans="25:40" customFormat="1" ht="13" x14ac:dyDescent="0.15"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  <c r="AM567" s="284"/>
      <c r="AN567" s="284"/>
    </row>
    <row r="568" spans="25:40" customFormat="1" ht="13" x14ac:dyDescent="0.15"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  <c r="AM568" s="284"/>
      <c r="AN568" s="284"/>
    </row>
    <row r="569" spans="25:40" customFormat="1" ht="13" x14ac:dyDescent="0.15"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  <c r="AM569" s="284"/>
      <c r="AN569" s="284"/>
    </row>
    <row r="570" spans="25:40" customFormat="1" ht="13" x14ac:dyDescent="0.15"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</row>
    <row r="571" spans="25:40" customFormat="1" ht="13" x14ac:dyDescent="0.15"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</row>
    <row r="572" spans="25:40" customFormat="1" ht="13" x14ac:dyDescent="0.15"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  <c r="AM572" s="284"/>
      <c r="AN572" s="284"/>
    </row>
    <row r="573" spans="25:40" customFormat="1" ht="13" x14ac:dyDescent="0.15"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  <c r="AM573" s="284"/>
      <c r="AN573" s="284"/>
    </row>
    <row r="574" spans="25:40" customFormat="1" ht="13" x14ac:dyDescent="0.15"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  <c r="AM574" s="284"/>
      <c r="AN574" s="284"/>
    </row>
    <row r="575" spans="25:40" customFormat="1" ht="13" x14ac:dyDescent="0.15"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</row>
    <row r="576" spans="25:40" customFormat="1" ht="13" x14ac:dyDescent="0.15"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</row>
    <row r="577" spans="25:40" customFormat="1" ht="13" x14ac:dyDescent="0.15"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  <c r="AM577" s="284"/>
      <c r="AN577" s="284"/>
    </row>
    <row r="578" spans="25:40" customFormat="1" ht="13" x14ac:dyDescent="0.15"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  <c r="AM578" s="284"/>
      <c r="AN578" s="284"/>
    </row>
    <row r="579" spans="25:40" customFormat="1" ht="13" x14ac:dyDescent="0.15"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</row>
    <row r="580" spans="25:40" customFormat="1" ht="13" x14ac:dyDescent="0.15"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</row>
    <row r="581" spans="25:40" customFormat="1" ht="13" x14ac:dyDescent="0.15"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  <c r="AM581" s="284"/>
      <c r="AN581" s="284"/>
    </row>
    <row r="582" spans="25:40" customFormat="1" ht="13" x14ac:dyDescent="0.15"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  <c r="AM582" s="284"/>
      <c r="AN582" s="284"/>
    </row>
    <row r="583" spans="25:40" customFormat="1" ht="13" x14ac:dyDescent="0.15"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</row>
    <row r="584" spans="25:40" customFormat="1" ht="13" x14ac:dyDescent="0.15"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</row>
    <row r="585" spans="25:40" customFormat="1" ht="13" x14ac:dyDescent="0.15"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  <c r="AM585" s="284"/>
      <c r="AN585" s="284"/>
    </row>
    <row r="586" spans="25:40" customFormat="1" ht="13" x14ac:dyDescent="0.15"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  <c r="AM586" s="284"/>
      <c r="AN586" s="284"/>
    </row>
    <row r="587" spans="25:40" customFormat="1" ht="13" x14ac:dyDescent="0.15"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</row>
    <row r="588" spans="25:40" customFormat="1" ht="13" x14ac:dyDescent="0.15"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</row>
    <row r="589" spans="25:40" customFormat="1" ht="13" x14ac:dyDescent="0.15"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  <c r="AM589" s="284"/>
      <c r="AN589" s="284"/>
    </row>
    <row r="590" spans="25:40" customFormat="1" ht="13" x14ac:dyDescent="0.15"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  <c r="AM590" s="284"/>
      <c r="AN590" s="284"/>
    </row>
    <row r="591" spans="25:40" customFormat="1" ht="13" x14ac:dyDescent="0.15"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</row>
    <row r="592" spans="25:40" customFormat="1" ht="13" x14ac:dyDescent="0.15"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</row>
    <row r="593" spans="25:40" customFormat="1" ht="13" x14ac:dyDescent="0.15"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  <c r="AM593" s="284"/>
      <c r="AN593" s="284"/>
    </row>
    <row r="594" spans="25:40" customFormat="1" ht="13" x14ac:dyDescent="0.15"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  <c r="AM594" s="284"/>
      <c r="AN594" s="284"/>
    </row>
    <row r="595" spans="25:40" customFormat="1" ht="13" x14ac:dyDescent="0.15"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</row>
    <row r="596" spans="25:40" customFormat="1" ht="13" x14ac:dyDescent="0.15"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</row>
    <row r="597" spans="25:40" customFormat="1" ht="13" x14ac:dyDescent="0.15"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</row>
    <row r="598" spans="25:40" customFormat="1" ht="13" x14ac:dyDescent="0.15"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  <c r="AM598" s="284"/>
      <c r="AN598" s="284"/>
    </row>
    <row r="599" spans="25:40" customFormat="1" ht="13" x14ac:dyDescent="0.15"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</row>
    <row r="600" spans="25:40" customFormat="1" ht="13" x14ac:dyDescent="0.15"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</row>
    <row r="601" spans="25:40" customFormat="1" ht="13" x14ac:dyDescent="0.15"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  <c r="AM601" s="284"/>
      <c r="AN601" s="284"/>
    </row>
    <row r="602" spans="25:40" customFormat="1" ht="13" x14ac:dyDescent="0.15"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  <c r="AM602" s="284"/>
      <c r="AN602" s="284"/>
    </row>
    <row r="603" spans="25:40" customFormat="1" ht="13" x14ac:dyDescent="0.15"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</row>
    <row r="604" spans="25:40" customFormat="1" ht="13" x14ac:dyDescent="0.15"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</row>
    <row r="605" spans="25:40" customFormat="1" ht="13" x14ac:dyDescent="0.15"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  <c r="AM605" s="284"/>
      <c r="AN605" s="284"/>
    </row>
    <row r="606" spans="25:40" customFormat="1" ht="13" x14ac:dyDescent="0.15"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  <c r="AM606" s="284"/>
      <c r="AN606" s="284"/>
    </row>
    <row r="607" spans="25:40" customFormat="1" ht="13" x14ac:dyDescent="0.15"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</row>
    <row r="608" spans="25:40" customFormat="1" ht="13" x14ac:dyDescent="0.15"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</row>
    <row r="609" spans="25:40" customFormat="1" ht="13" x14ac:dyDescent="0.15"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</row>
    <row r="610" spans="25:40" customFormat="1" ht="13" x14ac:dyDescent="0.15"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</row>
    <row r="611" spans="25:40" customFormat="1" ht="13" x14ac:dyDescent="0.15"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</row>
    <row r="612" spans="25:40" customFormat="1" ht="13" x14ac:dyDescent="0.15"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</row>
    <row r="613" spans="25:40" customFormat="1" ht="13" x14ac:dyDescent="0.15"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</row>
    <row r="614" spans="25:40" customFormat="1" ht="13" x14ac:dyDescent="0.15"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</row>
    <row r="615" spans="25:40" customFormat="1" ht="13" x14ac:dyDescent="0.15"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</row>
    <row r="616" spans="25:40" customFormat="1" ht="13" x14ac:dyDescent="0.15"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</row>
    <row r="617" spans="25:40" customFormat="1" ht="13" x14ac:dyDescent="0.15"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</row>
    <row r="618" spans="25:40" customFormat="1" ht="13" x14ac:dyDescent="0.15"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  <c r="AM618" s="284"/>
      <c r="AN618" s="284"/>
    </row>
    <row r="619" spans="25:40" customFormat="1" ht="13" x14ac:dyDescent="0.15"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</row>
    <row r="620" spans="25:40" customFormat="1" ht="13" x14ac:dyDescent="0.15"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</row>
    <row r="621" spans="25:40" customFormat="1" ht="13" x14ac:dyDescent="0.15"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  <c r="AM621" s="284"/>
      <c r="AN621" s="284"/>
    </row>
    <row r="622" spans="25:40" customFormat="1" ht="13" x14ac:dyDescent="0.15"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  <c r="AM622" s="284"/>
      <c r="AN622" s="284"/>
    </row>
    <row r="623" spans="25:40" customFormat="1" ht="13" x14ac:dyDescent="0.15"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</row>
    <row r="624" spans="25:40" customFormat="1" ht="13" x14ac:dyDescent="0.15"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</row>
    <row r="625" spans="25:40" customFormat="1" ht="13" x14ac:dyDescent="0.15"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  <c r="AM625" s="284"/>
      <c r="AN625" s="284"/>
    </row>
    <row r="626" spans="25:40" customFormat="1" ht="13" x14ac:dyDescent="0.15"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  <c r="AM626" s="284"/>
      <c r="AN626" s="284"/>
    </row>
    <row r="627" spans="25:40" customFormat="1" ht="13" x14ac:dyDescent="0.15"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</row>
    <row r="628" spans="25:40" customFormat="1" ht="13" x14ac:dyDescent="0.15"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</row>
    <row r="629" spans="25:40" customFormat="1" ht="13" x14ac:dyDescent="0.15"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</row>
    <row r="630" spans="25:40" customFormat="1" ht="13" x14ac:dyDescent="0.15"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  <c r="AM630" s="284"/>
      <c r="AN630" s="284"/>
    </row>
    <row r="631" spans="25:40" customFormat="1" ht="13" x14ac:dyDescent="0.15"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</row>
    <row r="632" spans="25:40" customFormat="1" ht="13" x14ac:dyDescent="0.15"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</row>
    <row r="633" spans="25:40" customFormat="1" ht="13" x14ac:dyDescent="0.15"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  <c r="AM633" s="284"/>
      <c r="AN633" s="284"/>
    </row>
    <row r="634" spans="25:40" customFormat="1" ht="13" x14ac:dyDescent="0.15"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  <c r="AM634" s="284"/>
      <c r="AN634" s="284"/>
    </row>
    <row r="635" spans="25:40" customFormat="1" ht="13" x14ac:dyDescent="0.15"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</row>
    <row r="636" spans="25:40" customFormat="1" ht="13" x14ac:dyDescent="0.15"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</row>
    <row r="637" spans="25:40" customFormat="1" ht="13" x14ac:dyDescent="0.15"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  <c r="AM637" s="284"/>
      <c r="AN637" s="284"/>
    </row>
    <row r="638" spans="25:40" customFormat="1" ht="13" x14ac:dyDescent="0.15"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  <c r="AM638" s="284"/>
      <c r="AN638" s="284"/>
    </row>
    <row r="639" spans="25:40" customFormat="1" ht="13" x14ac:dyDescent="0.15"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</row>
    <row r="640" spans="25:40" customFormat="1" ht="13" x14ac:dyDescent="0.15"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</row>
    <row r="641" spans="25:40" customFormat="1" ht="13" x14ac:dyDescent="0.15">
      <c r="Y641" s="284"/>
      <c r="Z641" s="284"/>
      <c r="AA641" s="284"/>
      <c r="AB641" s="284"/>
      <c r="AC641" s="284"/>
      <c r="AD641" s="284"/>
      <c r="AE641" s="284"/>
      <c r="AF641" s="284"/>
      <c r="AG641" s="284"/>
      <c r="AH641" s="284"/>
      <c r="AI641" s="284"/>
      <c r="AJ641" s="284"/>
      <c r="AK641" s="284"/>
      <c r="AL641" s="284"/>
      <c r="AM641" s="284"/>
      <c r="AN641" s="284"/>
    </row>
    <row r="642" spans="25:40" customFormat="1" ht="13" x14ac:dyDescent="0.15">
      <c r="Y642" s="284"/>
      <c r="Z642" s="284"/>
      <c r="AA642" s="284"/>
      <c r="AB642" s="284"/>
      <c r="AC642" s="284"/>
      <c r="AD642" s="284"/>
      <c r="AE642" s="284"/>
      <c r="AF642" s="284"/>
      <c r="AG642" s="284"/>
      <c r="AH642" s="284"/>
      <c r="AI642" s="284"/>
      <c r="AJ642" s="284"/>
      <c r="AK642" s="284"/>
      <c r="AL642" s="284"/>
      <c r="AM642" s="284"/>
      <c r="AN642" s="284"/>
    </row>
    <row r="643" spans="25:40" customFormat="1" ht="13" x14ac:dyDescent="0.15"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</row>
    <row r="644" spans="25:40" customFormat="1" ht="13" x14ac:dyDescent="0.15"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</row>
    <row r="645" spans="25:40" customFormat="1" ht="13" x14ac:dyDescent="0.15">
      <c r="Y645" s="284"/>
      <c r="Z645" s="284"/>
      <c r="AA645" s="284"/>
      <c r="AB645" s="284"/>
      <c r="AC645" s="284"/>
      <c r="AD645" s="284"/>
      <c r="AE645" s="284"/>
      <c r="AF645" s="284"/>
      <c r="AG645" s="284"/>
      <c r="AH645" s="284"/>
      <c r="AI645" s="284"/>
      <c r="AJ645" s="284"/>
      <c r="AK645" s="284"/>
      <c r="AL645" s="284"/>
      <c r="AM645" s="284"/>
      <c r="AN645" s="284"/>
    </row>
    <row r="646" spans="25:40" customFormat="1" ht="13" x14ac:dyDescent="0.15">
      <c r="Y646" s="284"/>
      <c r="Z646" s="284"/>
      <c r="AA646" s="284"/>
      <c r="AB646" s="284"/>
      <c r="AC646" s="284"/>
      <c r="AD646" s="284"/>
      <c r="AE646" s="284"/>
      <c r="AF646" s="284"/>
      <c r="AG646" s="284"/>
      <c r="AH646" s="284"/>
      <c r="AI646" s="284"/>
      <c r="AJ646" s="284"/>
      <c r="AK646" s="284"/>
      <c r="AL646" s="284"/>
      <c r="AM646" s="284"/>
      <c r="AN646" s="284"/>
    </row>
    <row r="647" spans="25:40" customFormat="1" ht="13" x14ac:dyDescent="0.15"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</row>
    <row r="648" spans="25:40" customFormat="1" ht="13" x14ac:dyDescent="0.15"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</row>
    <row r="649" spans="25:40" customFormat="1" ht="13" x14ac:dyDescent="0.15"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</row>
    <row r="650" spans="25:40" customFormat="1" ht="13" x14ac:dyDescent="0.15">
      <c r="Y650" s="284"/>
      <c r="Z650" s="284"/>
      <c r="AA650" s="284"/>
      <c r="AB650" s="284"/>
      <c r="AC650" s="284"/>
      <c r="AD650" s="284"/>
      <c r="AE650" s="284"/>
      <c r="AF650" s="284"/>
      <c r="AG650" s="284"/>
      <c r="AH650" s="284"/>
      <c r="AI650" s="284"/>
      <c r="AJ650" s="284"/>
      <c r="AK650" s="284"/>
      <c r="AL650" s="284"/>
      <c r="AM650" s="284"/>
      <c r="AN650" s="284"/>
    </row>
    <row r="651" spans="25:40" customFormat="1" ht="13" x14ac:dyDescent="0.15"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</row>
    <row r="652" spans="25:40" customFormat="1" ht="13" x14ac:dyDescent="0.15"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</row>
    <row r="653" spans="25:40" customFormat="1" ht="13" x14ac:dyDescent="0.15">
      <c r="Y653" s="284"/>
      <c r="Z653" s="284"/>
      <c r="AA653" s="284"/>
      <c r="AB653" s="284"/>
      <c r="AC653" s="284"/>
      <c r="AD653" s="284"/>
      <c r="AE653" s="284"/>
      <c r="AF653" s="284"/>
      <c r="AG653" s="284"/>
      <c r="AH653" s="284"/>
      <c r="AI653" s="284"/>
      <c r="AJ653" s="284"/>
      <c r="AK653" s="284"/>
      <c r="AL653" s="284"/>
      <c r="AM653" s="284"/>
      <c r="AN653" s="284"/>
    </row>
    <row r="654" spans="25:40" customFormat="1" ht="13" x14ac:dyDescent="0.15">
      <c r="Y654" s="284"/>
      <c r="Z654" s="284"/>
      <c r="AA654" s="284"/>
      <c r="AB654" s="284"/>
      <c r="AC654" s="284"/>
      <c r="AD654" s="284"/>
      <c r="AE654" s="284"/>
      <c r="AF654" s="284"/>
      <c r="AG654" s="284"/>
      <c r="AH654" s="284"/>
      <c r="AI654" s="284"/>
      <c r="AJ654" s="284"/>
      <c r="AK654" s="284"/>
      <c r="AL654" s="284"/>
      <c r="AM654" s="284"/>
      <c r="AN654" s="284"/>
    </row>
    <row r="655" spans="25:40" customFormat="1" ht="13" x14ac:dyDescent="0.15">
      <c r="Y655" s="284"/>
      <c r="Z655" s="284"/>
      <c r="AA655" s="284"/>
      <c r="AB655" s="284"/>
      <c r="AC655" s="284"/>
      <c r="AD655" s="284"/>
      <c r="AE655" s="284"/>
      <c r="AF655" s="284"/>
      <c r="AG655" s="284"/>
      <c r="AH655" s="284"/>
      <c r="AI655" s="284"/>
      <c r="AJ655" s="284"/>
      <c r="AK655" s="284"/>
      <c r="AL655" s="284"/>
      <c r="AM655" s="284"/>
      <c r="AN655" s="284"/>
    </row>
    <row r="656" spans="25:40" customFormat="1" ht="13" x14ac:dyDescent="0.15">
      <c r="Y656" s="284"/>
      <c r="Z656" s="284"/>
      <c r="AA656" s="284"/>
      <c r="AB656" s="284"/>
      <c r="AC656" s="284"/>
      <c r="AD656" s="284"/>
      <c r="AE656" s="284"/>
      <c r="AF656" s="284"/>
      <c r="AG656" s="284"/>
      <c r="AH656" s="284"/>
      <c r="AI656" s="284"/>
      <c r="AJ656" s="284"/>
      <c r="AK656" s="284"/>
      <c r="AL656" s="284"/>
      <c r="AM656" s="284"/>
      <c r="AN656" s="284"/>
    </row>
    <row r="657" spans="25:40" customFormat="1" ht="13" x14ac:dyDescent="0.15">
      <c r="Y657" s="284"/>
      <c r="Z657" s="284"/>
      <c r="AA657" s="284"/>
      <c r="AB657" s="284"/>
      <c r="AC657" s="284"/>
      <c r="AD657" s="284"/>
      <c r="AE657" s="284"/>
      <c r="AF657" s="284"/>
      <c r="AG657" s="284"/>
      <c r="AH657" s="284"/>
      <c r="AI657" s="284"/>
      <c r="AJ657" s="284"/>
      <c r="AK657" s="284"/>
      <c r="AL657" s="284"/>
      <c r="AM657" s="284"/>
      <c r="AN657" s="284"/>
    </row>
    <row r="658" spans="25:40" customFormat="1" ht="13" x14ac:dyDescent="0.15">
      <c r="Y658" s="284"/>
      <c r="Z658" s="284"/>
      <c r="AA658" s="284"/>
      <c r="AB658" s="284"/>
      <c r="AC658" s="284"/>
      <c r="AD658" s="284"/>
      <c r="AE658" s="284"/>
      <c r="AF658" s="284"/>
      <c r="AG658" s="284"/>
      <c r="AH658" s="284"/>
      <c r="AI658" s="284"/>
      <c r="AJ658" s="284"/>
      <c r="AK658" s="284"/>
      <c r="AL658" s="284"/>
      <c r="AM658" s="284"/>
      <c r="AN658" s="284"/>
    </row>
    <row r="659" spans="25:40" customFormat="1" ht="13" x14ac:dyDescent="0.15">
      <c r="Y659" s="284"/>
      <c r="Z659" s="284"/>
      <c r="AA659" s="284"/>
      <c r="AB659" s="284"/>
      <c r="AC659" s="284"/>
      <c r="AD659" s="284"/>
      <c r="AE659" s="284"/>
      <c r="AF659" s="284"/>
      <c r="AG659" s="284"/>
      <c r="AH659" s="284"/>
      <c r="AI659" s="284"/>
      <c r="AJ659" s="284"/>
      <c r="AK659" s="284"/>
      <c r="AL659" s="284"/>
      <c r="AM659" s="284"/>
      <c r="AN659" s="284"/>
    </row>
    <row r="660" spans="25:40" customFormat="1" ht="13" x14ac:dyDescent="0.15">
      <c r="Y660" s="284"/>
      <c r="Z660" s="284"/>
      <c r="AA660" s="284"/>
      <c r="AB660" s="284"/>
      <c r="AC660" s="284"/>
      <c r="AD660" s="284"/>
      <c r="AE660" s="284"/>
      <c r="AF660" s="284"/>
      <c r="AG660" s="284"/>
      <c r="AH660" s="284"/>
      <c r="AI660" s="284"/>
      <c r="AJ660" s="284"/>
      <c r="AK660" s="284"/>
      <c r="AL660" s="284"/>
      <c r="AM660" s="284"/>
      <c r="AN660" s="284"/>
    </row>
    <row r="661" spans="25:40" customFormat="1" ht="13" x14ac:dyDescent="0.15">
      <c r="Y661" s="284"/>
      <c r="Z661" s="284"/>
      <c r="AA661" s="284"/>
      <c r="AB661" s="284"/>
      <c r="AC661" s="284"/>
      <c r="AD661" s="284"/>
      <c r="AE661" s="284"/>
      <c r="AF661" s="284"/>
      <c r="AG661" s="284"/>
      <c r="AH661" s="284"/>
      <c r="AI661" s="284"/>
      <c r="AJ661" s="284"/>
      <c r="AK661" s="284"/>
      <c r="AL661" s="284"/>
      <c r="AM661" s="284"/>
      <c r="AN661" s="284"/>
    </row>
    <row r="662" spans="25:40" customFormat="1" ht="13" x14ac:dyDescent="0.15"/>
    <row r="663" spans="25:40" customFormat="1" ht="13" x14ac:dyDescent="0.15"/>
    <row r="664" spans="25:40" customFormat="1" ht="13" x14ac:dyDescent="0.15"/>
    <row r="665" spans="25:40" customFormat="1" ht="13" x14ac:dyDescent="0.15"/>
    <row r="666" spans="25:40" customFormat="1" ht="13" x14ac:dyDescent="0.15"/>
    <row r="667" spans="25:40" customFormat="1" ht="13" x14ac:dyDescent="0.15"/>
    <row r="668" spans="25:40" customFormat="1" ht="13" x14ac:dyDescent="0.15"/>
    <row r="669" spans="25:40" customFormat="1" ht="13" x14ac:dyDescent="0.15"/>
    <row r="670" spans="25:40" customFormat="1" ht="13" x14ac:dyDescent="0.15"/>
    <row r="671" spans="25:40" customFormat="1" ht="13" x14ac:dyDescent="0.15"/>
    <row r="672" spans="25:40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  <row r="2317" customFormat="1" ht="13" x14ac:dyDescent="0.15"/>
    <row r="2318" customFormat="1" ht="13" x14ac:dyDescent="0.15"/>
    <row r="2319" customFormat="1" ht="13" x14ac:dyDescent="0.15"/>
    <row r="2320" customFormat="1" ht="13" x14ac:dyDescent="0.15"/>
    <row r="2321" customFormat="1" ht="13" x14ac:dyDescent="0.15"/>
    <row r="2322" customFormat="1" ht="13" x14ac:dyDescent="0.15"/>
    <row r="2323" customFormat="1" ht="13" x14ac:dyDescent="0.15"/>
    <row r="2324" customFormat="1" ht="13" x14ac:dyDescent="0.15"/>
    <row r="2325" customFormat="1" ht="13" x14ac:dyDescent="0.15"/>
    <row r="2326" customFormat="1" ht="13" x14ac:dyDescent="0.15"/>
    <row r="2327" customFormat="1" ht="13" x14ac:dyDescent="0.15"/>
    <row r="2328" customFormat="1" ht="13" x14ac:dyDescent="0.15"/>
    <row r="2329" customFormat="1" ht="13" x14ac:dyDescent="0.15"/>
    <row r="2330" customFormat="1" ht="13" x14ac:dyDescent="0.15"/>
    <row r="2331" customFormat="1" ht="13" x14ac:dyDescent="0.15"/>
    <row r="2332" customFormat="1" ht="13" x14ac:dyDescent="0.15"/>
    <row r="2333" customFormat="1" ht="13" x14ac:dyDescent="0.15"/>
    <row r="2334" customFormat="1" ht="13" x14ac:dyDescent="0.15"/>
    <row r="2335" customFormat="1" ht="13" x14ac:dyDescent="0.15"/>
    <row r="2336" customFormat="1" ht="13" x14ac:dyDescent="0.15"/>
    <row r="2337" customFormat="1" ht="13" x14ac:dyDescent="0.15"/>
    <row r="2338" customFormat="1" ht="13" x14ac:dyDescent="0.15"/>
    <row r="2339" customFormat="1" ht="13" x14ac:dyDescent="0.15"/>
    <row r="2340" customFormat="1" ht="13" x14ac:dyDescent="0.15"/>
    <row r="2341" customFormat="1" ht="13" x14ac:dyDescent="0.15"/>
    <row r="2342" customFormat="1" ht="13" x14ac:dyDescent="0.15"/>
    <row r="2343" customFormat="1" ht="13" x14ac:dyDescent="0.15"/>
    <row r="2344" customFormat="1" ht="13" x14ac:dyDescent="0.15"/>
    <row r="2345" customFormat="1" ht="13" x14ac:dyDescent="0.15"/>
    <row r="2346" customFormat="1" ht="13" x14ac:dyDescent="0.15"/>
    <row r="2347" customFormat="1" ht="13" x14ac:dyDescent="0.15"/>
    <row r="2348" customFormat="1" ht="13" x14ac:dyDescent="0.15"/>
    <row r="2349" customFormat="1" ht="13" x14ac:dyDescent="0.15"/>
    <row r="2350" customFormat="1" ht="13" x14ac:dyDescent="0.15"/>
    <row r="2351" customFormat="1" ht="13" x14ac:dyDescent="0.15"/>
    <row r="2352" customFormat="1" ht="13" x14ac:dyDescent="0.15"/>
    <row r="2353" customFormat="1" ht="13" x14ac:dyDescent="0.15"/>
    <row r="2354" customFormat="1" ht="13" x14ac:dyDescent="0.15"/>
    <row r="2355" customFormat="1" ht="13" x14ac:dyDescent="0.15"/>
    <row r="2356" customFormat="1" ht="13" x14ac:dyDescent="0.15"/>
    <row r="2357" customFormat="1" ht="13" x14ac:dyDescent="0.15"/>
    <row r="2358" customFormat="1" ht="13" x14ac:dyDescent="0.15"/>
    <row r="2359" customFormat="1" ht="13" x14ac:dyDescent="0.15"/>
    <row r="2360" customFormat="1" ht="13" x14ac:dyDescent="0.15"/>
    <row r="2361" customFormat="1" ht="13" x14ac:dyDescent="0.15"/>
    <row r="2362" customFormat="1" ht="13" x14ac:dyDescent="0.15"/>
    <row r="2363" customFormat="1" ht="13" x14ac:dyDescent="0.15"/>
    <row r="2364" customFormat="1" ht="13" x14ac:dyDescent="0.15"/>
    <row r="2365" customFormat="1" ht="13" x14ac:dyDescent="0.15"/>
    <row r="2366" customFormat="1" ht="13" x14ac:dyDescent="0.15"/>
    <row r="2367" customFormat="1" ht="13" x14ac:dyDescent="0.15"/>
    <row r="2368" customFormat="1" ht="13" x14ac:dyDescent="0.15"/>
    <row r="2369" customFormat="1" ht="13" x14ac:dyDescent="0.15"/>
    <row r="2370" customFormat="1" ht="13" x14ac:dyDescent="0.15"/>
    <row r="2371" customFormat="1" ht="13" x14ac:dyDescent="0.15"/>
    <row r="2372" customFormat="1" ht="13" x14ac:dyDescent="0.15"/>
    <row r="2373" customFormat="1" ht="13" x14ac:dyDescent="0.15"/>
    <row r="2374" customFormat="1" ht="13" x14ac:dyDescent="0.15"/>
    <row r="2375" customFormat="1" ht="13" x14ac:dyDescent="0.15"/>
    <row r="2376" customFormat="1" ht="13" x14ac:dyDescent="0.15"/>
    <row r="2377" customFormat="1" ht="13" x14ac:dyDescent="0.15"/>
    <row r="2378" customFormat="1" ht="13" x14ac:dyDescent="0.15"/>
    <row r="2379" customFormat="1" ht="13" x14ac:dyDescent="0.15"/>
    <row r="2380" customFormat="1" ht="13" x14ac:dyDescent="0.15"/>
    <row r="2381" customFormat="1" ht="13" x14ac:dyDescent="0.15"/>
    <row r="2382" customFormat="1" ht="13" x14ac:dyDescent="0.15"/>
    <row r="2383" customFormat="1" ht="13" x14ac:dyDescent="0.15"/>
    <row r="2384" customFormat="1" ht="13" x14ac:dyDescent="0.15"/>
    <row r="2385" customFormat="1" ht="13" x14ac:dyDescent="0.15"/>
    <row r="2386" customFormat="1" ht="13" x14ac:dyDescent="0.15"/>
    <row r="2387" customFormat="1" ht="13" x14ac:dyDescent="0.15"/>
    <row r="2388" customFormat="1" ht="13" x14ac:dyDescent="0.15"/>
    <row r="2389" customFormat="1" ht="13" x14ac:dyDescent="0.15"/>
    <row r="2390" customFormat="1" ht="13" x14ac:dyDescent="0.15"/>
    <row r="2391" customFormat="1" ht="13" x14ac:dyDescent="0.15"/>
    <row r="2392" customFormat="1" ht="13" x14ac:dyDescent="0.15"/>
    <row r="2393" customFormat="1" ht="13" x14ac:dyDescent="0.15"/>
    <row r="2394" customFormat="1" ht="13" x14ac:dyDescent="0.15"/>
    <row r="2395" customFormat="1" ht="13" x14ac:dyDescent="0.15"/>
    <row r="2396" customFormat="1" ht="13" x14ac:dyDescent="0.15"/>
    <row r="2397" customFormat="1" ht="13" x14ac:dyDescent="0.15"/>
    <row r="2398" customFormat="1" ht="13" x14ac:dyDescent="0.15"/>
    <row r="2399" customFormat="1" ht="13" x14ac:dyDescent="0.15"/>
    <row r="2400" customFormat="1" ht="13" x14ac:dyDescent="0.15"/>
    <row r="2401" customFormat="1" ht="13" x14ac:dyDescent="0.15"/>
    <row r="2402" customFormat="1" ht="13" x14ac:dyDescent="0.15"/>
    <row r="2403" customFormat="1" ht="13" x14ac:dyDescent="0.15"/>
    <row r="2404" customFormat="1" ht="13" x14ac:dyDescent="0.15"/>
    <row r="2405" customFormat="1" ht="13" x14ac:dyDescent="0.15"/>
    <row r="2406" customFormat="1" ht="13" x14ac:dyDescent="0.15"/>
    <row r="2407" customFormat="1" ht="13" x14ac:dyDescent="0.15"/>
    <row r="2408" customFormat="1" ht="13" x14ac:dyDescent="0.15"/>
    <row r="2409" customFormat="1" ht="13" x14ac:dyDescent="0.15"/>
    <row r="2410" customFormat="1" ht="13" x14ac:dyDescent="0.15"/>
    <row r="2411" customFormat="1" ht="13" x14ac:dyDescent="0.15"/>
    <row r="2412" customFormat="1" ht="13" x14ac:dyDescent="0.15"/>
    <row r="2413" customFormat="1" ht="13" x14ac:dyDescent="0.15"/>
    <row r="2414" customFormat="1" ht="13" x14ac:dyDescent="0.15"/>
    <row r="2415" customFormat="1" ht="13" x14ac:dyDescent="0.15"/>
    <row r="2416" customFormat="1" ht="13" x14ac:dyDescent="0.15"/>
    <row r="2417" customFormat="1" ht="13" x14ac:dyDescent="0.15"/>
    <row r="2418" customFormat="1" ht="13" x14ac:dyDescent="0.15"/>
    <row r="2419" customFormat="1" ht="13" x14ac:dyDescent="0.15"/>
    <row r="2420" customFormat="1" ht="13" x14ac:dyDescent="0.15"/>
    <row r="2421" customFormat="1" ht="13" x14ac:dyDescent="0.15"/>
    <row r="2422" customFormat="1" ht="13" x14ac:dyDescent="0.15"/>
    <row r="2423" customFormat="1" ht="13" x14ac:dyDescent="0.15"/>
    <row r="2424" customFormat="1" ht="13" x14ac:dyDescent="0.15"/>
    <row r="2425" customFormat="1" ht="13" x14ac:dyDescent="0.15"/>
    <row r="2426" customFormat="1" ht="13" x14ac:dyDescent="0.15"/>
    <row r="2427" customFormat="1" ht="13" x14ac:dyDescent="0.15"/>
    <row r="2428" customFormat="1" ht="13" x14ac:dyDescent="0.15"/>
    <row r="2429" customFormat="1" ht="13" x14ac:dyDescent="0.15"/>
    <row r="2430" customFormat="1" ht="13" x14ac:dyDescent="0.15"/>
    <row r="2431" customFormat="1" ht="13" x14ac:dyDescent="0.15"/>
    <row r="2432" customFormat="1" ht="13" x14ac:dyDescent="0.15"/>
    <row r="2433" customFormat="1" ht="13" x14ac:dyDescent="0.15"/>
    <row r="2434" customFormat="1" ht="13" x14ac:dyDescent="0.15"/>
    <row r="2435" customFormat="1" ht="13" x14ac:dyDescent="0.15"/>
    <row r="2436" customFormat="1" ht="13" x14ac:dyDescent="0.15"/>
    <row r="2437" customFormat="1" ht="13" x14ac:dyDescent="0.15"/>
    <row r="2438" customFormat="1" ht="13" x14ac:dyDescent="0.15"/>
    <row r="2439" customFormat="1" ht="13" x14ac:dyDescent="0.15"/>
    <row r="2440" customFormat="1" ht="13" x14ac:dyDescent="0.15"/>
    <row r="2441" customFormat="1" ht="13" x14ac:dyDescent="0.15"/>
    <row r="2442" customFormat="1" ht="13" x14ac:dyDescent="0.15"/>
    <row r="2443" customFormat="1" ht="13" x14ac:dyDescent="0.15"/>
    <row r="2444" customFormat="1" ht="13" x14ac:dyDescent="0.15"/>
    <row r="2445" customFormat="1" ht="13" x14ac:dyDescent="0.15"/>
    <row r="2446" customFormat="1" ht="13" x14ac:dyDescent="0.15"/>
    <row r="2447" customFormat="1" ht="13" x14ac:dyDescent="0.15"/>
    <row r="2448" customFormat="1" ht="13" x14ac:dyDescent="0.15"/>
    <row r="2449" customFormat="1" ht="13" x14ac:dyDescent="0.15"/>
    <row r="2450" customFormat="1" ht="13" x14ac:dyDescent="0.15"/>
    <row r="2451" customFormat="1" ht="13" x14ac:dyDescent="0.15"/>
    <row r="2452" customFormat="1" ht="13" x14ac:dyDescent="0.15"/>
    <row r="2453" customFormat="1" ht="13" x14ac:dyDescent="0.15"/>
    <row r="2454" customFormat="1" ht="13" x14ac:dyDescent="0.15"/>
    <row r="2455" customFormat="1" ht="13" x14ac:dyDescent="0.15"/>
    <row r="2456" customFormat="1" ht="13" x14ac:dyDescent="0.15"/>
    <row r="2457" customFormat="1" ht="13" x14ac:dyDescent="0.15"/>
    <row r="2458" customFormat="1" ht="13" x14ac:dyDescent="0.15"/>
    <row r="2459" customFormat="1" ht="13" x14ac:dyDescent="0.15"/>
    <row r="2460" customFormat="1" ht="13" x14ac:dyDescent="0.15"/>
    <row r="2461" customFormat="1" ht="13" x14ac:dyDescent="0.15"/>
    <row r="2462" customFormat="1" ht="13" x14ac:dyDescent="0.15"/>
    <row r="2463" customFormat="1" ht="13" x14ac:dyDescent="0.15"/>
    <row r="2464" customFormat="1" ht="13" x14ac:dyDescent="0.15"/>
    <row r="2465" customFormat="1" ht="13" x14ac:dyDescent="0.15"/>
    <row r="2466" customFormat="1" ht="13" x14ac:dyDescent="0.15"/>
    <row r="2467" customFormat="1" ht="13" x14ac:dyDescent="0.15"/>
    <row r="2468" customFormat="1" ht="13" x14ac:dyDescent="0.15"/>
    <row r="2469" customFormat="1" ht="13" x14ac:dyDescent="0.15"/>
    <row r="2470" customFormat="1" ht="13" x14ac:dyDescent="0.15"/>
    <row r="2471" customFormat="1" ht="13" x14ac:dyDescent="0.15"/>
    <row r="2472" customFormat="1" ht="13" x14ac:dyDescent="0.15"/>
    <row r="2473" customFormat="1" ht="13" x14ac:dyDescent="0.15"/>
    <row r="2474" customFormat="1" ht="13" x14ac:dyDescent="0.15"/>
    <row r="2475" customFormat="1" ht="13" x14ac:dyDescent="0.15"/>
    <row r="2476" customFormat="1" ht="13" x14ac:dyDescent="0.15"/>
    <row r="2477" customFormat="1" ht="13" x14ac:dyDescent="0.15"/>
    <row r="2478" customFormat="1" ht="13" x14ac:dyDescent="0.15"/>
    <row r="2479" customFormat="1" ht="13" x14ac:dyDescent="0.15"/>
    <row r="2480" customFormat="1" ht="13" x14ac:dyDescent="0.15"/>
    <row r="2481" customFormat="1" ht="13" x14ac:dyDescent="0.15"/>
    <row r="2482" customFormat="1" ht="13" x14ac:dyDescent="0.15"/>
    <row r="2483" customFormat="1" ht="13" x14ac:dyDescent="0.15"/>
    <row r="2484" customFormat="1" ht="13" x14ac:dyDescent="0.15"/>
    <row r="2485" customFormat="1" ht="13" x14ac:dyDescent="0.15"/>
    <row r="2486" customFormat="1" ht="13" x14ac:dyDescent="0.15"/>
    <row r="2487" customFormat="1" ht="13" x14ac:dyDescent="0.15"/>
    <row r="2488" customFormat="1" ht="13" x14ac:dyDescent="0.15"/>
    <row r="2489" customFormat="1" ht="13" x14ac:dyDescent="0.15"/>
    <row r="2490" customFormat="1" ht="13" x14ac:dyDescent="0.15"/>
    <row r="2491" customFormat="1" ht="13" x14ac:dyDescent="0.15"/>
    <row r="2492" customFormat="1" ht="13" x14ac:dyDescent="0.15"/>
    <row r="2493" customFormat="1" ht="13" x14ac:dyDescent="0.15"/>
    <row r="2494" customFormat="1" ht="13" x14ac:dyDescent="0.15"/>
    <row r="2495" customFormat="1" ht="13" x14ac:dyDescent="0.15"/>
    <row r="2496" customFormat="1" ht="13" x14ac:dyDescent="0.15"/>
    <row r="2497" customFormat="1" ht="13" x14ac:dyDescent="0.15"/>
    <row r="2498" customFormat="1" ht="13" x14ac:dyDescent="0.15"/>
    <row r="2499" customFormat="1" ht="13" x14ac:dyDescent="0.15"/>
    <row r="2500" customFormat="1" ht="13" x14ac:dyDescent="0.15"/>
    <row r="2501" customFormat="1" ht="13" x14ac:dyDescent="0.15"/>
    <row r="2502" customFormat="1" ht="13" x14ac:dyDescent="0.15"/>
    <row r="2503" customFormat="1" ht="13" x14ac:dyDescent="0.15"/>
    <row r="2504" customFormat="1" ht="13" x14ac:dyDescent="0.15"/>
    <row r="2505" customFormat="1" ht="13" x14ac:dyDescent="0.15"/>
    <row r="2506" customFormat="1" ht="13" x14ac:dyDescent="0.15"/>
    <row r="2507" customFormat="1" ht="13" x14ac:dyDescent="0.15"/>
    <row r="2508" customFormat="1" ht="13" x14ac:dyDescent="0.15"/>
    <row r="2509" customFormat="1" ht="13" x14ac:dyDescent="0.15"/>
    <row r="2510" customFormat="1" ht="13" x14ac:dyDescent="0.15"/>
    <row r="2511" customFormat="1" ht="13" x14ac:dyDescent="0.15"/>
    <row r="2512" customFormat="1" ht="13" x14ac:dyDescent="0.15"/>
    <row r="2513" customFormat="1" ht="13" x14ac:dyDescent="0.15"/>
    <row r="2514" customFormat="1" ht="13" x14ac:dyDescent="0.15"/>
    <row r="2515" customFormat="1" ht="13" x14ac:dyDescent="0.15"/>
    <row r="2516" customFormat="1" ht="13" x14ac:dyDescent="0.15"/>
    <row r="2517" customFormat="1" ht="13" x14ac:dyDescent="0.15"/>
    <row r="2518" customFormat="1" ht="13" x14ac:dyDescent="0.15"/>
    <row r="2519" customFormat="1" ht="13" x14ac:dyDescent="0.15"/>
    <row r="2520" customFormat="1" ht="13" x14ac:dyDescent="0.15"/>
    <row r="2521" customFormat="1" ht="13" x14ac:dyDescent="0.15"/>
    <row r="2522" customFormat="1" ht="13" x14ac:dyDescent="0.15"/>
    <row r="2523" customFormat="1" ht="13" x14ac:dyDescent="0.15"/>
    <row r="2524" customFormat="1" ht="13" x14ac:dyDescent="0.15"/>
    <row r="2525" customFormat="1" ht="13" x14ac:dyDescent="0.15"/>
    <row r="2526" customFormat="1" ht="13" x14ac:dyDescent="0.15"/>
    <row r="2527" customFormat="1" ht="13" x14ac:dyDescent="0.15"/>
    <row r="2528" customFormat="1" ht="13" x14ac:dyDescent="0.15"/>
    <row r="2529" customFormat="1" ht="13" x14ac:dyDescent="0.15"/>
    <row r="2530" customFormat="1" ht="13" x14ac:dyDescent="0.15"/>
    <row r="2531" customFormat="1" ht="13" x14ac:dyDescent="0.15"/>
    <row r="2532" customFormat="1" ht="13" x14ac:dyDescent="0.15"/>
    <row r="2533" customFormat="1" ht="13" x14ac:dyDescent="0.15"/>
    <row r="2534" customFormat="1" ht="13" x14ac:dyDescent="0.15"/>
    <row r="2535" customFormat="1" ht="13" x14ac:dyDescent="0.15"/>
    <row r="2536" customFormat="1" ht="13" x14ac:dyDescent="0.15"/>
    <row r="2537" customFormat="1" ht="13" x14ac:dyDescent="0.15"/>
    <row r="2538" customFormat="1" ht="13" x14ac:dyDescent="0.15"/>
    <row r="2539" customFormat="1" ht="13" x14ac:dyDescent="0.15"/>
    <row r="2540" customFormat="1" ht="13" x14ac:dyDescent="0.15"/>
    <row r="2541" customFormat="1" ht="13" x14ac:dyDescent="0.15"/>
    <row r="2542" customFormat="1" ht="13" x14ac:dyDescent="0.15"/>
    <row r="2543" customFormat="1" ht="13" x14ac:dyDescent="0.15"/>
    <row r="2544" customFormat="1" ht="13" x14ac:dyDescent="0.15"/>
    <row r="2545" customFormat="1" ht="13" x14ac:dyDescent="0.15"/>
    <row r="2546" customFormat="1" ht="13" x14ac:dyDescent="0.15"/>
    <row r="2547" customFormat="1" ht="13" x14ac:dyDescent="0.15"/>
    <row r="2548" customFormat="1" ht="13" x14ac:dyDescent="0.15"/>
    <row r="2549" customFormat="1" ht="13" x14ac:dyDescent="0.15"/>
    <row r="2550" customFormat="1" ht="13" x14ac:dyDescent="0.15"/>
    <row r="2551" customFormat="1" ht="13" x14ac:dyDescent="0.15"/>
    <row r="2552" customFormat="1" ht="13" x14ac:dyDescent="0.15"/>
    <row r="2553" customFormat="1" ht="13" x14ac:dyDescent="0.15"/>
    <row r="2554" customFormat="1" ht="13" x14ac:dyDescent="0.15"/>
    <row r="2555" customFormat="1" ht="13" x14ac:dyDescent="0.15"/>
    <row r="2556" customFormat="1" ht="13" x14ac:dyDescent="0.15"/>
    <row r="2557" customFormat="1" ht="13" x14ac:dyDescent="0.15"/>
    <row r="2558" customFormat="1" ht="13" x14ac:dyDescent="0.15"/>
    <row r="2559" customFormat="1" ht="13" x14ac:dyDescent="0.15"/>
    <row r="2560" customFormat="1" ht="13" x14ac:dyDescent="0.15"/>
    <row r="2561" customFormat="1" ht="13" x14ac:dyDescent="0.15"/>
    <row r="2562" customFormat="1" ht="13" x14ac:dyDescent="0.15"/>
    <row r="2563" customFormat="1" ht="13" x14ac:dyDescent="0.15"/>
    <row r="2564" customFormat="1" ht="13" x14ac:dyDescent="0.15"/>
    <row r="2565" customFormat="1" ht="13" x14ac:dyDescent="0.15"/>
    <row r="2566" customFormat="1" ht="13" x14ac:dyDescent="0.15"/>
    <row r="2567" customFormat="1" ht="13" x14ac:dyDescent="0.15"/>
    <row r="2568" customFormat="1" ht="13" x14ac:dyDescent="0.15"/>
    <row r="2569" customFormat="1" ht="13" x14ac:dyDescent="0.15"/>
    <row r="2570" customFormat="1" ht="13" x14ac:dyDescent="0.15"/>
    <row r="2571" customFormat="1" ht="13" x14ac:dyDescent="0.15"/>
    <row r="2572" customFormat="1" ht="13" x14ac:dyDescent="0.15"/>
    <row r="2573" customFormat="1" ht="13" x14ac:dyDescent="0.15"/>
    <row r="2574" customFormat="1" ht="13" x14ac:dyDescent="0.15"/>
    <row r="2575" customFormat="1" ht="13" x14ac:dyDescent="0.15"/>
    <row r="2576" customFormat="1" ht="13" x14ac:dyDescent="0.15"/>
    <row r="2577" customFormat="1" ht="13" x14ac:dyDescent="0.15"/>
    <row r="2578" customFormat="1" ht="13" x14ac:dyDescent="0.15"/>
    <row r="2579" customFormat="1" ht="13" x14ac:dyDescent="0.15"/>
    <row r="2580" customFormat="1" ht="13" x14ac:dyDescent="0.15"/>
    <row r="2581" customFormat="1" ht="13" x14ac:dyDescent="0.15"/>
    <row r="2582" customFormat="1" ht="13" x14ac:dyDescent="0.15"/>
    <row r="2583" customFormat="1" ht="13" x14ac:dyDescent="0.15"/>
    <row r="2584" customFormat="1" ht="13" x14ac:dyDescent="0.15"/>
    <row r="2585" customFormat="1" ht="13" x14ac:dyDescent="0.15"/>
    <row r="2586" customFormat="1" ht="13" x14ac:dyDescent="0.15"/>
    <row r="2587" customFormat="1" ht="13" x14ac:dyDescent="0.15"/>
    <row r="2588" customFormat="1" ht="13" x14ac:dyDescent="0.15"/>
    <row r="2589" customFormat="1" ht="13" x14ac:dyDescent="0.15"/>
    <row r="2590" customFormat="1" ht="13" x14ac:dyDescent="0.15"/>
    <row r="2591" customFormat="1" ht="13" x14ac:dyDescent="0.15"/>
    <row r="2592" customFormat="1" ht="13" x14ac:dyDescent="0.15"/>
    <row r="2593" customFormat="1" ht="13" x14ac:dyDescent="0.15"/>
    <row r="2594" customFormat="1" ht="13" x14ac:dyDescent="0.15"/>
    <row r="2595" customFormat="1" ht="13" x14ac:dyDescent="0.15"/>
    <row r="2596" customFormat="1" ht="13" x14ac:dyDescent="0.15"/>
    <row r="2597" customFormat="1" ht="13" x14ac:dyDescent="0.15"/>
    <row r="2598" customFormat="1" ht="13" x14ac:dyDescent="0.15"/>
    <row r="2599" customFormat="1" ht="13" x14ac:dyDescent="0.15"/>
    <row r="2600" customFormat="1" ht="13" x14ac:dyDescent="0.15"/>
    <row r="2601" customFormat="1" ht="13" x14ac:dyDescent="0.15"/>
    <row r="2602" customFormat="1" ht="13" x14ac:dyDescent="0.15"/>
    <row r="2603" customFormat="1" ht="13" x14ac:dyDescent="0.15"/>
    <row r="2604" customFormat="1" ht="13" x14ac:dyDescent="0.15"/>
    <row r="2605" customFormat="1" ht="13" x14ac:dyDescent="0.15"/>
    <row r="2606" customFormat="1" ht="13" x14ac:dyDescent="0.15"/>
    <row r="2607" customFormat="1" ht="13" x14ac:dyDescent="0.15"/>
    <row r="2608" customFormat="1" ht="13" x14ac:dyDescent="0.15"/>
    <row r="2609" customFormat="1" ht="13" x14ac:dyDescent="0.15"/>
    <row r="2610" customFormat="1" ht="13" x14ac:dyDescent="0.15"/>
    <row r="2611" customFormat="1" ht="13" x14ac:dyDescent="0.15"/>
    <row r="2612" customFormat="1" ht="13" x14ac:dyDescent="0.15"/>
    <row r="2613" customFormat="1" ht="13" x14ac:dyDescent="0.15"/>
    <row r="2614" customFormat="1" ht="13" x14ac:dyDescent="0.15"/>
    <row r="2615" customFormat="1" ht="13" x14ac:dyDescent="0.15"/>
    <row r="2616" customFormat="1" ht="13" x14ac:dyDescent="0.15"/>
    <row r="2617" customFormat="1" ht="13" x14ac:dyDescent="0.15"/>
    <row r="2618" customFormat="1" ht="13" x14ac:dyDescent="0.15"/>
    <row r="2619" customFormat="1" ht="13" x14ac:dyDescent="0.15"/>
    <row r="2620" customFormat="1" ht="13" x14ac:dyDescent="0.15"/>
    <row r="2621" customFormat="1" ht="13" x14ac:dyDescent="0.15"/>
    <row r="2622" customFormat="1" ht="13" x14ac:dyDescent="0.15"/>
    <row r="2623" customFormat="1" ht="13" x14ac:dyDescent="0.15"/>
    <row r="2624" customFormat="1" ht="13" x14ac:dyDescent="0.15"/>
    <row r="2625" customFormat="1" ht="13" x14ac:dyDescent="0.15"/>
    <row r="2626" customFormat="1" ht="13" x14ac:dyDescent="0.15"/>
    <row r="2627" customFormat="1" ht="13" x14ac:dyDescent="0.15"/>
    <row r="2628" customFormat="1" ht="13" x14ac:dyDescent="0.15"/>
    <row r="2629" customFormat="1" ht="13" x14ac:dyDescent="0.15"/>
    <row r="2630" customFormat="1" ht="13" x14ac:dyDescent="0.15"/>
    <row r="2631" customFormat="1" ht="13" x14ac:dyDescent="0.15"/>
    <row r="2632" customFormat="1" ht="13" x14ac:dyDescent="0.15"/>
    <row r="2633" customFormat="1" ht="13" x14ac:dyDescent="0.15"/>
    <row r="2634" customFormat="1" ht="13" x14ac:dyDescent="0.15"/>
    <row r="2635" customFormat="1" ht="13" x14ac:dyDescent="0.15"/>
    <row r="2636" customFormat="1" ht="13" x14ac:dyDescent="0.15"/>
    <row r="2637" customFormat="1" ht="13" x14ac:dyDescent="0.15"/>
    <row r="2638" customFormat="1" ht="13" x14ac:dyDescent="0.15"/>
    <row r="2639" customFormat="1" ht="13" x14ac:dyDescent="0.15"/>
    <row r="2640" customFormat="1" ht="13" x14ac:dyDescent="0.15"/>
    <row r="2641" customFormat="1" ht="13" x14ac:dyDescent="0.15"/>
    <row r="2642" customFormat="1" ht="13" x14ac:dyDescent="0.15"/>
    <row r="2643" customFormat="1" ht="13" x14ac:dyDescent="0.15"/>
    <row r="2644" customFormat="1" ht="13" x14ac:dyDescent="0.15"/>
    <row r="2645" customFormat="1" ht="13" x14ac:dyDescent="0.15"/>
    <row r="2646" customFormat="1" ht="13" x14ac:dyDescent="0.15"/>
    <row r="2647" customFormat="1" ht="13" x14ac:dyDescent="0.15"/>
    <row r="2648" customFormat="1" ht="13" x14ac:dyDescent="0.15"/>
    <row r="2649" customFormat="1" ht="13" x14ac:dyDescent="0.15"/>
    <row r="2650" customFormat="1" ht="13" x14ac:dyDescent="0.15"/>
    <row r="2651" customFormat="1" ht="13" x14ac:dyDescent="0.15"/>
    <row r="2652" customFormat="1" ht="13" x14ac:dyDescent="0.15"/>
    <row r="2653" customFormat="1" ht="13" x14ac:dyDescent="0.15"/>
    <row r="2654" customFormat="1" ht="13" x14ac:dyDescent="0.15"/>
    <row r="2655" customFormat="1" ht="13" x14ac:dyDescent="0.15"/>
    <row r="2656" customFormat="1" ht="13" x14ac:dyDescent="0.15"/>
    <row r="2657" customFormat="1" ht="13" x14ac:dyDescent="0.15"/>
    <row r="2658" customFormat="1" ht="13" x14ac:dyDescent="0.15"/>
    <row r="2659" customFormat="1" ht="13" x14ac:dyDescent="0.15"/>
    <row r="2660" customFormat="1" ht="13" x14ac:dyDescent="0.15"/>
    <row r="2661" customFormat="1" ht="13" x14ac:dyDescent="0.15"/>
    <row r="2662" customFormat="1" ht="13" x14ac:dyDescent="0.15"/>
    <row r="2663" customFormat="1" ht="13" x14ac:dyDescent="0.15"/>
    <row r="2664" customFormat="1" ht="13" x14ac:dyDescent="0.15"/>
    <row r="2665" customFormat="1" ht="13" x14ac:dyDescent="0.15"/>
    <row r="2666" customFormat="1" ht="13" x14ac:dyDescent="0.15"/>
    <row r="2667" customFormat="1" ht="13" x14ac:dyDescent="0.15"/>
    <row r="2668" customFormat="1" ht="13" x14ac:dyDescent="0.15"/>
    <row r="2669" customFormat="1" ht="13" x14ac:dyDescent="0.15"/>
    <row r="2670" customFormat="1" ht="13" x14ac:dyDescent="0.15"/>
    <row r="2671" customFormat="1" ht="13" x14ac:dyDescent="0.15"/>
    <row r="2672" customFormat="1" ht="13" x14ac:dyDescent="0.15"/>
    <row r="2673" customFormat="1" ht="13" x14ac:dyDescent="0.15"/>
    <row r="2674" customFormat="1" ht="13" x14ac:dyDescent="0.15"/>
    <row r="2675" customFormat="1" ht="13" x14ac:dyDescent="0.15"/>
    <row r="2676" customFormat="1" ht="13" x14ac:dyDescent="0.15"/>
    <row r="2677" customFormat="1" ht="13" x14ac:dyDescent="0.15"/>
    <row r="2678" customFormat="1" ht="13" x14ac:dyDescent="0.15"/>
    <row r="2679" customFormat="1" ht="13" x14ac:dyDescent="0.15"/>
    <row r="2680" customFormat="1" ht="13" x14ac:dyDescent="0.15"/>
    <row r="2681" customFormat="1" ht="13" x14ac:dyDescent="0.15"/>
    <row r="2682" customFormat="1" ht="13" x14ac:dyDescent="0.15"/>
    <row r="2683" customFormat="1" ht="13" x14ac:dyDescent="0.15"/>
    <row r="2684" customFormat="1" ht="13" x14ac:dyDescent="0.15"/>
    <row r="2685" customFormat="1" ht="13" x14ac:dyDescent="0.15"/>
    <row r="2686" customFormat="1" ht="13" x14ac:dyDescent="0.15"/>
    <row r="2687" customFormat="1" ht="13" x14ac:dyDescent="0.15"/>
    <row r="2688" customFormat="1" ht="13" x14ac:dyDescent="0.15"/>
    <row r="2689" customFormat="1" ht="13" x14ac:dyDescent="0.15"/>
    <row r="2690" customFormat="1" ht="13" x14ac:dyDescent="0.15"/>
    <row r="2691" customFormat="1" ht="13" x14ac:dyDescent="0.15"/>
    <row r="2692" customFormat="1" ht="13" x14ac:dyDescent="0.15"/>
    <row r="2693" customFormat="1" ht="13" x14ac:dyDescent="0.15"/>
    <row r="2694" customFormat="1" ht="13" x14ac:dyDescent="0.15"/>
    <row r="2695" customFormat="1" ht="13" x14ac:dyDescent="0.15"/>
    <row r="2696" customFormat="1" ht="13" x14ac:dyDescent="0.15"/>
    <row r="2697" customFormat="1" ht="13" x14ac:dyDescent="0.15"/>
    <row r="2698" customFormat="1" ht="13" x14ac:dyDescent="0.15"/>
    <row r="2699" customFormat="1" ht="13" x14ac:dyDescent="0.15"/>
    <row r="2700" customFormat="1" ht="13" x14ac:dyDescent="0.15"/>
    <row r="2701" customFormat="1" ht="13" x14ac:dyDescent="0.15"/>
    <row r="2702" customFormat="1" ht="13" x14ac:dyDescent="0.15"/>
    <row r="2703" customFormat="1" ht="13" x14ac:dyDescent="0.15"/>
    <row r="2704" customFormat="1" ht="13" x14ac:dyDescent="0.15"/>
    <row r="2705" customFormat="1" ht="13" x14ac:dyDescent="0.15"/>
    <row r="2706" customFormat="1" ht="13" x14ac:dyDescent="0.15"/>
    <row r="2707" customFormat="1" ht="13" x14ac:dyDescent="0.15"/>
    <row r="2708" customFormat="1" ht="13" x14ac:dyDescent="0.15"/>
    <row r="2709" customFormat="1" ht="13" x14ac:dyDescent="0.15"/>
    <row r="2710" customFormat="1" ht="13" x14ac:dyDescent="0.15"/>
    <row r="2711" customFormat="1" ht="13" x14ac:dyDescent="0.15"/>
    <row r="2712" customFormat="1" ht="13" x14ac:dyDescent="0.15"/>
    <row r="2713" customFormat="1" ht="13" x14ac:dyDescent="0.15"/>
    <row r="2714" customFormat="1" ht="13" x14ac:dyDescent="0.15"/>
    <row r="2715" customFormat="1" ht="13" x14ac:dyDescent="0.15"/>
    <row r="2716" customFormat="1" ht="13" x14ac:dyDescent="0.15"/>
    <row r="2717" customFormat="1" ht="13" x14ac:dyDescent="0.15"/>
    <row r="2718" customFormat="1" ht="13" x14ac:dyDescent="0.15"/>
    <row r="2719" customFormat="1" ht="13" x14ac:dyDescent="0.15"/>
    <row r="2720" customFormat="1" ht="13" x14ac:dyDescent="0.15"/>
    <row r="2721" customFormat="1" ht="13" x14ac:dyDescent="0.15"/>
    <row r="2722" customFormat="1" ht="13" x14ac:dyDescent="0.15"/>
    <row r="2723" customFormat="1" ht="13" x14ac:dyDescent="0.15"/>
    <row r="2724" customFormat="1" ht="13" x14ac:dyDescent="0.15"/>
    <row r="2725" customFormat="1" ht="13" x14ac:dyDescent="0.15"/>
    <row r="2726" customFormat="1" ht="13" x14ac:dyDescent="0.15"/>
    <row r="2727" customFormat="1" ht="13" x14ac:dyDescent="0.15"/>
    <row r="2728" customFormat="1" ht="13" x14ac:dyDescent="0.15"/>
    <row r="2729" customFormat="1" ht="13" x14ac:dyDescent="0.15"/>
    <row r="2730" customFormat="1" ht="13" x14ac:dyDescent="0.15"/>
    <row r="2731" customFormat="1" ht="13" x14ac:dyDescent="0.15"/>
    <row r="2732" customFormat="1" ht="13" x14ac:dyDescent="0.15"/>
    <row r="2733" customFormat="1" ht="13" x14ac:dyDescent="0.15"/>
    <row r="2734" customFormat="1" ht="13" x14ac:dyDescent="0.15"/>
    <row r="2735" customFormat="1" ht="13" x14ac:dyDescent="0.15"/>
    <row r="2736" customFormat="1" ht="13" x14ac:dyDescent="0.15"/>
    <row r="2737" customFormat="1" ht="13" x14ac:dyDescent="0.15"/>
    <row r="2738" customFormat="1" ht="13" x14ac:dyDescent="0.15"/>
    <row r="2739" customFormat="1" ht="13" x14ac:dyDescent="0.15"/>
    <row r="2740" customFormat="1" ht="13" x14ac:dyDescent="0.15"/>
    <row r="2741" customFormat="1" ht="13" x14ac:dyDescent="0.15"/>
    <row r="2742" customFormat="1" ht="13" x14ac:dyDescent="0.15"/>
    <row r="2743" customFormat="1" ht="13" x14ac:dyDescent="0.15"/>
    <row r="2744" customFormat="1" ht="13" x14ac:dyDescent="0.15"/>
    <row r="2745" customFormat="1" ht="13" x14ac:dyDescent="0.15"/>
    <row r="2746" customFormat="1" ht="13" x14ac:dyDescent="0.15"/>
    <row r="2747" customFormat="1" ht="13" x14ac:dyDescent="0.15"/>
    <row r="2748" customFormat="1" ht="13" x14ac:dyDescent="0.15"/>
    <row r="2749" customFormat="1" ht="13" x14ac:dyDescent="0.15"/>
    <row r="2750" customFormat="1" ht="13" x14ac:dyDescent="0.15"/>
    <row r="2751" customFormat="1" ht="13" x14ac:dyDescent="0.15"/>
    <row r="2752" customFormat="1" ht="13" x14ac:dyDescent="0.15"/>
    <row r="2753" customFormat="1" ht="13" x14ac:dyDescent="0.15"/>
    <row r="2754" customFormat="1" ht="13" x14ac:dyDescent="0.15"/>
    <row r="2755" customFormat="1" ht="13" x14ac:dyDescent="0.15"/>
    <row r="2756" customFormat="1" ht="13" x14ac:dyDescent="0.15"/>
    <row r="2757" customFormat="1" ht="13" x14ac:dyDescent="0.15"/>
    <row r="2758" customFormat="1" ht="13" x14ac:dyDescent="0.15"/>
    <row r="2759" customFormat="1" ht="13" x14ac:dyDescent="0.15"/>
    <row r="2760" customFormat="1" ht="13" x14ac:dyDescent="0.15"/>
    <row r="2761" customFormat="1" ht="13" x14ac:dyDescent="0.15"/>
    <row r="2762" customFormat="1" ht="13" x14ac:dyDescent="0.15"/>
    <row r="2763" customFormat="1" ht="13" x14ac:dyDescent="0.15"/>
    <row r="2764" customFormat="1" ht="13" x14ac:dyDescent="0.15"/>
    <row r="2765" customFormat="1" ht="13" x14ac:dyDescent="0.15"/>
    <row r="2766" customFormat="1" ht="13" x14ac:dyDescent="0.15"/>
    <row r="2767" customFormat="1" ht="13" x14ac:dyDescent="0.15"/>
    <row r="2768" customFormat="1" ht="13" x14ac:dyDescent="0.15"/>
    <row r="2769" customFormat="1" ht="13" x14ac:dyDescent="0.15"/>
    <row r="2770" customFormat="1" ht="13" x14ac:dyDescent="0.15"/>
    <row r="2771" customFormat="1" ht="13" x14ac:dyDescent="0.15"/>
    <row r="2772" customFormat="1" ht="13" x14ac:dyDescent="0.15"/>
    <row r="2773" customFormat="1" ht="13" x14ac:dyDescent="0.15"/>
    <row r="2774" customFormat="1" ht="13" x14ac:dyDescent="0.15"/>
    <row r="2775" customFormat="1" ht="13" x14ac:dyDescent="0.15"/>
    <row r="2776" customFormat="1" ht="13" x14ac:dyDescent="0.15"/>
    <row r="2777" customFormat="1" ht="13" x14ac:dyDescent="0.15"/>
    <row r="2778" customFormat="1" ht="13" x14ac:dyDescent="0.15"/>
    <row r="2779" customFormat="1" ht="13" x14ac:dyDescent="0.15"/>
    <row r="2780" customFormat="1" ht="13" x14ac:dyDescent="0.15"/>
    <row r="2781" customFormat="1" ht="13" x14ac:dyDescent="0.15"/>
    <row r="2782" customFormat="1" ht="13" x14ac:dyDescent="0.15"/>
    <row r="2783" customFormat="1" ht="13" x14ac:dyDescent="0.15"/>
    <row r="2784" customFormat="1" ht="13" x14ac:dyDescent="0.15"/>
    <row r="2785" customFormat="1" ht="13" x14ac:dyDescent="0.15"/>
    <row r="2786" customFormat="1" ht="13" x14ac:dyDescent="0.15"/>
    <row r="2787" customFormat="1" ht="13" x14ac:dyDescent="0.15"/>
    <row r="2788" customFormat="1" ht="13" x14ac:dyDescent="0.15"/>
    <row r="2789" customFormat="1" ht="13" x14ac:dyDescent="0.15"/>
    <row r="2790" customFormat="1" ht="13" x14ac:dyDescent="0.15"/>
    <row r="2791" customFormat="1" ht="13" x14ac:dyDescent="0.15"/>
    <row r="2792" customFormat="1" ht="13" x14ac:dyDescent="0.15"/>
    <row r="2793" customFormat="1" ht="13" x14ac:dyDescent="0.15"/>
    <row r="2794" customFormat="1" ht="13" x14ac:dyDescent="0.15"/>
    <row r="2795" customFormat="1" ht="13" x14ac:dyDescent="0.15"/>
    <row r="2796" customFormat="1" ht="13" x14ac:dyDescent="0.15"/>
    <row r="2797" customFormat="1" ht="13" x14ac:dyDescent="0.15"/>
    <row r="2798" customFormat="1" ht="13" x14ac:dyDescent="0.15"/>
    <row r="2799" customFormat="1" ht="13" x14ac:dyDescent="0.15"/>
    <row r="2800" customFormat="1" ht="13" x14ac:dyDescent="0.15"/>
    <row r="2801" customFormat="1" ht="13" x14ac:dyDescent="0.15"/>
    <row r="2802" customFormat="1" ht="13" x14ac:dyDescent="0.15"/>
    <row r="2803" customFormat="1" ht="13" x14ac:dyDescent="0.15"/>
    <row r="2804" customFormat="1" ht="13" x14ac:dyDescent="0.15"/>
    <row r="2805" customFormat="1" ht="13" x14ac:dyDescent="0.15"/>
    <row r="2806" customFormat="1" ht="13" x14ac:dyDescent="0.15"/>
    <row r="2807" customFormat="1" ht="13" x14ac:dyDescent="0.15"/>
    <row r="2808" customFormat="1" ht="13" x14ac:dyDescent="0.15"/>
    <row r="2809" customFormat="1" ht="13" x14ac:dyDescent="0.15"/>
    <row r="2810" customFormat="1" ht="13" x14ac:dyDescent="0.15"/>
    <row r="2811" customFormat="1" ht="13" x14ac:dyDescent="0.15"/>
    <row r="2812" customFormat="1" ht="13" x14ac:dyDescent="0.15"/>
    <row r="2813" customFormat="1" ht="13" x14ac:dyDescent="0.15"/>
    <row r="2814" customFormat="1" ht="13" x14ac:dyDescent="0.15"/>
    <row r="2815" customFormat="1" ht="13" x14ac:dyDescent="0.15"/>
    <row r="2816" customFormat="1" ht="13" x14ac:dyDescent="0.15"/>
    <row r="2817" customFormat="1" ht="13" x14ac:dyDescent="0.15"/>
    <row r="2818" customFormat="1" ht="13" x14ac:dyDescent="0.15"/>
    <row r="2819" customFormat="1" ht="13" x14ac:dyDescent="0.15"/>
    <row r="2820" customFormat="1" ht="13" x14ac:dyDescent="0.15"/>
    <row r="2821" customFormat="1" ht="13" x14ac:dyDescent="0.15"/>
    <row r="2822" customFormat="1" ht="13" x14ac:dyDescent="0.15"/>
    <row r="2823" customFormat="1" ht="13" x14ac:dyDescent="0.15"/>
    <row r="2824" customFormat="1" ht="13" x14ac:dyDescent="0.15"/>
    <row r="2825" customFormat="1" ht="13" x14ac:dyDescent="0.15"/>
    <row r="2826" customFormat="1" ht="13" x14ac:dyDescent="0.15"/>
    <row r="2827" customFormat="1" ht="13" x14ac:dyDescent="0.15"/>
    <row r="2828" customFormat="1" ht="13" x14ac:dyDescent="0.15"/>
    <row r="2829" customFormat="1" ht="13" x14ac:dyDescent="0.15"/>
    <row r="2830" customFormat="1" ht="13" x14ac:dyDescent="0.15"/>
    <row r="2831" customFormat="1" ht="13" x14ac:dyDescent="0.15"/>
    <row r="2832" customFormat="1" ht="13" x14ac:dyDescent="0.15"/>
    <row r="2833" customFormat="1" ht="13" x14ac:dyDescent="0.15"/>
    <row r="2834" customFormat="1" ht="13" x14ac:dyDescent="0.15"/>
    <row r="2835" customFormat="1" ht="13" x14ac:dyDescent="0.15"/>
    <row r="2836" customFormat="1" ht="13" x14ac:dyDescent="0.15"/>
    <row r="2837" customFormat="1" ht="13" x14ac:dyDescent="0.15"/>
    <row r="2838" customFormat="1" ht="13" x14ac:dyDescent="0.15"/>
    <row r="2839" customFormat="1" ht="13" x14ac:dyDescent="0.15"/>
    <row r="2840" customFormat="1" ht="13" x14ac:dyDescent="0.15"/>
    <row r="2841" customFormat="1" ht="13" x14ac:dyDescent="0.15"/>
    <row r="2842" customFormat="1" ht="13" x14ac:dyDescent="0.15"/>
    <row r="2843" customFormat="1" ht="13" x14ac:dyDescent="0.15"/>
    <row r="2844" customFormat="1" ht="13" x14ac:dyDescent="0.15"/>
    <row r="2845" customFormat="1" ht="13" x14ac:dyDescent="0.15"/>
    <row r="2846" customFormat="1" ht="13" x14ac:dyDescent="0.15"/>
    <row r="2847" customFormat="1" ht="13" x14ac:dyDescent="0.15"/>
    <row r="2848" customFormat="1" ht="13" x14ac:dyDescent="0.15"/>
    <row r="2849" customFormat="1" ht="13" x14ac:dyDescent="0.15"/>
    <row r="2850" customFormat="1" ht="13" x14ac:dyDescent="0.15"/>
    <row r="2851" customFormat="1" ht="13" x14ac:dyDescent="0.15"/>
    <row r="2852" customFormat="1" ht="13" x14ac:dyDescent="0.15"/>
    <row r="2853" customFormat="1" ht="13" x14ac:dyDescent="0.15"/>
    <row r="2854" customFormat="1" ht="13" x14ac:dyDescent="0.15"/>
    <row r="2855" customFormat="1" ht="13" x14ac:dyDescent="0.15"/>
    <row r="2856" customFormat="1" ht="13" x14ac:dyDescent="0.15"/>
    <row r="2857" customFormat="1" ht="13" x14ac:dyDescent="0.15"/>
    <row r="2858" customFormat="1" ht="13" x14ac:dyDescent="0.15"/>
    <row r="2859" customFormat="1" ht="13" x14ac:dyDescent="0.15"/>
    <row r="2860" customFormat="1" ht="13" x14ac:dyDescent="0.15"/>
    <row r="2861" customFormat="1" ht="13" x14ac:dyDescent="0.15"/>
    <row r="2862" customFormat="1" ht="13" x14ac:dyDescent="0.15"/>
    <row r="2863" customFormat="1" ht="13" x14ac:dyDescent="0.15"/>
    <row r="2864" customFormat="1" ht="13" x14ac:dyDescent="0.15"/>
    <row r="2865" customFormat="1" ht="13" x14ac:dyDescent="0.15"/>
    <row r="2866" customFormat="1" ht="13" x14ac:dyDescent="0.15"/>
    <row r="2867" customFormat="1" ht="13" x14ac:dyDescent="0.15"/>
    <row r="2868" customFormat="1" ht="13" x14ac:dyDescent="0.15"/>
    <row r="2869" customFormat="1" ht="13" x14ac:dyDescent="0.15"/>
    <row r="2870" customFormat="1" ht="13" x14ac:dyDescent="0.15"/>
    <row r="2871" customFormat="1" ht="13" x14ac:dyDescent="0.15"/>
    <row r="2872" customFormat="1" ht="13" x14ac:dyDescent="0.15"/>
    <row r="2873" customFormat="1" ht="13" x14ac:dyDescent="0.15"/>
    <row r="2874" customFormat="1" ht="13" x14ac:dyDescent="0.15"/>
    <row r="2875" customFormat="1" ht="13" x14ac:dyDescent="0.15"/>
    <row r="2876" customFormat="1" ht="13" x14ac:dyDescent="0.15"/>
    <row r="2877" customFormat="1" ht="13" x14ac:dyDescent="0.15"/>
    <row r="2878" customFormat="1" ht="13" x14ac:dyDescent="0.15"/>
    <row r="2879" customFormat="1" ht="13" x14ac:dyDescent="0.15"/>
    <row r="2880" customFormat="1" ht="13" x14ac:dyDescent="0.15"/>
    <row r="2881" customFormat="1" ht="13" x14ac:dyDescent="0.15"/>
    <row r="2882" customFormat="1" ht="13" x14ac:dyDescent="0.15"/>
    <row r="2883" customFormat="1" ht="13" x14ac:dyDescent="0.15"/>
    <row r="2884" customFormat="1" ht="13" x14ac:dyDescent="0.15"/>
    <row r="2885" customFormat="1" ht="13" x14ac:dyDescent="0.15"/>
    <row r="2886" customFormat="1" ht="13" x14ac:dyDescent="0.15"/>
    <row r="2887" customFormat="1" ht="13" x14ac:dyDescent="0.15"/>
    <row r="2888" customFormat="1" ht="13" x14ac:dyDescent="0.15"/>
    <row r="2889" customFormat="1" ht="13" x14ac:dyDescent="0.15"/>
    <row r="2890" customFormat="1" ht="13" x14ac:dyDescent="0.15"/>
    <row r="2891" customFormat="1" ht="13" x14ac:dyDescent="0.15"/>
    <row r="2892" customFormat="1" ht="13" x14ac:dyDescent="0.15"/>
    <row r="2893" customFormat="1" ht="13" x14ac:dyDescent="0.15"/>
    <row r="2894" customFormat="1" ht="13" x14ac:dyDescent="0.15"/>
    <row r="2895" customFormat="1" ht="13" x14ac:dyDescent="0.15"/>
    <row r="2896" customFormat="1" ht="13" x14ac:dyDescent="0.15"/>
    <row r="2897" customFormat="1" ht="13" x14ac:dyDescent="0.15"/>
    <row r="2898" customFormat="1" ht="13" x14ac:dyDescent="0.15"/>
    <row r="2899" customFormat="1" ht="13" x14ac:dyDescent="0.15"/>
    <row r="2900" customFormat="1" ht="13" x14ac:dyDescent="0.15"/>
    <row r="2901" customFormat="1" ht="13" x14ac:dyDescent="0.15"/>
    <row r="2902" customFormat="1" ht="13" x14ac:dyDescent="0.15"/>
    <row r="2903" customFormat="1" ht="13" x14ac:dyDescent="0.15"/>
    <row r="2904" customFormat="1" ht="13" x14ac:dyDescent="0.15"/>
    <row r="2905" customFormat="1" ht="13" x14ac:dyDescent="0.15"/>
    <row r="2906" customFormat="1" ht="13" x14ac:dyDescent="0.15"/>
    <row r="2907" customFormat="1" ht="13" x14ac:dyDescent="0.15"/>
    <row r="2908" customFormat="1" ht="13" x14ac:dyDescent="0.15"/>
    <row r="2909" customFormat="1" ht="13" x14ac:dyDescent="0.15"/>
    <row r="2910" customFormat="1" ht="13" x14ac:dyDescent="0.15"/>
    <row r="2911" customFormat="1" ht="13" x14ac:dyDescent="0.15"/>
    <row r="2912" customFormat="1" ht="13" x14ac:dyDescent="0.15"/>
    <row r="2913" customFormat="1" ht="13" x14ac:dyDescent="0.15"/>
    <row r="2914" customFormat="1" ht="13" x14ac:dyDescent="0.15"/>
    <row r="2915" customFormat="1" ht="13" x14ac:dyDescent="0.15"/>
    <row r="2916" customFormat="1" ht="13" x14ac:dyDescent="0.15"/>
    <row r="2917" customFormat="1" ht="13" x14ac:dyDescent="0.15"/>
    <row r="2918" customFormat="1" ht="13" x14ac:dyDescent="0.15"/>
    <row r="2919" customFormat="1" ht="13" x14ac:dyDescent="0.15"/>
    <row r="2920" customFormat="1" ht="13" x14ac:dyDescent="0.15"/>
    <row r="2921" customFormat="1" ht="13" x14ac:dyDescent="0.15"/>
    <row r="2922" customFormat="1" ht="13" x14ac:dyDescent="0.15"/>
    <row r="2923" customFormat="1" ht="13" x14ac:dyDescent="0.15"/>
    <row r="2924" customFormat="1" ht="13" x14ac:dyDescent="0.15"/>
    <row r="2925" customFormat="1" ht="13" x14ac:dyDescent="0.15"/>
    <row r="2926" customFormat="1" ht="13" x14ac:dyDescent="0.15"/>
    <row r="2927" customFormat="1" ht="13" x14ac:dyDescent="0.15"/>
    <row r="2928" customFormat="1" ht="13" x14ac:dyDescent="0.15"/>
    <row r="2929" customFormat="1" ht="13" x14ac:dyDescent="0.15"/>
    <row r="2930" customFormat="1" ht="13" x14ac:dyDescent="0.15"/>
    <row r="2931" customFormat="1" ht="13" x14ac:dyDescent="0.15"/>
    <row r="2932" customFormat="1" ht="13" x14ac:dyDescent="0.15"/>
    <row r="2933" customFormat="1" ht="13" x14ac:dyDescent="0.15"/>
    <row r="2934" customFormat="1" ht="13" x14ac:dyDescent="0.15"/>
    <row r="2935" customFormat="1" ht="13" x14ac:dyDescent="0.15"/>
    <row r="2936" customFormat="1" ht="13" x14ac:dyDescent="0.15"/>
    <row r="2937" customFormat="1" ht="13" x14ac:dyDescent="0.15"/>
    <row r="2938" customFormat="1" ht="13" x14ac:dyDescent="0.15"/>
    <row r="2939" customFormat="1" ht="13" x14ac:dyDescent="0.15"/>
    <row r="2940" customFormat="1" ht="13" x14ac:dyDescent="0.15"/>
    <row r="2941" customFormat="1" ht="13" x14ac:dyDescent="0.15"/>
    <row r="2942" customFormat="1" ht="13" x14ac:dyDescent="0.15"/>
    <row r="2943" customFormat="1" ht="13" x14ac:dyDescent="0.15"/>
    <row r="2944" customFormat="1" ht="13" x14ac:dyDescent="0.15"/>
    <row r="2945" customFormat="1" ht="13" x14ac:dyDescent="0.15"/>
    <row r="2946" customFormat="1" ht="13" x14ac:dyDescent="0.15"/>
    <row r="2947" customFormat="1" ht="13" x14ac:dyDescent="0.15"/>
    <row r="2948" customFormat="1" ht="13" x14ac:dyDescent="0.15"/>
    <row r="2949" customFormat="1" ht="13" x14ac:dyDescent="0.15"/>
    <row r="2950" customFormat="1" ht="13" x14ac:dyDescent="0.15"/>
    <row r="2951" customFormat="1" ht="13" x14ac:dyDescent="0.15"/>
    <row r="2952" customFormat="1" ht="13" x14ac:dyDescent="0.15"/>
    <row r="2953" customFormat="1" ht="13" x14ac:dyDescent="0.15"/>
    <row r="2954" customFormat="1" ht="13" x14ac:dyDescent="0.15"/>
    <row r="2955" customFormat="1" ht="13" x14ac:dyDescent="0.15"/>
    <row r="2956" customFormat="1" ht="13" x14ac:dyDescent="0.15"/>
    <row r="2957" customFormat="1" ht="13" x14ac:dyDescent="0.15"/>
    <row r="2958" customFormat="1" ht="13" x14ac:dyDescent="0.15"/>
    <row r="2959" customFormat="1" ht="13" x14ac:dyDescent="0.15"/>
    <row r="2960" customFormat="1" ht="13" x14ac:dyDescent="0.15"/>
    <row r="2961" customFormat="1" ht="13" x14ac:dyDescent="0.15"/>
    <row r="2962" customFormat="1" ht="13" x14ac:dyDescent="0.15"/>
    <row r="2963" customFormat="1" ht="13" x14ac:dyDescent="0.15"/>
    <row r="2964" customFormat="1" ht="13" x14ac:dyDescent="0.15"/>
    <row r="2965" customFormat="1" ht="13" x14ac:dyDescent="0.15"/>
    <row r="2966" customFormat="1" ht="13" x14ac:dyDescent="0.15"/>
    <row r="2967" customFormat="1" ht="13" x14ac:dyDescent="0.15"/>
    <row r="2968" customFormat="1" ht="13" x14ac:dyDescent="0.15"/>
    <row r="2969" customFormat="1" ht="13" x14ac:dyDescent="0.15"/>
    <row r="2970" customFormat="1" ht="13" x14ac:dyDescent="0.15"/>
    <row r="2971" customFormat="1" ht="13" x14ac:dyDescent="0.15"/>
    <row r="2972" customFormat="1" ht="13" x14ac:dyDescent="0.15"/>
    <row r="2973" customFormat="1" ht="13" x14ac:dyDescent="0.15"/>
    <row r="2974" customFormat="1" ht="13" x14ac:dyDescent="0.15"/>
    <row r="2975" customFormat="1" ht="13" x14ac:dyDescent="0.15"/>
    <row r="2976" customFormat="1" ht="13" x14ac:dyDescent="0.15"/>
    <row r="2977" customFormat="1" ht="13" x14ac:dyDescent="0.15"/>
    <row r="2978" customFormat="1" ht="13" x14ac:dyDescent="0.15"/>
    <row r="2979" customFormat="1" ht="13" x14ac:dyDescent="0.15"/>
    <row r="2980" customFormat="1" ht="13" x14ac:dyDescent="0.15"/>
    <row r="2981" customFormat="1" ht="13" x14ac:dyDescent="0.15"/>
    <row r="2982" customFormat="1" ht="13" x14ac:dyDescent="0.15"/>
    <row r="2983" customFormat="1" ht="13" x14ac:dyDescent="0.15"/>
    <row r="2984" customFormat="1" ht="13" x14ac:dyDescent="0.15"/>
    <row r="2985" customFormat="1" ht="13" x14ac:dyDescent="0.15"/>
    <row r="2986" customFormat="1" ht="13" x14ac:dyDescent="0.15"/>
    <row r="2987" customFormat="1" ht="13" x14ac:dyDescent="0.15"/>
    <row r="2988" customFormat="1" ht="13" x14ac:dyDescent="0.15"/>
    <row r="2989" customFormat="1" ht="13" x14ac:dyDescent="0.15"/>
    <row r="2990" customFormat="1" ht="13" x14ac:dyDescent="0.15"/>
    <row r="2991" customFormat="1" ht="13" x14ac:dyDescent="0.15"/>
    <row r="2992" customFormat="1" ht="13" x14ac:dyDescent="0.15"/>
    <row r="2993" customFormat="1" ht="13" x14ac:dyDescent="0.15"/>
    <row r="2994" customFormat="1" ht="13" x14ac:dyDescent="0.15"/>
    <row r="2995" customFormat="1" ht="13" x14ac:dyDescent="0.15"/>
    <row r="2996" customFormat="1" ht="13" x14ac:dyDescent="0.15"/>
    <row r="2997" customFormat="1" ht="13" x14ac:dyDescent="0.15"/>
    <row r="2998" customFormat="1" ht="13" x14ac:dyDescent="0.15"/>
    <row r="2999" customFormat="1" ht="13" x14ac:dyDescent="0.15"/>
    <row r="3000" customFormat="1" ht="13" x14ac:dyDescent="0.15"/>
    <row r="3001" customFormat="1" ht="13" x14ac:dyDescent="0.15"/>
    <row r="3002" customFormat="1" ht="13" x14ac:dyDescent="0.15"/>
    <row r="3003" customFormat="1" ht="13" x14ac:dyDescent="0.15"/>
    <row r="3004" customFormat="1" ht="13" x14ac:dyDescent="0.15"/>
    <row r="3005" customFormat="1" ht="13" x14ac:dyDescent="0.15"/>
    <row r="3006" customFormat="1" ht="13" x14ac:dyDescent="0.15"/>
    <row r="3007" customFormat="1" ht="13" x14ac:dyDescent="0.15"/>
    <row r="3008" customFormat="1" ht="13" x14ac:dyDescent="0.15"/>
    <row r="3009" customFormat="1" ht="13" x14ac:dyDescent="0.15"/>
    <row r="3010" customFormat="1" ht="13" x14ac:dyDescent="0.15"/>
    <row r="3011" customFormat="1" ht="13" x14ac:dyDescent="0.15"/>
    <row r="3012" customFormat="1" ht="13" x14ac:dyDescent="0.15"/>
    <row r="3013" customFormat="1" ht="13" x14ac:dyDescent="0.15"/>
    <row r="3014" customFormat="1" ht="13" x14ac:dyDescent="0.15"/>
    <row r="3015" customFormat="1" ht="13" x14ac:dyDescent="0.15"/>
    <row r="3016" customFormat="1" ht="13" x14ac:dyDescent="0.15"/>
    <row r="3017" customFormat="1" ht="13" x14ac:dyDescent="0.15"/>
    <row r="3018" customFormat="1" ht="13" x14ac:dyDescent="0.15"/>
    <row r="3019" customFormat="1" ht="13" x14ac:dyDescent="0.15"/>
    <row r="3020" customFormat="1" ht="13" x14ac:dyDescent="0.15"/>
    <row r="3021" customFormat="1" ht="13" x14ac:dyDescent="0.15"/>
    <row r="3022" customFormat="1" ht="13" x14ac:dyDescent="0.15"/>
    <row r="3023" customFormat="1" ht="13" x14ac:dyDescent="0.15"/>
    <row r="3024" customFormat="1" ht="13" x14ac:dyDescent="0.15"/>
    <row r="3025" customFormat="1" ht="13" x14ac:dyDescent="0.15"/>
    <row r="3026" customFormat="1" ht="13" x14ac:dyDescent="0.15"/>
    <row r="3027" customFormat="1" ht="13" x14ac:dyDescent="0.15"/>
    <row r="3028" customFormat="1" ht="13" x14ac:dyDescent="0.15"/>
    <row r="3029" customFormat="1" ht="13" x14ac:dyDescent="0.15"/>
    <row r="3030" customFormat="1" ht="13" x14ac:dyDescent="0.15"/>
    <row r="3031" customFormat="1" ht="13" x14ac:dyDescent="0.15"/>
    <row r="3032" customFormat="1" ht="13" x14ac:dyDescent="0.15"/>
    <row r="3033" customFormat="1" ht="13" x14ac:dyDescent="0.15"/>
    <row r="3034" customFormat="1" ht="13" x14ac:dyDescent="0.15"/>
    <row r="3035" customFormat="1" ht="13" x14ac:dyDescent="0.15"/>
    <row r="3036" customFormat="1" ht="13" x14ac:dyDescent="0.15"/>
    <row r="3037" customFormat="1" ht="13" x14ac:dyDescent="0.15"/>
    <row r="3038" customFormat="1" ht="13" x14ac:dyDescent="0.15"/>
    <row r="3039" customFormat="1" ht="13" x14ac:dyDescent="0.15"/>
    <row r="3040" customFormat="1" ht="13" x14ac:dyDescent="0.15"/>
    <row r="3041" customFormat="1" ht="13" x14ac:dyDescent="0.15"/>
    <row r="3042" customFormat="1" ht="13" x14ac:dyDescent="0.15"/>
    <row r="3043" customFormat="1" ht="13" x14ac:dyDescent="0.15"/>
    <row r="3044" customFormat="1" ht="13" x14ac:dyDescent="0.15"/>
    <row r="3045" customFormat="1" ht="13" x14ac:dyDescent="0.15"/>
    <row r="3046" customFormat="1" ht="13" x14ac:dyDescent="0.15"/>
    <row r="3047" customFormat="1" ht="13" x14ac:dyDescent="0.15"/>
    <row r="3048" customFormat="1" ht="13" x14ac:dyDescent="0.15"/>
    <row r="3049" customFormat="1" ht="13" x14ac:dyDescent="0.15"/>
    <row r="3050" customFormat="1" ht="13" x14ac:dyDescent="0.15"/>
    <row r="3051" customFormat="1" ht="13" x14ac:dyDescent="0.15"/>
    <row r="3052" customFormat="1" ht="13" x14ac:dyDescent="0.15"/>
    <row r="3053" customFormat="1" ht="13" x14ac:dyDescent="0.15"/>
    <row r="3054" customFormat="1" ht="13" x14ac:dyDescent="0.15"/>
    <row r="3055" customFormat="1" ht="13" x14ac:dyDescent="0.15"/>
    <row r="3056" customFormat="1" ht="13" x14ac:dyDescent="0.15"/>
    <row r="3057" customFormat="1" ht="13" x14ac:dyDescent="0.15"/>
    <row r="3058" customFormat="1" ht="13" x14ac:dyDescent="0.15"/>
    <row r="3059" customFormat="1" ht="13" x14ac:dyDescent="0.15"/>
    <row r="3060" customFormat="1" ht="13" x14ac:dyDescent="0.15"/>
    <row r="3061" customFormat="1" ht="13" x14ac:dyDescent="0.15"/>
    <row r="3062" customFormat="1" ht="13" x14ac:dyDescent="0.15"/>
    <row r="3063" customFormat="1" ht="13" x14ac:dyDescent="0.15"/>
    <row r="3064" customFormat="1" ht="13" x14ac:dyDescent="0.15"/>
    <row r="3065" customFormat="1" ht="13" x14ac:dyDescent="0.15"/>
    <row r="3066" customFormat="1" ht="13" x14ac:dyDescent="0.15"/>
    <row r="3067" customFormat="1" ht="13" x14ac:dyDescent="0.15"/>
    <row r="3068" customFormat="1" ht="13" x14ac:dyDescent="0.15"/>
    <row r="3069" customFormat="1" ht="13" x14ac:dyDescent="0.15"/>
    <row r="3070" customFormat="1" ht="13" x14ac:dyDescent="0.15"/>
    <row r="3071" customFormat="1" ht="13" x14ac:dyDescent="0.15"/>
    <row r="3072" customFormat="1" ht="13" x14ac:dyDescent="0.15"/>
    <row r="3073" customFormat="1" ht="13" x14ac:dyDescent="0.15"/>
    <row r="3074" customFormat="1" ht="13" x14ac:dyDescent="0.15"/>
    <row r="3075" customFormat="1" ht="13" x14ac:dyDescent="0.15"/>
    <row r="3076" customFormat="1" ht="13" x14ac:dyDescent="0.15"/>
    <row r="3077" customFormat="1" ht="13" x14ac:dyDescent="0.15"/>
    <row r="3078" customFormat="1" ht="13" x14ac:dyDescent="0.15"/>
    <row r="3079" customFormat="1" ht="13" x14ac:dyDescent="0.15"/>
    <row r="3080" customFormat="1" ht="13" x14ac:dyDescent="0.15"/>
    <row r="3081" customFormat="1" ht="13" x14ac:dyDescent="0.15"/>
    <row r="3082" customFormat="1" ht="13" x14ac:dyDescent="0.15"/>
    <row r="3083" customFormat="1" ht="13" x14ac:dyDescent="0.15"/>
    <row r="3084" customFormat="1" ht="13" x14ac:dyDescent="0.15"/>
    <row r="3085" customFormat="1" ht="13" x14ac:dyDescent="0.15"/>
    <row r="3086" customFormat="1" ht="13" x14ac:dyDescent="0.15"/>
    <row r="3087" customFormat="1" ht="13" x14ac:dyDescent="0.15"/>
    <row r="3088" customFormat="1" ht="13" x14ac:dyDescent="0.15"/>
    <row r="3089" customFormat="1" ht="13" x14ac:dyDescent="0.15"/>
    <row r="3090" customFormat="1" ht="13" x14ac:dyDescent="0.15"/>
    <row r="3091" customFormat="1" ht="13" x14ac:dyDescent="0.15"/>
    <row r="3092" customFormat="1" ht="13" x14ac:dyDescent="0.15"/>
    <row r="3093" customFormat="1" ht="13" x14ac:dyDescent="0.15"/>
    <row r="3094" customFormat="1" ht="13" x14ac:dyDescent="0.15"/>
    <row r="3095" customFormat="1" ht="13" x14ac:dyDescent="0.15"/>
    <row r="3096" customFormat="1" ht="13" x14ac:dyDescent="0.15"/>
    <row r="3097" customFormat="1" ht="13" x14ac:dyDescent="0.15"/>
    <row r="3098" customFormat="1" ht="13" x14ac:dyDescent="0.15"/>
    <row r="3099" customFormat="1" ht="13" x14ac:dyDescent="0.15"/>
    <row r="3100" customFormat="1" ht="13" x14ac:dyDescent="0.15"/>
    <row r="3101" customFormat="1" ht="13" x14ac:dyDescent="0.15"/>
    <row r="3102" customFormat="1" ht="13" x14ac:dyDescent="0.15"/>
    <row r="3103" customFormat="1" ht="13" x14ac:dyDescent="0.15"/>
    <row r="3104" customFormat="1" ht="13" x14ac:dyDescent="0.15"/>
    <row r="3105" customFormat="1" ht="13" x14ac:dyDescent="0.15"/>
    <row r="3106" customFormat="1" ht="13" x14ac:dyDescent="0.15"/>
    <row r="3107" customFormat="1" ht="13" x14ac:dyDescent="0.15"/>
    <row r="3108" customFormat="1" ht="13" x14ac:dyDescent="0.15"/>
    <row r="3109" customFormat="1" ht="13" x14ac:dyDescent="0.15"/>
    <row r="3110" customFormat="1" ht="13" x14ac:dyDescent="0.15"/>
    <row r="3111" customFormat="1" ht="13" x14ac:dyDescent="0.15"/>
    <row r="3112" customFormat="1" ht="13" x14ac:dyDescent="0.15"/>
    <row r="3113" customFormat="1" ht="13" x14ac:dyDescent="0.15"/>
    <row r="3114" customFormat="1" ht="13" x14ac:dyDescent="0.15"/>
    <row r="3115" customFormat="1" ht="13" x14ac:dyDescent="0.15"/>
    <row r="3116" customFormat="1" ht="13" x14ac:dyDescent="0.15"/>
    <row r="3117" customFormat="1" ht="13" x14ac:dyDescent="0.15"/>
    <row r="3118" customFormat="1" ht="13" x14ac:dyDescent="0.15"/>
    <row r="3119" customFormat="1" ht="13" x14ac:dyDescent="0.15"/>
    <row r="3120" customFormat="1" ht="13" x14ac:dyDescent="0.15"/>
    <row r="3121" customFormat="1" ht="13" x14ac:dyDescent="0.15"/>
    <row r="3122" customFormat="1" ht="13" x14ac:dyDescent="0.15"/>
    <row r="3123" customFormat="1" ht="13" x14ac:dyDescent="0.15"/>
    <row r="3124" customFormat="1" ht="13" x14ac:dyDescent="0.15"/>
    <row r="3125" customFormat="1" ht="13" x14ac:dyDescent="0.15"/>
    <row r="3126" customFormat="1" ht="13" x14ac:dyDescent="0.15"/>
    <row r="3127" customFormat="1" ht="13" x14ac:dyDescent="0.15"/>
    <row r="3128" customFormat="1" ht="13" x14ac:dyDescent="0.15"/>
    <row r="3129" customFormat="1" ht="13" x14ac:dyDescent="0.15"/>
    <row r="3130" customFormat="1" ht="13" x14ac:dyDescent="0.15"/>
    <row r="3131" customFormat="1" ht="13" x14ac:dyDescent="0.15"/>
    <row r="3132" customFormat="1" ht="13" x14ac:dyDescent="0.15"/>
    <row r="3133" customFormat="1" ht="13" x14ac:dyDescent="0.15"/>
    <row r="3134" customFormat="1" ht="13" x14ac:dyDescent="0.15"/>
    <row r="3135" customFormat="1" ht="13" x14ac:dyDescent="0.15"/>
    <row r="3136" customFormat="1" ht="13" x14ac:dyDescent="0.15"/>
    <row r="3137" customFormat="1" ht="13" x14ac:dyDescent="0.15"/>
    <row r="3138" customFormat="1" ht="13" x14ac:dyDescent="0.15"/>
    <row r="3139" customFormat="1" ht="13" x14ac:dyDescent="0.15"/>
    <row r="3140" customFormat="1" ht="13" x14ac:dyDescent="0.15"/>
    <row r="3141" customFormat="1" ht="13" x14ac:dyDescent="0.15"/>
    <row r="3142" customFormat="1" ht="13" x14ac:dyDescent="0.15"/>
    <row r="3143" customFormat="1" ht="13" x14ac:dyDescent="0.15"/>
    <row r="3144" customFormat="1" ht="13" x14ac:dyDescent="0.15"/>
    <row r="3145" customFormat="1" ht="13" x14ac:dyDescent="0.15"/>
    <row r="3146" customFormat="1" ht="13" x14ac:dyDescent="0.15"/>
    <row r="3147" customFormat="1" ht="13" x14ac:dyDescent="0.15"/>
    <row r="3148" customFormat="1" ht="13" x14ac:dyDescent="0.15"/>
    <row r="3149" customFormat="1" ht="13" x14ac:dyDescent="0.15"/>
    <row r="3150" customFormat="1" ht="13" x14ac:dyDescent="0.15"/>
    <row r="3151" customFormat="1" ht="13" x14ac:dyDescent="0.15"/>
    <row r="3152" customFormat="1" ht="13" x14ac:dyDescent="0.15"/>
    <row r="3153" customFormat="1" ht="13" x14ac:dyDescent="0.15"/>
    <row r="3154" customFormat="1" ht="13" x14ac:dyDescent="0.15"/>
    <row r="3155" customFormat="1" ht="13" x14ac:dyDescent="0.15"/>
    <row r="3156" customFormat="1" ht="13" x14ac:dyDescent="0.15"/>
    <row r="3157" customFormat="1" ht="13" x14ac:dyDescent="0.15"/>
    <row r="3158" customFormat="1" ht="13" x14ac:dyDescent="0.15"/>
    <row r="3159" customFormat="1" ht="13" x14ac:dyDescent="0.15"/>
    <row r="3160" customFormat="1" ht="13" x14ac:dyDescent="0.15"/>
    <row r="3161" customFormat="1" ht="13" x14ac:dyDescent="0.15"/>
    <row r="3162" customFormat="1" ht="13" x14ac:dyDescent="0.15"/>
    <row r="3163" customFormat="1" ht="13" x14ac:dyDescent="0.15"/>
    <row r="3164" customFormat="1" ht="13" x14ac:dyDescent="0.15"/>
    <row r="3165" customFormat="1" ht="13" x14ac:dyDescent="0.15"/>
    <row r="3166" customFormat="1" ht="13" x14ac:dyDescent="0.15"/>
    <row r="3167" customFormat="1" ht="13" x14ac:dyDescent="0.15"/>
    <row r="3168" customFormat="1" ht="13" x14ac:dyDescent="0.15"/>
    <row r="3169" customFormat="1" ht="13" x14ac:dyDescent="0.15"/>
    <row r="3170" customFormat="1" ht="13" x14ac:dyDescent="0.15"/>
    <row r="3171" customFormat="1" ht="13" x14ac:dyDescent="0.15"/>
    <row r="3172" customFormat="1" ht="13" x14ac:dyDescent="0.15"/>
    <row r="3173" customFormat="1" ht="13" x14ac:dyDescent="0.15"/>
    <row r="3174" customFormat="1" ht="13" x14ac:dyDescent="0.15"/>
    <row r="3175" customFormat="1" ht="13" x14ac:dyDescent="0.15"/>
    <row r="3176" customFormat="1" ht="13" x14ac:dyDescent="0.15"/>
    <row r="3177" customFormat="1" ht="13" x14ac:dyDescent="0.15"/>
    <row r="3178" customFormat="1" ht="13" x14ac:dyDescent="0.15"/>
    <row r="3179" customFormat="1" ht="13" x14ac:dyDescent="0.15"/>
    <row r="3180" customFormat="1" ht="13" x14ac:dyDescent="0.15"/>
    <row r="3181" customFormat="1" ht="13" x14ac:dyDescent="0.15"/>
    <row r="3182" customFormat="1" ht="13" x14ac:dyDescent="0.15"/>
    <row r="3183" customFormat="1" ht="13" x14ac:dyDescent="0.15"/>
    <row r="3184" customFormat="1" ht="13" x14ac:dyDescent="0.15"/>
    <row r="3185" customFormat="1" ht="13" x14ac:dyDescent="0.15"/>
    <row r="3186" customFormat="1" ht="13" x14ac:dyDescent="0.15"/>
    <row r="3187" customFormat="1" ht="13" x14ac:dyDescent="0.15"/>
    <row r="3188" customFormat="1" ht="13" x14ac:dyDescent="0.15"/>
    <row r="3189" customFormat="1" ht="13" x14ac:dyDescent="0.15"/>
    <row r="3190" customFormat="1" ht="13" x14ac:dyDescent="0.15"/>
    <row r="3191" customFormat="1" ht="13" x14ac:dyDescent="0.15"/>
    <row r="3192" customFormat="1" ht="13" x14ac:dyDescent="0.15"/>
    <row r="3193" customFormat="1" ht="13" x14ac:dyDescent="0.15"/>
    <row r="3194" customFormat="1" ht="13" x14ac:dyDescent="0.15"/>
    <row r="3195" customFormat="1" ht="13" x14ac:dyDescent="0.15"/>
    <row r="3196" customFormat="1" ht="13" x14ac:dyDescent="0.15"/>
    <row r="3197" customFormat="1" ht="13" x14ac:dyDescent="0.15"/>
    <row r="3198" customFormat="1" ht="13" x14ac:dyDescent="0.15"/>
    <row r="3199" customFormat="1" ht="13" x14ac:dyDescent="0.15"/>
    <row r="3200" customFormat="1" ht="13" x14ac:dyDescent="0.15"/>
    <row r="3201" customFormat="1" ht="13" x14ac:dyDescent="0.15"/>
    <row r="3202" customFormat="1" ht="13" x14ac:dyDescent="0.15"/>
    <row r="3203" customFormat="1" ht="13" x14ac:dyDescent="0.15"/>
    <row r="3204" customFormat="1" ht="13" x14ac:dyDescent="0.15"/>
    <row r="3205" customFormat="1" ht="13" x14ac:dyDescent="0.15"/>
    <row r="3206" customFormat="1" ht="13" x14ac:dyDescent="0.15"/>
    <row r="3207" customFormat="1" ht="13" x14ac:dyDescent="0.15"/>
    <row r="3208" customFormat="1" ht="13" x14ac:dyDescent="0.15"/>
    <row r="3209" customFormat="1" ht="13" x14ac:dyDescent="0.15"/>
    <row r="3210" customFormat="1" ht="13" x14ac:dyDescent="0.15"/>
    <row r="3211" customFormat="1" ht="13" x14ac:dyDescent="0.15"/>
    <row r="3212" customFormat="1" ht="13" x14ac:dyDescent="0.15"/>
    <row r="3213" customFormat="1" ht="13" x14ac:dyDescent="0.15"/>
    <row r="3214" customFormat="1" ht="13" x14ac:dyDescent="0.15"/>
    <row r="3215" customFormat="1" ht="13" x14ac:dyDescent="0.15"/>
    <row r="3216" customFormat="1" ht="13" x14ac:dyDescent="0.15"/>
    <row r="3217" customFormat="1" ht="13" x14ac:dyDescent="0.15"/>
    <row r="3218" customFormat="1" ht="13" x14ac:dyDescent="0.15"/>
    <row r="3219" customFormat="1" ht="13" x14ac:dyDescent="0.15"/>
    <row r="3220" customFormat="1" ht="13" x14ac:dyDescent="0.15"/>
    <row r="3221" customFormat="1" ht="13" x14ac:dyDescent="0.15"/>
    <row r="3222" customFormat="1" ht="13" x14ac:dyDescent="0.15"/>
    <row r="3223" customFormat="1" ht="13" x14ac:dyDescent="0.15"/>
    <row r="3224" customFormat="1" ht="13" x14ac:dyDescent="0.15"/>
    <row r="3225" customFormat="1" ht="13" x14ac:dyDescent="0.15"/>
    <row r="3226" customFormat="1" ht="13" x14ac:dyDescent="0.15"/>
    <row r="3227" customFormat="1" ht="13" x14ac:dyDescent="0.15"/>
    <row r="3228" customFormat="1" ht="13" x14ac:dyDescent="0.15"/>
    <row r="3229" customFormat="1" ht="13" x14ac:dyDescent="0.15"/>
    <row r="3230" customFormat="1" ht="13" x14ac:dyDescent="0.15"/>
    <row r="3231" customFormat="1" ht="13" x14ac:dyDescent="0.15"/>
    <row r="3232" customFormat="1" ht="13" x14ac:dyDescent="0.15"/>
    <row r="3233" customFormat="1" ht="13" x14ac:dyDescent="0.15"/>
    <row r="3234" customFormat="1" ht="13" x14ac:dyDescent="0.15"/>
    <row r="3235" customFormat="1" ht="13" x14ac:dyDescent="0.15"/>
    <row r="3236" customFormat="1" ht="13" x14ac:dyDescent="0.15"/>
    <row r="3237" customFormat="1" ht="13" x14ac:dyDescent="0.15"/>
    <row r="3238" customFormat="1" ht="13" x14ac:dyDescent="0.15"/>
    <row r="3239" customFormat="1" ht="13" x14ac:dyDescent="0.15"/>
    <row r="3240" customFormat="1" ht="13" x14ac:dyDescent="0.15"/>
    <row r="3241" customFormat="1" ht="13" x14ac:dyDescent="0.15"/>
    <row r="3242" customFormat="1" ht="13" x14ac:dyDescent="0.15"/>
    <row r="3243" customFormat="1" ht="13" x14ac:dyDescent="0.15"/>
    <row r="3244" customFormat="1" ht="13" x14ac:dyDescent="0.15"/>
    <row r="3245" customFormat="1" ht="13" x14ac:dyDescent="0.15"/>
    <row r="3246" customFormat="1" ht="13" x14ac:dyDescent="0.15"/>
    <row r="3247" customFormat="1" ht="13" x14ac:dyDescent="0.15"/>
    <row r="3248" customFormat="1" ht="13" x14ac:dyDescent="0.15"/>
    <row r="3249" customFormat="1" ht="13" x14ac:dyDescent="0.15"/>
    <row r="3250" customFormat="1" ht="13" x14ac:dyDescent="0.15"/>
    <row r="3251" customFormat="1" ht="13" x14ac:dyDescent="0.15"/>
    <row r="3252" customFormat="1" ht="13" x14ac:dyDescent="0.15"/>
    <row r="3253" customFormat="1" ht="13" x14ac:dyDescent="0.15"/>
    <row r="3254" customFormat="1" ht="13" x14ac:dyDescent="0.15"/>
    <row r="3255" customFormat="1" ht="13" x14ac:dyDescent="0.15"/>
    <row r="3256" customFormat="1" ht="13" x14ac:dyDescent="0.15"/>
    <row r="3257" customFormat="1" ht="13" x14ac:dyDescent="0.15"/>
    <row r="3258" customFormat="1" ht="13" x14ac:dyDescent="0.15"/>
    <row r="3259" customFormat="1" ht="13" x14ac:dyDescent="0.15"/>
    <row r="3260" customFormat="1" ht="13" x14ac:dyDescent="0.15"/>
    <row r="3261" customFormat="1" ht="13" x14ac:dyDescent="0.15"/>
    <row r="3262" customFormat="1" ht="13" x14ac:dyDescent="0.15"/>
    <row r="3263" customFormat="1" ht="13" x14ac:dyDescent="0.15"/>
    <row r="3264" customFormat="1" ht="13" x14ac:dyDescent="0.15"/>
    <row r="3265" customFormat="1" ht="13" x14ac:dyDescent="0.15"/>
    <row r="3266" customFormat="1" ht="13" x14ac:dyDescent="0.15"/>
    <row r="3267" customFormat="1" ht="13" x14ac:dyDescent="0.15"/>
    <row r="3268" customFormat="1" ht="13" x14ac:dyDescent="0.15"/>
    <row r="3269" customFormat="1" ht="13" x14ac:dyDescent="0.15"/>
    <row r="3270" customFormat="1" ht="13" x14ac:dyDescent="0.15"/>
    <row r="3271" customFormat="1" ht="13" x14ac:dyDescent="0.15"/>
    <row r="3272" customFormat="1" ht="13" x14ac:dyDescent="0.15"/>
    <row r="3273" customFormat="1" ht="13" x14ac:dyDescent="0.15"/>
    <row r="3274" customFormat="1" ht="13" x14ac:dyDescent="0.15"/>
    <row r="3275" customFormat="1" ht="13" x14ac:dyDescent="0.15"/>
    <row r="3276" customFormat="1" ht="13" x14ac:dyDescent="0.15"/>
    <row r="3277" customFormat="1" ht="13" x14ac:dyDescent="0.15"/>
    <row r="3278" customFormat="1" ht="13" x14ac:dyDescent="0.15"/>
    <row r="3279" customFormat="1" ht="13" x14ac:dyDescent="0.15"/>
    <row r="3280" customFormat="1" ht="13" x14ac:dyDescent="0.15"/>
    <row r="3281" customFormat="1" ht="13" x14ac:dyDescent="0.15"/>
    <row r="3282" customFormat="1" ht="13" x14ac:dyDescent="0.15"/>
    <row r="3283" customFormat="1" ht="13" x14ac:dyDescent="0.15"/>
    <row r="3284" customFormat="1" ht="13" x14ac:dyDescent="0.15"/>
    <row r="3285" customFormat="1" ht="13" x14ac:dyDescent="0.15"/>
    <row r="3286" customFormat="1" ht="13" x14ac:dyDescent="0.15"/>
    <row r="3287" customFormat="1" ht="13" x14ac:dyDescent="0.15"/>
    <row r="3288" customFormat="1" ht="13" x14ac:dyDescent="0.15"/>
    <row r="3289" customFormat="1" ht="13" x14ac:dyDescent="0.15"/>
    <row r="3290" customFormat="1" ht="13" x14ac:dyDescent="0.15"/>
    <row r="3291" customFormat="1" ht="13" x14ac:dyDescent="0.15"/>
    <row r="3292" customFormat="1" ht="13" x14ac:dyDescent="0.15"/>
    <row r="3293" customFormat="1" ht="13" x14ac:dyDescent="0.15"/>
    <row r="3294" customFormat="1" ht="13" x14ac:dyDescent="0.15"/>
    <row r="3295" customFormat="1" ht="13" x14ac:dyDescent="0.15"/>
    <row r="3296" customFormat="1" ht="13" x14ac:dyDescent="0.15"/>
    <row r="3297" customFormat="1" ht="13" x14ac:dyDescent="0.15"/>
    <row r="3298" customFormat="1" ht="13" x14ac:dyDescent="0.15"/>
    <row r="3299" customFormat="1" ht="13" x14ac:dyDescent="0.15"/>
    <row r="3300" customFormat="1" ht="13" x14ac:dyDescent="0.15"/>
    <row r="3301" customFormat="1" ht="13" x14ac:dyDescent="0.15"/>
    <row r="3302" customFormat="1" ht="13" x14ac:dyDescent="0.15"/>
    <row r="3303" customFormat="1" ht="13" x14ac:dyDescent="0.15"/>
    <row r="3304" customFormat="1" ht="13" x14ac:dyDescent="0.15"/>
    <row r="3305" customFormat="1" ht="13" x14ac:dyDescent="0.15"/>
    <row r="3306" customFormat="1" ht="13" x14ac:dyDescent="0.15"/>
    <row r="3307" customFormat="1" ht="13" x14ac:dyDescent="0.15"/>
    <row r="3308" customFormat="1" ht="13" x14ac:dyDescent="0.15"/>
    <row r="3309" customFormat="1" ht="13" x14ac:dyDescent="0.15"/>
    <row r="3310" customFormat="1" ht="13" x14ac:dyDescent="0.15"/>
    <row r="3311" customFormat="1" ht="13" x14ac:dyDescent="0.15"/>
    <row r="3312" customFormat="1" ht="13" x14ac:dyDescent="0.15"/>
    <row r="3313" customFormat="1" ht="13" x14ac:dyDescent="0.15"/>
    <row r="3314" customFormat="1" ht="13" x14ac:dyDescent="0.15"/>
    <row r="3315" customFormat="1" ht="13" x14ac:dyDescent="0.15"/>
    <row r="3316" customFormat="1" ht="13" x14ac:dyDescent="0.15"/>
    <row r="3317" customFormat="1" ht="13" x14ac:dyDescent="0.15"/>
    <row r="3318" customFormat="1" ht="13" x14ac:dyDescent="0.15"/>
    <row r="3319" customFormat="1" ht="13" x14ac:dyDescent="0.15"/>
    <row r="3320" customFormat="1" ht="13" x14ac:dyDescent="0.15"/>
    <row r="3321" customFormat="1" ht="13" x14ac:dyDescent="0.15"/>
    <row r="3322" customFormat="1" ht="13" x14ac:dyDescent="0.15"/>
    <row r="3323" customFormat="1" ht="13" x14ac:dyDescent="0.15"/>
    <row r="3324" customFormat="1" ht="13" x14ac:dyDescent="0.15"/>
    <row r="3325" customFormat="1" ht="13" x14ac:dyDescent="0.15"/>
    <row r="3326" customFormat="1" ht="13" x14ac:dyDescent="0.15"/>
    <row r="3327" customFormat="1" ht="13" x14ac:dyDescent="0.15"/>
    <row r="3328" customFormat="1" ht="13" x14ac:dyDescent="0.15"/>
    <row r="3329" customFormat="1" ht="13" x14ac:dyDescent="0.15"/>
    <row r="3330" customFormat="1" ht="13" x14ac:dyDescent="0.15"/>
    <row r="3331" customFormat="1" ht="13" x14ac:dyDescent="0.15"/>
    <row r="3332" customFormat="1" ht="13" x14ac:dyDescent="0.15"/>
    <row r="3333" customFormat="1" ht="13" x14ac:dyDescent="0.15"/>
    <row r="3334" customFormat="1" ht="13" x14ac:dyDescent="0.15"/>
    <row r="3335" customFormat="1" ht="13" x14ac:dyDescent="0.15"/>
    <row r="3336" customFormat="1" ht="13" x14ac:dyDescent="0.15"/>
    <row r="3337" customFormat="1" ht="13" x14ac:dyDescent="0.15"/>
    <row r="3338" customFormat="1" ht="13" x14ac:dyDescent="0.15"/>
    <row r="3339" customFormat="1" ht="13" x14ac:dyDescent="0.15"/>
    <row r="3340" customFormat="1" ht="13" x14ac:dyDescent="0.15"/>
    <row r="3341" customFormat="1" ht="13" x14ac:dyDescent="0.15"/>
    <row r="3342" customFormat="1" ht="13" x14ac:dyDescent="0.15"/>
    <row r="3343" customFormat="1" ht="13" x14ac:dyDescent="0.15"/>
    <row r="3344" customFormat="1" ht="13" x14ac:dyDescent="0.15"/>
    <row r="3345" customFormat="1" ht="13" x14ac:dyDescent="0.15"/>
    <row r="3346" customFormat="1" ht="13" x14ac:dyDescent="0.15"/>
    <row r="3347" customFormat="1" ht="13" x14ac:dyDescent="0.15"/>
    <row r="3348" customFormat="1" ht="13" x14ac:dyDescent="0.15"/>
    <row r="3349" customFormat="1" ht="13" x14ac:dyDescent="0.15"/>
    <row r="3350" customFormat="1" ht="13" x14ac:dyDescent="0.15"/>
    <row r="3351" customFormat="1" ht="13" x14ac:dyDescent="0.15"/>
    <row r="3352" customFormat="1" ht="13" x14ac:dyDescent="0.15"/>
    <row r="3353" customFormat="1" ht="13" x14ac:dyDescent="0.15"/>
    <row r="3354" customFormat="1" ht="13" x14ac:dyDescent="0.15"/>
    <row r="3355" customFormat="1" ht="13" x14ac:dyDescent="0.15"/>
    <row r="3356" customFormat="1" ht="13" x14ac:dyDescent="0.15"/>
    <row r="3357" customFormat="1" ht="13" x14ac:dyDescent="0.15"/>
    <row r="3358" customFormat="1" ht="13" x14ac:dyDescent="0.15"/>
    <row r="3359" customFormat="1" ht="13" x14ac:dyDescent="0.15"/>
    <row r="3360" customFormat="1" ht="13" x14ac:dyDescent="0.15"/>
    <row r="3361" customFormat="1" ht="13" x14ac:dyDescent="0.15"/>
    <row r="3362" customFormat="1" ht="13" x14ac:dyDescent="0.15"/>
    <row r="3363" customFormat="1" ht="13" x14ac:dyDescent="0.15"/>
    <row r="3364" customFormat="1" ht="13" x14ac:dyDescent="0.15"/>
    <row r="3365" customFormat="1" ht="13" x14ac:dyDescent="0.15"/>
    <row r="3366" customFormat="1" ht="13" x14ac:dyDescent="0.15"/>
    <row r="3367" customFormat="1" ht="13" x14ac:dyDescent="0.15"/>
    <row r="3368" customFormat="1" ht="13" x14ac:dyDescent="0.15"/>
    <row r="3369" customFormat="1" ht="13" x14ac:dyDescent="0.15"/>
    <row r="3370" customFormat="1" ht="13" x14ac:dyDescent="0.15"/>
    <row r="3371" customFormat="1" ht="13" x14ac:dyDescent="0.15"/>
    <row r="3372" customFormat="1" ht="13" x14ac:dyDescent="0.15"/>
    <row r="3373" customFormat="1" ht="13" x14ac:dyDescent="0.15"/>
    <row r="3374" customFormat="1" ht="13" x14ac:dyDescent="0.15"/>
    <row r="3375" customFormat="1" ht="13" x14ac:dyDescent="0.15"/>
    <row r="3376" customFormat="1" ht="13" x14ac:dyDescent="0.15"/>
    <row r="3377" customFormat="1" ht="13" x14ac:dyDescent="0.15"/>
    <row r="3378" customFormat="1" ht="13" x14ac:dyDescent="0.15"/>
    <row r="3379" customFormat="1" ht="13" x14ac:dyDescent="0.15"/>
    <row r="3380" customFormat="1" ht="13" x14ac:dyDescent="0.15"/>
    <row r="3381" customFormat="1" ht="13" x14ac:dyDescent="0.15"/>
    <row r="3382" customFormat="1" ht="13" x14ac:dyDescent="0.15"/>
    <row r="3383" customFormat="1" ht="13" x14ac:dyDescent="0.15"/>
    <row r="3384" customFormat="1" ht="13" x14ac:dyDescent="0.15"/>
    <row r="3385" customFormat="1" ht="13" x14ac:dyDescent="0.15"/>
    <row r="3386" customFormat="1" ht="13" x14ac:dyDescent="0.15"/>
    <row r="3387" customFormat="1" ht="13" x14ac:dyDescent="0.15"/>
    <row r="3388" customFormat="1" ht="13" x14ac:dyDescent="0.15"/>
    <row r="3389" customFormat="1" ht="13" x14ac:dyDescent="0.15"/>
    <row r="3390" customFormat="1" ht="13" x14ac:dyDescent="0.15"/>
    <row r="3391" customFormat="1" ht="13" x14ac:dyDescent="0.15"/>
    <row r="3392" customFormat="1" ht="13" x14ac:dyDescent="0.15"/>
    <row r="3393" customFormat="1" ht="13" x14ac:dyDescent="0.15"/>
    <row r="3394" customFormat="1" ht="13" x14ac:dyDescent="0.15"/>
    <row r="3395" customFormat="1" ht="13" x14ac:dyDescent="0.15"/>
    <row r="3396" customFormat="1" ht="13" x14ac:dyDescent="0.15"/>
    <row r="3397" customFormat="1" ht="13" x14ac:dyDescent="0.15"/>
    <row r="3398" customFormat="1" ht="13" x14ac:dyDescent="0.15"/>
    <row r="3399" customFormat="1" ht="13" x14ac:dyDescent="0.15"/>
    <row r="3400" customFormat="1" ht="13" x14ac:dyDescent="0.15"/>
    <row r="3401" customFormat="1" ht="13" x14ac:dyDescent="0.15"/>
    <row r="3402" customFormat="1" ht="13" x14ac:dyDescent="0.15"/>
    <row r="3403" customFormat="1" ht="13" x14ac:dyDescent="0.15"/>
    <row r="3404" customFormat="1" ht="13" x14ac:dyDescent="0.15"/>
    <row r="3405" customFormat="1" ht="13" x14ac:dyDescent="0.15"/>
    <row r="3406" customFormat="1" ht="13" x14ac:dyDescent="0.15"/>
    <row r="3407" customFormat="1" ht="13" x14ac:dyDescent="0.15"/>
    <row r="3408" customFormat="1" ht="13" x14ac:dyDescent="0.15"/>
    <row r="3409" customFormat="1" ht="13" x14ac:dyDescent="0.15"/>
    <row r="3410" customFormat="1" ht="13" x14ac:dyDescent="0.15"/>
    <row r="3411" customFormat="1" ht="13" x14ac:dyDescent="0.15"/>
    <row r="3412" customFormat="1" ht="13" x14ac:dyDescent="0.15"/>
    <row r="3413" customFormat="1" ht="13" x14ac:dyDescent="0.15"/>
    <row r="3414" customFormat="1" ht="13" x14ac:dyDescent="0.15"/>
    <row r="3415" customFormat="1" ht="13" x14ac:dyDescent="0.15"/>
    <row r="3416" customFormat="1" ht="13" x14ac:dyDescent="0.15"/>
    <row r="3417" customFormat="1" ht="13" x14ac:dyDescent="0.15"/>
    <row r="3418" customFormat="1" ht="13" x14ac:dyDescent="0.15"/>
    <row r="3419" customFormat="1" ht="13" x14ac:dyDescent="0.15"/>
    <row r="3420" customFormat="1" ht="13" x14ac:dyDescent="0.15"/>
    <row r="3421" customFormat="1" ht="13" x14ac:dyDescent="0.15"/>
    <row r="3422" customFormat="1" ht="13" x14ac:dyDescent="0.15"/>
    <row r="3423" customFormat="1" ht="13" x14ac:dyDescent="0.15"/>
    <row r="3424" customFormat="1" ht="13" x14ac:dyDescent="0.15"/>
    <row r="3425" customFormat="1" ht="13" x14ac:dyDescent="0.15"/>
    <row r="3426" customFormat="1" ht="13" x14ac:dyDescent="0.15"/>
    <row r="3427" customFormat="1" ht="13" x14ac:dyDescent="0.15"/>
    <row r="3428" customFormat="1" ht="13" x14ac:dyDescent="0.15"/>
    <row r="3429" customFormat="1" ht="13" x14ac:dyDescent="0.15"/>
    <row r="3430" customFormat="1" ht="13" x14ac:dyDescent="0.15"/>
    <row r="3431" customFormat="1" ht="13" x14ac:dyDescent="0.15"/>
    <row r="3432" customFormat="1" ht="13" x14ac:dyDescent="0.15"/>
    <row r="3433" customFormat="1" ht="13" x14ac:dyDescent="0.15"/>
    <row r="3434" customFormat="1" ht="13" x14ac:dyDescent="0.15"/>
    <row r="3435" customFormat="1" ht="13" x14ac:dyDescent="0.15"/>
    <row r="3436" customFormat="1" ht="13" x14ac:dyDescent="0.15"/>
    <row r="3437" customFormat="1" ht="13" x14ac:dyDescent="0.15"/>
    <row r="3438" customFormat="1" ht="13" x14ac:dyDescent="0.15"/>
    <row r="3439" customFormat="1" ht="13" x14ac:dyDescent="0.15"/>
    <row r="3440" customFormat="1" ht="13" x14ac:dyDescent="0.15"/>
    <row r="3441" customFormat="1" ht="13" x14ac:dyDescent="0.15"/>
    <row r="3442" customFormat="1" ht="13" x14ac:dyDescent="0.15"/>
    <row r="3443" customFormat="1" ht="13" x14ac:dyDescent="0.15"/>
    <row r="3444" customFormat="1" ht="13" x14ac:dyDescent="0.15"/>
    <row r="3445" customFormat="1" ht="13" x14ac:dyDescent="0.15"/>
    <row r="3446" customFormat="1" ht="13" x14ac:dyDescent="0.15"/>
    <row r="3447" customFormat="1" ht="13" x14ac:dyDescent="0.15"/>
    <row r="3448" customFormat="1" ht="13" x14ac:dyDescent="0.15"/>
    <row r="3449" customFormat="1" ht="13" x14ac:dyDescent="0.15"/>
    <row r="3450" customFormat="1" ht="13" x14ac:dyDescent="0.15"/>
    <row r="3451" customFormat="1" ht="13" x14ac:dyDescent="0.15"/>
    <row r="3452" customFormat="1" ht="13" x14ac:dyDescent="0.15"/>
    <row r="3453" customFormat="1" ht="13" x14ac:dyDescent="0.15"/>
    <row r="3454" customFormat="1" ht="13" x14ac:dyDescent="0.15"/>
    <row r="3455" customFormat="1" ht="13" x14ac:dyDescent="0.15"/>
    <row r="3456" customFormat="1" ht="13" x14ac:dyDescent="0.15"/>
    <row r="3457" customFormat="1" ht="13" x14ac:dyDescent="0.15"/>
    <row r="3458" customFormat="1" ht="13" x14ac:dyDescent="0.15"/>
    <row r="3459" customFormat="1" ht="13" x14ac:dyDescent="0.15"/>
    <row r="3460" customFormat="1" ht="13" x14ac:dyDescent="0.15"/>
    <row r="3461" customFormat="1" ht="13" x14ac:dyDescent="0.15"/>
    <row r="3462" customFormat="1" ht="13" x14ac:dyDescent="0.15"/>
    <row r="3463" customFormat="1" ht="13" x14ac:dyDescent="0.15"/>
    <row r="3464" customFormat="1" ht="13" x14ac:dyDescent="0.15"/>
    <row r="3465" customFormat="1" ht="13" x14ac:dyDescent="0.15"/>
    <row r="3466" customFormat="1" ht="13" x14ac:dyDescent="0.15"/>
    <row r="3467" customFormat="1" ht="13" x14ac:dyDescent="0.15"/>
    <row r="3468" customFormat="1" ht="13" x14ac:dyDescent="0.15"/>
    <row r="3469" customFormat="1" ht="13" x14ac:dyDescent="0.15"/>
    <row r="3470" customFormat="1" ht="13" x14ac:dyDescent="0.15"/>
    <row r="3471" customFormat="1" ht="13" x14ac:dyDescent="0.15"/>
    <row r="3472" customFormat="1" ht="13" x14ac:dyDescent="0.15"/>
    <row r="3473" customFormat="1" ht="13" x14ac:dyDescent="0.15"/>
    <row r="3474" customFormat="1" ht="13" x14ac:dyDescent="0.15"/>
    <row r="3475" customFormat="1" ht="13" x14ac:dyDescent="0.15"/>
    <row r="3476" customFormat="1" ht="13" x14ac:dyDescent="0.15"/>
    <row r="3477" customFormat="1" ht="13" x14ac:dyDescent="0.15"/>
    <row r="3478" customFormat="1" ht="13" x14ac:dyDescent="0.15"/>
    <row r="3479" customFormat="1" ht="13" x14ac:dyDescent="0.15"/>
    <row r="3480" customFormat="1" ht="13" x14ac:dyDescent="0.15"/>
    <row r="3481" customFormat="1" ht="13" x14ac:dyDescent="0.15"/>
    <row r="3482" customFormat="1" ht="13" x14ac:dyDescent="0.15"/>
    <row r="3483" customFormat="1" ht="13" x14ac:dyDescent="0.15"/>
    <row r="3484" customFormat="1" ht="13" x14ac:dyDescent="0.15"/>
    <row r="3485" customFormat="1" ht="13" x14ac:dyDescent="0.15"/>
    <row r="3486" customFormat="1" ht="13" x14ac:dyDescent="0.15"/>
    <row r="3487" customFormat="1" ht="13" x14ac:dyDescent="0.15"/>
    <row r="3488" customFormat="1" ht="13" x14ac:dyDescent="0.15"/>
    <row r="3489" customFormat="1" ht="13" x14ac:dyDescent="0.15"/>
    <row r="3490" customFormat="1" ht="13" x14ac:dyDescent="0.15"/>
    <row r="3491" customFormat="1" ht="13" x14ac:dyDescent="0.15"/>
    <row r="3492" customFormat="1" ht="13" x14ac:dyDescent="0.15"/>
    <row r="3493" customFormat="1" ht="13" x14ac:dyDescent="0.15"/>
    <row r="3494" customFormat="1" ht="13" x14ac:dyDescent="0.15"/>
    <row r="3495" customFormat="1" ht="13" x14ac:dyDescent="0.15"/>
    <row r="3496" customFormat="1" ht="13" x14ac:dyDescent="0.15"/>
    <row r="3497" customFormat="1" ht="13" x14ac:dyDescent="0.15"/>
    <row r="3498" customFormat="1" ht="13" x14ac:dyDescent="0.15"/>
    <row r="3499" customFormat="1" ht="13" x14ac:dyDescent="0.15"/>
    <row r="3500" customFormat="1" ht="13" x14ac:dyDescent="0.15"/>
    <row r="3501" customFormat="1" ht="13" x14ac:dyDescent="0.15"/>
    <row r="3502" customFormat="1" ht="13" x14ac:dyDescent="0.15"/>
    <row r="3503" customFormat="1" ht="13" x14ac:dyDescent="0.15"/>
    <row r="3504" customFormat="1" ht="13" x14ac:dyDescent="0.15"/>
    <row r="3505" customFormat="1" ht="13" x14ac:dyDescent="0.15"/>
    <row r="3506" customFormat="1" ht="13" x14ac:dyDescent="0.15"/>
    <row r="3507" customFormat="1" ht="13" x14ac:dyDescent="0.15"/>
    <row r="3508" customFormat="1" ht="13" x14ac:dyDescent="0.15"/>
    <row r="3509" customFormat="1" ht="13" x14ac:dyDescent="0.15"/>
    <row r="3510" customFormat="1" ht="13" x14ac:dyDescent="0.15"/>
    <row r="3511" customFormat="1" ht="13" x14ac:dyDescent="0.15"/>
    <row r="3512" customFormat="1" ht="13" x14ac:dyDescent="0.15"/>
    <row r="3513" customFormat="1" ht="13" x14ac:dyDescent="0.15"/>
    <row r="3514" customFormat="1" ht="13" x14ac:dyDescent="0.15"/>
    <row r="3515" customFormat="1" ht="13" x14ac:dyDescent="0.15"/>
    <row r="3516" customFormat="1" ht="13" x14ac:dyDescent="0.15"/>
    <row r="3517" customFormat="1" ht="13" x14ac:dyDescent="0.15"/>
    <row r="3518" customFormat="1" ht="13" x14ac:dyDescent="0.15"/>
    <row r="3519" customFormat="1" ht="13" x14ac:dyDescent="0.15"/>
    <row r="3520" customFormat="1" ht="13" x14ac:dyDescent="0.15"/>
    <row r="3521" customFormat="1" ht="13" x14ac:dyDescent="0.15"/>
    <row r="3522" customFormat="1" ht="13" x14ac:dyDescent="0.15"/>
    <row r="3523" customFormat="1" ht="13" x14ac:dyDescent="0.15"/>
    <row r="3524" customFormat="1" ht="13" x14ac:dyDescent="0.15"/>
    <row r="3525" customFormat="1" ht="13" x14ac:dyDescent="0.15"/>
    <row r="3526" customFormat="1" ht="13" x14ac:dyDescent="0.15"/>
    <row r="3527" customFormat="1" ht="13" x14ac:dyDescent="0.15"/>
    <row r="3528" customFormat="1" ht="13" x14ac:dyDescent="0.15"/>
    <row r="3529" customFormat="1" ht="13" x14ac:dyDescent="0.15"/>
    <row r="3530" customFormat="1" ht="13" x14ac:dyDescent="0.15"/>
    <row r="3531" customFormat="1" ht="13" x14ac:dyDescent="0.15"/>
    <row r="3532" customFormat="1" ht="13" x14ac:dyDescent="0.15"/>
    <row r="3533" customFormat="1" ht="13" x14ac:dyDescent="0.15"/>
    <row r="3534" customFormat="1" ht="13" x14ac:dyDescent="0.15"/>
    <row r="3535" customFormat="1" ht="13" x14ac:dyDescent="0.15"/>
    <row r="3536" customFormat="1" ht="13" x14ac:dyDescent="0.15"/>
    <row r="3537" customFormat="1" ht="13" x14ac:dyDescent="0.15"/>
    <row r="3538" customFormat="1" ht="13" x14ac:dyDescent="0.15"/>
    <row r="3539" customFormat="1" ht="13" x14ac:dyDescent="0.15"/>
    <row r="3540" customFormat="1" ht="13" x14ac:dyDescent="0.15"/>
    <row r="3541" customFormat="1" ht="13" x14ac:dyDescent="0.15"/>
    <row r="3542" customFormat="1" ht="13" x14ac:dyDescent="0.15"/>
    <row r="3543" customFormat="1" ht="13" x14ac:dyDescent="0.15"/>
    <row r="3544" customFormat="1" ht="13" x14ac:dyDescent="0.15"/>
    <row r="3545" customFormat="1" ht="13" x14ac:dyDescent="0.15"/>
    <row r="3546" customFormat="1" ht="13" x14ac:dyDescent="0.15"/>
    <row r="3547" customFormat="1" ht="13" x14ac:dyDescent="0.15"/>
    <row r="3548" customFormat="1" ht="13" x14ac:dyDescent="0.15"/>
    <row r="3549" customFormat="1" ht="13" x14ac:dyDescent="0.15"/>
    <row r="3550" customFormat="1" ht="13" x14ac:dyDescent="0.15"/>
    <row r="3551" customFormat="1" ht="13" x14ac:dyDescent="0.15"/>
    <row r="3552" customFormat="1" ht="13" x14ac:dyDescent="0.15"/>
    <row r="3553" customFormat="1" ht="13" x14ac:dyDescent="0.15"/>
    <row r="3554" customFormat="1" ht="13" x14ac:dyDescent="0.15"/>
    <row r="3555" customFormat="1" ht="13" x14ac:dyDescent="0.15"/>
    <row r="3556" customFormat="1" ht="13" x14ac:dyDescent="0.15"/>
    <row r="3557" customFormat="1" ht="13" x14ac:dyDescent="0.15"/>
    <row r="3558" customFormat="1" ht="13" x14ac:dyDescent="0.15"/>
    <row r="3559" customFormat="1" ht="13" x14ac:dyDescent="0.15"/>
    <row r="3560" customFormat="1" ht="13" x14ac:dyDescent="0.15"/>
    <row r="3561" customFormat="1" ht="13" x14ac:dyDescent="0.15"/>
    <row r="3562" customFormat="1" ht="13" x14ac:dyDescent="0.15"/>
    <row r="3563" customFormat="1" ht="13" x14ac:dyDescent="0.15"/>
    <row r="3564" customFormat="1" ht="13" x14ac:dyDescent="0.15"/>
    <row r="3565" customFormat="1" ht="13" x14ac:dyDescent="0.15"/>
    <row r="3566" customFormat="1" ht="13" x14ac:dyDescent="0.15"/>
    <row r="3567" customFormat="1" ht="13" x14ac:dyDescent="0.15"/>
    <row r="3568" customFormat="1" ht="13" x14ac:dyDescent="0.15"/>
    <row r="3569" customFormat="1" ht="13" x14ac:dyDescent="0.15"/>
    <row r="3570" customFormat="1" ht="13" x14ac:dyDescent="0.15"/>
    <row r="3571" customFormat="1" ht="13" x14ac:dyDescent="0.15"/>
    <row r="3572" customFormat="1" ht="13" x14ac:dyDescent="0.15"/>
    <row r="3573" customFormat="1" ht="13" x14ac:dyDescent="0.15"/>
    <row r="3574" customFormat="1" ht="13" x14ac:dyDescent="0.15"/>
    <row r="3575" customFormat="1" ht="13" x14ac:dyDescent="0.15"/>
    <row r="3576" customFormat="1" ht="13" x14ac:dyDescent="0.15"/>
    <row r="3577" customFormat="1" ht="13" x14ac:dyDescent="0.15"/>
    <row r="3578" customFormat="1" ht="13" x14ac:dyDescent="0.15"/>
    <row r="3579" customFormat="1" ht="13" x14ac:dyDescent="0.15"/>
    <row r="3580" customFormat="1" ht="13" x14ac:dyDescent="0.15"/>
    <row r="3581" customFormat="1" ht="13" x14ac:dyDescent="0.15"/>
    <row r="3582" customFormat="1" ht="13" x14ac:dyDescent="0.15"/>
    <row r="3583" customFormat="1" ht="13" x14ac:dyDescent="0.15"/>
    <row r="3584" customFormat="1" ht="13" x14ac:dyDescent="0.15"/>
    <row r="3585" customFormat="1" ht="13" x14ac:dyDescent="0.15"/>
    <row r="3586" customFormat="1" ht="13" x14ac:dyDescent="0.15"/>
    <row r="3587" customFormat="1" ht="13" x14ac:dyDescent="0.15"/>
    <row r="3588" customFormat="1" ht="13" x14ac:dyDescent="0.15"/>
    <row r="3589" customFormat="1" ht="13" x14ac:dyDescent="0.15"/>
    <row r="3590" customFormat="1" ht="13" x14ac:dyDescent="0.15"/>
    <row r="3591" customFormat="1" ht="13" x14ac:dyDescent="0.15"/>
    <row r="3592" customFormat="1" ht="13" x14ac:dyDescent="0.15"/>
    <row r="3593" customFormat="1" ht="13" x14ac:dyDescent="0.15"/>
    <row r="3594" customFormat="1" ht="13" x14ac:dyDescent="0.15"/>
    <row r="3595" customFormat="1" ht="13" x14ac:dyDescent="0.15"/>
    <row r="3596" customFormat="1" ht="13" x14ac:dyDescent="0.15"/>
    <row r="3597" customFormat="1" ht="13" x14ac:dyDescent="0.15"/>
    <row r="3598" customFormat="1" ht="13" x14ac:dyDescent="0.15"/>
    <row r="3599" customFormat="1" ht="13" x14ac:dyDescent="0.15"/>
    <row r="3600" customFormat="1" ht="13" x14ac:dyDescent="0.15"/>
    <row r="3601" customFormat="1" ht="13" x14ac:dyDescent="0.15"/>
    <row r="3602" customFormat="1" ht="13" x14ac:dyDescent="0.15"/>
    <row r="3603" customFormat="1" ht="13" x14ac:dyDescent="0.15"/>
    <row r="3604" customFormat="1" ht="13" x14ac:dyDescent="0.15"/>
    <row r="3605" customFormat="1" ht="13" x14ac:dyDescent="0.15"/>
    <row r="3606" customFormat="1" ht="13" x14ac:dyDescent="0.15"/>
    <row r="3607" customFormat="1" ht="13" x14ac:dyDescent="0.15"/>
    <row r="3608" customFormat="1" ht="13" x14ac:dyDescent="0.15"/>
    <row r="3609" customFormat="1" ht="13" x14ac:dyDescent="0.15"/>
    <row r="3610" customFormat="1" ht="13" x14ac:dyDescent="0.15"/>
    <row r="3611" customFormat="1" ht="13" x14ac:dyDescent="0.15"/>
    <row r="3612" customFormat="1" ht="13" x14ac:dyDescent="0.15"/>
    <row r="3613" customFormat="1" ht="13" x14ac:dyDescent="0.15"/>
    <row r="3614" customFormat="1" ht="13" x14ac:dyDescent="0.15"/>
    <row r="3615" customFormat="1" ht="13" x14ac:dyDescent="0.15"/>
    <row r="3616" customFormat="1" ht="13" x14ac:dyDescent="0.15"/>
    <row r="3617" customFormat="1" ht="13" x14ac:dyDescent="0.15"/>
    <row r="3618" customFormat="1" ht="13" x14ac:dyDescent="0.15"/>
    <row r="3619" customFormat="1" ht="13" x14ac:dyDescent="0.15"/>
    <row r="3620" customFormat="1" ht="13" x14ac:dyDescent="0.15"/>
    <row r="3621" customFormat="1" ht="13" x14ac:dyDescent="0.15"/>
    <row r="3622" customFormat="1" ht="13" x14ac:dyDescent="0.15"/>
    <row r="3623" customFormat="1" ht="13" x14ac:dyDescent="0.15"/>
    <row r="3624" customFormat="1" ht="13" x14ac:dyDescent="0.15"/>
    <row r="3625" customFormat="1" ht="13" x14ac:dyDescent="0.15"/>
    <row r="3626" customFormat="1" ht="13" x14ac:dyDescent="0.15"/>
    <row r="3627" customFormat="1" ht="13" x14ac:dyDescent="0.15"/>
    <row r="3628" customFormat="1" ht="13" x14ac:dyDescent="0.15"/>
    <row r="3629" customFormat="1" ht="13" x14ac:dyDescent="0.15"/>
    <row r="3630" customFormat="1" ht="13" x14ac:dyDescent="0.15"/>
    <row r="3631" customFormat="1" ht="13" x14ac:dyDescent="0.15"/>
    <row r="3632" customFormat="1" ht="13" x14ac:dyDescent="0.15"/>
    <row r="3633" customFormat="1" ht="13" x14ac:dyDescent="0.15"/>
    <row r="3634" customFormat="1" ht="13" x14ac:dyDescent="0.15"/>
    <row r="3635" customFormat="1" ht="13" x14ac:dyDescent="0.15"/>
    <row r="3636" customFormat="1" ht="13" x14ac:dyDescent="0.15"/>
    <row r="3637" customFormat="1" ht="13" x14ac:dyDescent="0.15"/>
    <row r="3638" customFormat="1" ht="13" x14ac:dyDescent="0.15"/>
    <row r="3639" customFormat="1" ht="13" x14ac:dyDescent="0.15"/>
    <row r="3640" customFormat="1" ht="13" x14ac:dyDescent="0.15"/>
    <row r="3641" customFormat="1" ht="13" x14ac:dyDescent="0.15"/>
    <row r="3642" customFormat="1" ht="13" x14ac:dyDescent="0.15"/>
    <row r="3643" customFormat="1" ht="13" x14ac:dyDescent="0.15"/>
    <row r="3644" customFormat="1" ht="13" x14ac:dyDescent="0.15"/>
    <row r="3645" customFormat="1" ht="13" x14ac:dyDescent="0.15"/>
    <row r="3646" customFormat="1" ht="13" x14ac:dyDescent="0.15"/>
    <row r="3647" customFormat="1" ht="13" x14ac:dyDescent="0.15"/>
    <row r="3648" customFormat="1" ht="13" x14ac:dyDescent="0.15"/>
    <row r="3649" customFormat="1" ht="13" x14ac:dyDescent="0.15"/>
    <row r="3650" customFormat="1" ht="13" x14ac:dyDescent="0.15"/>
    <row r="3651" customFormat="1" ht="13" x14ac:dyDescent="0.15"/>
    <row r="3652" customFormat="1" ht="13" x14ac:dyDescent="0.15"/>
    <row r="3653" customFormat="1" ht="13" x14ac:dyDescent="0.15"/>
    <row r="3654" customFormat="1" ht="13" x14ac:dyDescent="0.15"/>
    <row r="3655" customFormat="1" ht="13" x14ac:dyDescent="0.15"/>
    <row r="3656" customFormat="1" ht="13" x14ac:dyDescent="0.15"/>
    <row r="3657" customFormat="1" ht="13" x14ac:dyDescent="0.15"/>
    <row r="3658" customFormat="1" ht="13" x14ac:dyDescent="0.15"/>
    <row r="3659" customFormat="1" ht="13" x14ac:dyDescent="0.15"/>
    <row r="3660" customFormat="1" ht="13" x14ac:dyDescent="0.15"/>
    <row r="3661" customFormat="1" ht="13" x14ac:dyDescent="0.15"/>
    <row r="3662" customFormat="1" ht="13" x14ac:dyDescent="0.15"/>
    <row r="3663" customFormat="1" ht="13" x14ac:dyDescent="0.15"/>
    <row r="3664" customFormat="1" ht="13" x14ac:dyDescent="0.15"/>
    <row r="3665" customFormat="1" ht="13" x14ac:dyDescent="0.15"/>
    <row r="3666" customFormat="1" ht="13" x14ac:dyDescent="0.15"/>
    <row r="3667" customFormat="1" ht="13" x14ac:dyDescent="0.15"/>
    <row r="3668" customFormat="1" ht="13" x14ac:dyDescent="0.15"/>
    <row r="3669" customFormat="1" ht="13" x14ac:dyDescent="0.15"/>
    <row r="3670" customFormat="1" ht="13" x14ac:dyDescent="0.15"/>
    <row r="3671" customFormat="1" ht="13" x14ac:dyDescent="0.15"/>
    <row r="3672" customFormat="1" ht="13" x14ac:dyDescent="0.15"/>
    <row r="3673" customFormat="1" ht="13" x14ac:dyDescent="0.15"/>
    <row r="3674" customFormat="1" ht="13" x14ac:dyDescent="0.15"/>
    <row r="3675" customFormat="1" ht="13" x14ac:dyDescent="0.15"/>
    <row r="3676" customFormat="1" ht="13" x14ac:dyDescent="0.15"/>
    <row r="3677" customFormat="1" ht="13" x14ac:dyDescent="0.15"/>
    <row r="3678" customFormat="1" ht="13" x14ac:dyDescent="0.15"/>
    <row r="3679" customFormat="1" ht="13" x14ac:dyDescent="0.15"/>
    <row r="3680" customFormat="1" ht="13" x14ac:dyDescent="0.15"/>
    <row r="3681" customFormat="1" ht="13" x14ac:dyDescent="0.15"/>
    <row r="3682" customFormat="1" ht="13" x14ac:dyDescent="0.15"/>
    <row r="3683" customFormat="1" ht="13" x14ac:dyDescent="0.15"/>
    <row r="3684" customFormat="1" ht="13" x14ac:dyDescent="0.15"/>
    <row r="3685" customFormat="1" ht="13" x14ac:dyDescent="0.15"/>
    <row r="3686" customFormat="1" ht="13" x14ac:dyDescent="0.15"/>
    <row r="3687" customFormat="1" ht="13" x14ac:dyDescent="0.15"/>
    <row r="3688" customFormat="1" ht="13" x14ac:dyDescent="0.15"/>
    <row r="3689" customFormat="1" ht="13" x14ac:dyDescent="0.15"/>
    <row r="3690" customFormat="1" ht="13" x14ac:dyDescent="0.15"/>
    <row r="3691" customFormat="1" ht="13" x14ac:dyDescent="0.15"/>
    <row r="3692" customFormat="1" ht="13" x14ac:dyDescent="0.15"/>
    <row r="3693" customFormat="1" ht="13" x14ac:dyDescent="0.15"/>
    <row r="3694" customFormat="1" ht="13" x14ac:dyDescent="0.15"/>
    <row r="3695" customFormat="1" ht="13" x14ac:dyDescent="0.15"/>
    <row r="3696" customFormat="1" ht="13" x14ac:dyDescent="0.15"/>
    <row r="3697" customFormat="1" ht="13" x14ac:dyDescent="0.15"/>
    <row r="3698" customFormat="1" ht="13" x14ac:dyDescent="0.15"/>
    <row r="3699" customFormat="1" ht="13" x14ac:dyDescent="0.15"/>
    <row r="3700" customFormat="1" ht="13" x14ac:dyDescent="0.15"/>
    <row r="3701" customFormat="1" ht="13" x14ac:dyDescent="0.15"/>
    <row r="3702" customFormat="1" ht="13" x14ac:dyDescent="0.15"/>
    <row r="3703" customFormat="1" ht="13" x14ac:dyDescent="0.15"/>
    <row r="3704" customFormat="1" ht="13" x14ac:dyDescent="0.15"/>
    <row r="3705" customFormat="1" ht="13" x14ac:dyDescent="0.15"/>
    <row r="3706" customFormat="1" ht="13" x14ac:dyDescent="0.15"/>
    <row r="3707" customFormat="1" ht="13" x14ac:dyDescent="0.15"/>
    <row r="3708" customFormat="1" ht="13" x14ac:dyDescent="0.15"/>
    <row r="3709" customFormat="1" ht="13" x14ac:dyDescent="0.15"/>
    <row r="3710" customFormat="1" ht="13" x14ac:dyDescent="0.15"/>
    <row r="3711" customFormat="1" ht="13" x14ac:dyDescent="0.15"/>
    <row r="3712" customFormat="1" ht="13" x14ac:dyDescent="0.15"/>
    <row r="3713" customFormat="1" ht="13" x14ac:dyDescent="0.15"/>
    <row r="3714" customFormat="1" ht="13" x14ac:dyDescent="0.15"/>
    <row r="3715" customFormat="1" ht="13" x14ac:dyDescent="0.15"/>
    <row r="3716" customFormat="1" ht="13" x14ac:dyDescent="0.15"/>
    <row r="3717" customFormat="1" ht="13" x14ac:dyDescent="0.15"/>
    <row r="3718" customFormat="1" ht="13" x14ac:dyDescent="0.15"/>
    <row r="3719" customFormat="1" ht="13" x14ac:dyDescent="0.15"/>
    <row r="3720" customFormat="1" ht="13" x14ac:dyDescent="0.15"/>
    <row r="3721" customFormat="1" ht="13" x14ac:dyDescent="0.15"/>
    <row r="3722" customFormat="1" ht="13" x14ac:dyDescent="0.15"/>
    <row r="3723" customFormat="1" ht="13" x14ac:dyDescent="0.15"/>
    <row r="3724" customFormat="1" ht="13" x14ac:dyDescent="0.15"/>
    <row r="3725" customFormat="1" ht="13" x14ac:dyDescent="0.15"/>
    <row r="3726" customFormat="1" ht="13" x14ac:dyDescent="0.15"/>
    <row r="3727" customFormat="1" ht="13" x14ac:dyDescent="0.15"/>
    <row r="3728" customFormat="1" ht="13" x14ac:dyDescent="0.15"/>
    <row r="3729" customFormat="1" ht="13" x14ac:dyDescent="0.15"/>
    <row r="3730" customFormat="1" ht="13" x14ac:dyDescent="0.15"/>
    <row r="3731" customFormat="1" ht="13" x14ac:dyDescent="0.15"/>
    <row r="3732" customFormat="1" ht="13" x14ac:dyDescent="0.15"/>
    <row r="3733" customFormat="1" ht="13" x14ac:dyDescent="0.15"/>
    <row r="3734" customFormat="1" ht="13" x14ac:dyDescent="0.15"/>
    <row r="3735" customFormat="1" ht="13" x14ac:dyDescent="0.15"/>
    <row r="3736" customFormat="1" ht="13" x14ac:dyDescent="0.15"/>
    <row r="3737" customFormat="1" ht="13" x14ac:dyDescent="0.15"/>
    <row r="3738" customFormat="1" ht="13" x14ac:dyDescent="0.15"/>
    <row r="3739" customFormat="1" ht="13" x14ac:dyDescent="0.15"/>
    <row r="3740" customFormat="1" ht="13" x14ac:dyDescent="0.15"/>
    <row r="3741" customFormat="1" ht="13" x14ac:dyDescent="0.15"/>
    <row r="3742" customFormat="1" ht="13" x14ac:dyDescent="0.15"/>
    <row r="3743" customFormat="1" ht="13" x14ac:dyDescent="0.15"/>
    <row r="3744" customFormat="1" ht="13" x14ac:dyDescent="0.15"/>
    <row r="3745" customFormat="1" ht="13" x14ac:dyDescent="0.15"/>
    <row r="3746" customFormat="1" ht="13" x14ac:dyDescent="0.15"/>
    <row r="3747" customFormat="1" ht="13" x14ac:dyDescent="0.15"/>
    <row r="3748" customFormat="1" ht="13" x14ac:dyDescent="0.15"/>
    <row r="3749" customFormat="1" ht="13" x14ac:dyDescent="0.15"/>
    <row r="3750" customFormat="1" ht="13" x14ac:dyDescent="0.15"/>
    <row r="3751" customFormat="1" ht="13" x14ac:dyDescent="0.15"/>
    <row r="3752" customFormat="1" ht="13" x14ac:dyDescent="0.15"/>
    <row r="3753" customFormat="1" ht="13" x14ac:dyDescent="0.15"/>
    <row r="3754" customFormat="1" ht="13" x14ac:dyDescent="0.15"/>
    <row r="3755" customFormat="1" ht="13" x14ac:dyDescent="0.15"/>
    <row r="3756" customFormat="1" ht="13" x14ac:dyDescent="0.15"/>
    <row r="3757" customFormat="1" ht="13" x14ac:dyDescent="0.15"/>
    <row r="3758" customFormat="1" ht="13" x14ac:dyDescent="0.15"/>
    <row r="3759" customFormat="1" ht="13" x14ac:dyDescent="0.15"/>
    <row r="3760" customFormat="1" ht="13" x14ac:dyDescent="0.15"/>
    <row r="3761" customFormat="1" ht="13" x14ac:dyDescent="0.15"/>
    <row r="3762" customFormat="1" ht="13" x14ac:dyDescent="0.15"/>
    <row r="3763" customFormat="1" ht="13" x14ac:dyDescent="0.15"/>
    <row r="3764" customFormat="1" ht="13" x14ac:dyDescent="0.15"/>
    <row r="3765" customFormat="1" ht="13" x14ac:dyDescent="0.15"/>
    <row r="3766" customFormat="1" ht="13" x14ac:dyDescent="0.15"/>
    <row r="3767" customFormat="1" ht="13" x14ac:dyDescent="0.15"/>
    <row r="3768" customFormat="1" ht="13" x14ac:dyDescent="0.15"/>
    <row r="3769" customFormat="1" ht="13" x14ac:dyDescent="0.15"/>
    <row r="3770" customFormat="1" ht="13" x14ac:dyDescent="0.15"/>
    <row r="3771" customFormat="1" ht="13" x14ac:dyDescent="0.15"/>
    <row r="3772" customFormat="1" ht="13" x14ac:dyDescent="0.15"/>
    <row r="3773" customFormat="1" ht="13" x14ac:dyDescent="0.15"/>
    <row r="3774" customFormat="1" ht="13" x14ac:dyDescent="0.15"/>
    <row r="3775" customFormat="1" ht="13" x14ac:dyDescent="0.15"/>
    <row r="3776" customFormat="1" ht="13" x14ac:dyDescent="0.15"/>
    <row r="3777" customFormat="1" ht="13" x14ac:dyDescent="0.15"/>
    <row r="3778" customFormat="1" ht="13" x14ac:dyDescent="0.15"/>
    <row r="3779" customFormat="1" ht="13" x14ac:dyDescent="0.15"/>
    <row r="3780" customFormat="1" ht="13" x14ac:dyDescent="0.15"/>
    <row r="3781" customFormat="1" ht="13" x14ac:dyDescent="0.15"/>
    <row r="3782" customFormat="1" ht="13" x14ac:dyDescent="0.15"/>
    <row r="3783" customFormat="1" ht="13" x14ac:dyDescent="0.15"/>
    <row r="3784" customFormat="1" ht="13" x14ac:dyDescent="0.15"/>
    <row r="3785" customFormat="1" ht="13" x14ac:dyDescent="0.15"/>
    <row r="3786" customFormat="1" ht="13" x14ac:dyDescent="0.15"/>
    <row r="3787" customFormat="1" ht="13" x14ac:dyDescent="0.15"/>
    <row r="3788" customFormat="1" ht="13" x14ac:dyDescent="0.15"/>
    <row r="3789" customFormat="1" ht="13" x14ac:dyDescent="0.15"/>
    <row r="3790" customFormat="1" ht="13" x14ac:dyDescent="0.15"/>
    <row r="3791" customFormat="1" ht="13" x14ac:dyDescent="0.15"/>
    <row r="3792" customFormat="1" ht="13" x14ac:dyDescent="0.15"/>
    <row r="3793" customFormat="1" ht="13" x14ac:dyDescent="0.15"/>
    <row r="3794" customFormat="1" ht="13" x14ac:dyDescent="0.15"/>
    <row r="3795" customFormat="1" ht="13" x14ac:dyDescent="0.15"/>
    <row r="3796" customFormat="1" ht="13" x14ac:dyDescent="0.15"/>
    <row r="3797" customFormat="1" ht="13" x14ac:dyDescent="0.15"/>
    <row r="3798" customFormat="1" ht="13" x14ac:dyDescent="0.15"/>
    <row r="3799" customFormat="1" ht="13" x14ac:dyDescent="0.15"/>
    <row r="3800" customFormat="1" ht="13" x14ac:dyDescent="0.15"/>
    <row r="3801" customFormat="1" ht="13" x14ac:dyDescent="0.15"/>
    <row r="3802" customFormat="1" ht="13" x14ac:dyDescent="0.15"/>
    <row r="3803" customFormat="1" ht="13" x14ac:dyDescent="0.15"/>
    <row r="3804" customFormat="1" ht="13" x14ac:dyDescent="0.15"/>
    <row r="3805" customFormat="1" ht="13" x14ac:dyDescent="0.15"/>
    <row r="3806" customFormat="1" ht="13" x14ac:dyDescent="0.15"/>
    <row r="3807" customFormat="1" ht="13" x14ac:dyDescent="0.15"/>
    <row r="3808" customFormat="1" ht="13" x14ac:dyDescent="0.15"/>
    <row r="3809" customFormat="1" ht="13" x14ac:dyDescent="0.15"/>
    <row r="3810" customFormat="1" ht="13" x14ac:dyDescent="0.15"/>
    <row r="3811" customFormat="1" ht="13" x14ac:dyDescent="0.15"/>
    <row r="3812" customFormat="1" ht="13" x14ac:dyDescent="0.15"/>
    <row r="3813" customFormat="1" ht="13" x14ac:dyDescent="0.15"/>
    <row r="3814" customFormat="1" ht="13" x14ac:dyDescent="0.15"/>
    <row r="3815" customFormat="1" ht="13" x14ac:dyDescent="0.15"/>
    <row r="3816" customFormat="1" ht="13" x14ac:dyDescent="0.15"/>
    <row r="3817" customFormat="1" ht="13" x14ac:dyDescent="0.15"/>
    <row r="3818" customFormat="1" ht="13" x14ac:dyDescent="0.15"/>
    <row r="3819" customFormat="1" ht="13" x14ac:dyDescent="0.15"/>
    <row r="3820" customFormat="1" ht="13" x14ac:dyDescent="0.15"/>
    <row r="3821" customFormat="1" ht="13" x14ac:dyDescent="0.15"/>
    <row r="3822" customFormat="1" ht="13" x14ac:dyDescent="0.15"/>
    <row r="3823" customFormat="1" ht="13" x14ac:dyDescent="0.15"/>
    <row r="3824" customFormat="1" ht="13" x14ac:dyDescent="0.15"/>
    <row r="3825" customFormat="1" ht="13" x14ac:dyDescent="0.15"/>
    <row r="3826" customFormat="1" ht="13" x14ac:dyDescent="0.15"/>
    <row r="3827" customFormat="1" ht="13" x14ac:dyDescent="0.15"/>
    <row r="3828" customFormat="1" ht="13" x14ac:dyDescent="0.15"/>
    <row r="3829" customFormat="1" ht="13" x14ac:dyDescent="0.15"/>
    <row r="3830" customFormat="1" ht="13" x14ac:dyDescent="0.15"/>
    <row r="3831" customFormat="1" ht="13" x14ac:dyDescent="0.15"/>
    <row r="3832" customFormat="1" ht="13" x14ac:dyDescent="0.15"/>
    <row r="3833" customFormat="1" ht="13" x14ac:dyDescent="0.15"/>
    <row r="3834" customFormat="1" ht="13" x14ac:dyDescent="0.15"/>
    <row r="3835" customFormat="1" ht="13" x14ac:dyDescent="0.15"/>
    <row r="3836" customFormat="1" ht="13" x14ac:dyDescent="0.15"/>
    <row r="3837" customFormat="1" ht="13" x14ac:dyDescent="0.15"/>
    <row r="3838" customFormat="1" ht="13" x14ac:dyDescent="0.15"/>
    <row r="3839" customFormat="1" ht="13" x14ac:dyDescent="0.15"/>
    <row r="3840" customFormat="1" ht="13" x14ac:dyDescent="0.15"/>
    <row r="3841" customFormat="1" ht="13" x14ac:dyDescent="0.15"/>
    <row r="3842" customFormat="1" ht="13" x14ac:dyDescent="0.15"/>
    <row r="3843" customFormat="1" ht="13" x14ac:dyDescent="0.15"/>
    <row r="3844" customFormat="1" ht="13" x14ac:dyDescent="0.15"/>
    <row r="3845" customFormat="1" ht="13" x14ac:dyDescent="0.15"/>
    <row r="3846" customFormat="1" ht="13" x14ac:dyDescent="0.15"/>
    <row r="3847" customFormat="1" ht="13" x14ac:dyDescent="0.15"/>
    <row r="3848" customFormat="1" ht="13" x14ac:dyDescent="0.15"/>
    <row r="3849" customFormat="1" ht="13" x14ac:dyDescent="0.15"/>
    <row r="3850" customFormat="1" ht="13" x14ac:dyDescent="0.15"/>
    <row r="3851" customFormat="1" ht="13" x14ac:dyDescent="0.15"/>
    <row r="3852" customFormat="1" ht="13" x14ac:dyDescent="0.15"/>
    <row r="3853" customFormat="1" ht="13" x14ac:dyDescent="0.15"/>
    <row r="3854" customFormat="1" ht="13" x14ac:dyDescent="0.15"/>
    <row r="3855" customFormat="1" ht="13" x14ac:dyDescent="0.15"/>
    <row r="3856" customFormat="1" ht="13" x14ac:dyDescent="0.15"/>
    <row r="3857" customFormat="1" ht="13" x14ac:dyDescent="0.15"/>
    <row r="3858" customFormat="1" ht="13" x14ac:dyDescent="0.15"/>
    <row r="3859" customFormat="1" ht="13" x14ac:dyDescent="0.15"/>
    <row r="3860" customFormat="1" ht="13" x14ac:dyDescent="0.15"/>
    <row r="3861" customFormat="1" ht="13" x14ac:dyDescent="0.15"/>
    <row r="3862" customFormat="1" ht="13" x14ac:dyDescent="0.15"/>
    <row r="3863" customFormat="1" ht="13" x14ac:dyDescent="0.15"/>
    <row r="3864" customFormat="1" ht="13" x14ac:dyDescent="0.15"/>
    <row r="3865" customFormat="1" ht="13" x14ac:dyDescent="0.15"/>
    <row r="3866" customFormat="1" ht="13" x14ac:dyDescent="0.15"/>
    <row r="3867" customFormat="1" ht="13" x14ac:dyDescent="0.15"/>
    <row r="3868" customFormat="1" ht="13" x14ac:dyDescent="0.15"/>
    <row r="3869" customFormat="1" ht="13" x14ac:dyDescent="0.15"/>
    <row r="3870" customFormat="1" ht="13" x14ac:dyDescent="0.15"/>
    <row r="3871" customFormat="1" ht="13" x14ac:dyDescent="0.15"/>
    <row r="3872" customFormat="1" ht="13" x14ac:dyDescent="0.15"/>
    <row r="3873" customFormat="1" ht="13" x14ac:dyDescent="0.15"/>
    <row r="3874" customFormat="1" ht="13" x14ac:dyDescent="0.15"/>
    <row r="3875" customFormat="1" ht="13" x14ac:dyDescent="0.15"/>
    <row r="3876" customFormat="1" ht="13" x14ac:dyDescent="0.15"/>
    <row r="3877" customFormat="1" ht="13" x14ac:dyDescent="0.15"/>
    <row r="3878" customFormat="1" ht="13" x14ac:dyDescent="0.15"/>
    <row r="3879" customFormat="1" ht="13" x14ac:dyDescent="0.15"/>
    <row r="3880" customFormat="1" ht="13" x14ac:dyDescent="0.15"/>
    <row r="3881" customFormat="1" ht="13" x14ac:dyDescent="0.15"/>
    <row r="3882" customFormat="1" ht="13" x14ac:dyDescent="0.15"/>
    <row r="3883" customFormat="1" ht="13" x14ac:dyDescent="0.15"/>
    <row r="3884" customFormat="1" ht="13" x14ac:dyDescent="0.15"/>
    <row r="3885" customFormat="1" ht="13" x14ac:dyDescent="0.15"/>
    <row r="3886" customFormat="1" ht="13" x14ac:dyDescent="0.15"/>
    <row r="3887" customFormat="1" ht="13" x14ac:dyDescent="0.15"/>
    <row r="3888" customFormat="1" ht="13" x14ac:dyDescent="0.15"/>
    <row r="3889" customFormat="1" ht="13" x14ac:dyDescent="0.15"/>
    <row r="3890" customFormat="1" ht="13" x14ac:dyDescent="0.15"/>
    <row r="3891" customFormat="1" ht="13" x14ac:dyDescent="0.15"/>
    <row r="3892" customFormat="1" ht="13" x14ac:dyDescent="0.15"/>
    <row r="3893" customFormat="1" ht="13" x14ac:dyDescent="0.15"/>
    <row r="3894" customFormat="1" ht="13" x14ac:dyDescent="0.15"/>
    <row r="3895" customFormat="1" ht="13" x14ac:dyDescent="0.15"/>
    <row r="3896" customFormat="1" ht="13" x14ac:dyDescent="0.15"/>
    <row r="3897" customFormat="1" ht="13" x14ac:dyDescent="0.15"/>
    <row r="3898" customFormat="1" ht="13" x14ac:dyDescent="0.15"/>
    <row r="3899" customFormat="1" ht="13" x14ac:dyDescent="0.15"/>
    <row r="3900" customFormat="1" ht="13" x14ac:dyDescent="0.15"/>
    <row r="3901" customFormat="1" ht="13" x14ac:dyDescent="0.15"/>
    <row r="3902" customFormat="1" ht="13" x14ac:dyDescent="0.15"/>
    <row r="3903" customFormat="1" ht="13" x14ac:dyDescent="0.15"/>
    <row r="3904" customFormat="1" ht="13" x14ac:dyDescent="0.15"/>
    <row r="3905" customFormat="1" ht="13" x14ac:dyDescent="0.15"/>
    <row r="3906" customFormat="1" ht="13" x14ac:dyDescent="0.15"/>
    <row r="3907" customFormat="1" ht="13" x14ac:dyDescent="0.15"/>
    <row r="3908" customFormat="1" ht="13" x14ac:dyDescent="0.15"/>
    <row r="3909" customFormat="1" ht="13" x14ac:dyDescent="0.15"/>
    <row r="3910" customFormat="1" ht="13" x14ac:dyDescent="0.15"/>
    <row r="3911" customFormat="1" ht="13" x14ac:dyDescent="0.15"/>
    <row r="3912" customFormat="1" ht="13" x14ac:dyDescent="0.15"/>
    <row r="3913" customFormat="1" ht="13" x14ac:dyDescent="0.15"/>
    <row r="3914" customFormat="1" ht="13" x14ac:dyDescent="0.15"/>
    <row r="3915" customFormat="1" ht="13" x14ac:dyDescent="0.15"/>
    <row r="3916" customFormat="1" ht="13" x14ac:dyDescent="0.15"/>
    <row r="3917" customFormat="1" ht="13" x14ac:dyDescent="0.15"/>
    <row r="3918" customFormat="1" ht="13" x14ac:dyDescent="0.15"/>
    <row r="3919" customFormat="1" ht="13" x14ac:dyDescent="0.15"/>
    <row r="3920" customFormat="1" ht="13" x14ac:dyDescent="0.15"/>
    <row r="3921" customFormat="1" ht="13" x14ac:dyDescent="0.15"/>
    <row r="3922" customFormat="1" ht="13" x14ac:dyDescent="0.15"/>
    <row r="3923" customFormat="1" ht="13" x14ac:dyDescent="0.15"/>
    <row r="3924" customFormat="1" ht="13" x14ac:dyDescent="0.15"/>
    <row r="3925" customFormat="1" ht="13" x14ac:dyDescent="0.15"/>
    <row r="3926" customFormat="1" ht="13" x14ac:dyDescent="0.15"/>
    <row r="3927" customFormat="1" ht="13" x14ac:dyDescent="0.15"/>
    <row r="3928" customFormat="1" ht="13" x14ac:dyDescent="0.15"/>
    <row r="3929" customFormat="1" ht="13" x14ac:dyDescent="0.15"/>
    <row r="3930" customFormat="1" ht="13" x14ac:dyDescent="0.15"/>
    <row r="3931" customFormat="1" ht="13" x14ac:dyDescent="0.15"/>
    <row r="3932" customFormat="1" ht="13" x14ac:dyDescent="0.15"/>
    <row r="3933" customFormat="1" ht="13" x14ac:dyDescent="0.15"/>
    <row r="3934" customFormat="1" ht="13" x14ac:dyDescent="0.15"/>
    <row r="3935" customFormat="1" ht="13" x14ac:dyDescent="0.15"/>
    <row r="3936" customFormat="1" ht="13" x14ac:dyDescent="0.15"/>
    <row r="3937" customFormat="1" ht="13" x14ac:dyDescent="0.15"/>
    <row r="3938" customFormat="1" ht="13" x14ac:dyDescent="0.15"/>
    <row r="3939" customFormat="1" ht="13" x14ac:dyDescent="0.15"/>
    <row r="3940" customFormat="1" ht="13" x14ac:dyDescent="0.15"/>
    <row r="3941" customFormat="1" ht="13" x14ac:dyDescent="0.15"/>
    <row r="3942" customFormat="1" ht="13" x14ac:dyDescent="0.15"/>
    <row r="3943" customFormat="1" ht="13" x14ac:dyDescent="0.15"/>
    <row r="3944" customFormat="1" ht="13" x14ac:dyDescent="0.15"/>
    <row r="3945" customFormat="1" ht="13" x14ac:dyDescent="0.15"/>
    <row r="3946" customFormat="1" ht="13" x14ac:dyDescent="0.15"/>
    <row r="3947" customFormat="1" ht="13" x14ac:dyDescent="0.15"/>
    <row r="3948" customFormat="1" ht="13" x14ac:dyDescent="0.15"/>
    <row r="3949" customFormat="1" ht="13" x14ac:dyDescent="0.15"/>
    <row r="3950" customFormat="1" ht="13" x14ac:dyDescent="0.15"/>
    <row r="3951" customFormat="1" ht="13" x14ac:dyDescent="0.15"/>
    <row r="3952" customFormat="1" ht="13" x14ac:dyDescent="0.15"/>
    <row r="3953" customFormat="1" ht="13" x14ac:dyDescent="0.15"/>
    <row r="3954" customFormat="1" ht="13" x14ac:dyDescent="0.15"/>
    <row r="3955" customFormat="1" ht="13" x14ac:dyDescent="0.15"/>
    <row r="3956" customFormat="1" ht="13" x14ac:dyDescent="0.15"/>
    <row r="3957" customFormat="1" ht="13" x14ac:dyDescent="0.15"/>
    <row r="3958" customFormat="1" ht="13" x14ac:dyDescent="0.15"/>
    <row r="3959" customFormat="1" ht="13" x14ac:dyDescent="0.15"/>
    <row r="3960" customFormat="1" ht="13" x14ac:dyDescent="0.15"/>
    <row r="3961" customFormat="1" ht="13" x14ac:dyDescent="0.15"/>
    <row r="3962" customFormat="1" ht="13" x14ac:dyDescent="0.15"/>
    <row r="3963" customFormat="1" ht="13" x14ac:dyDescent="0.15"/>
    <row r="3964" customFormat="1" ht="13" x14ac:dyDescent="0.15"/>
    <row r="3965" customFormat="1" ht="13" x14ac:dyDescent="0.15"/>
    <row r="3966" customFormat="1" ht="13" x14ac:dyDescent="0.15"/>
    <row r="3967" customFormat="1" ht="13" x14ac:dyDescent="0.15"/>
    <row r="3968" customFormat="1" ht="13" x14ac:dyDescent="0.15"/>
    <row r="3969" customFormat="1" ht="13" x14ac:dyDescent="0.15"/>
    <row r="3970" customFormat="1" ht="13" x14ac:dyDescent="0.15"/>
    <row r="3971" customFormat="1" ht="13" x14ac:dyDescent="0.15"/>
    <row r="3972" customFormat="1" ht="13" x14ac:dyDescent="0.15"/>
    <row r="3973" customFormat="1" ht="13" x14ac:dyDescent="0.15"/>
    <row r="3974" customFormat="1" ht="13" x14ac:dyDescent="0.15"/>
    <row r="3975" customFormat="1" ht="13" x14ac:dyDescent="0.15"/>
    <row r="3976" customFormat="1" ht="13" x14ac:dyDescent="0.15"/>
    <row r="3977" customFormat="1" ht="13" x14ac:dyDescent="0.15"/>
    <row r="3978" customFormat="1" ht="13" x14ac:dyDescent="0.15"/>
    <row r="3979" customFormat="1" ht="13" x14ac:dyDescent="0.15"/>
    <row r="3980" customFormat="1" ht="13" x14ac:dyDescent="0.15"/>
    <row r="3981" customFormat="1" ht="13" x14ac:dyDescent="0.15"/>
    <row r="3982" customFormat="1" ht="13" x14ac:dyDescent="0.15"/>
    <row r="3983" customFormat="1" ht="13" x14ac:dyDescent="0.15"/>
    <row r="3984" customFormat="1" ht="13" x14ac:dyDescent="0.15"/>
    <row r="3985" customFormat="1" ht="13" x14ac:dyDescent="0.15"/>
    <row r="3986" customFormat="1" ht="13" x14ac:dyDescent="0.15"/>
    <row r="3987" customFormat="1" ht="13" x14ac:dyDescent="0.15"/>
    <row r="3988" customFormat="1" ht="13" x14ac:dyDescent="0.15"/>
    <row r="3989" customFormat="1" ht="13" x14ac:dyDescent="0.15"/>
    <row r="3990" customFormat="1" ht="13" x14ac:dyDescent="0.15"/>
    <row r="3991" customFormat="1" ht="13" x14ac:dyDescent="0.15"/>
    <row r="3992" customFormat="1" ht="13" x14ac:dyDescent="0.15"/>
    <row r="3993" customFormat="1" ht="13" x14ac:dyDescent="0.15"/>
    <row r="3994" customFormat="1" ht="13" x14ac:dyDescent="0.15"/>
    <row r="3995" customFormat="1" ht="13" x14ac:dyDescent="0.15"/>
    <row r="3996" customFormat="1" ht="13" x14ac:dyDescent="0.15"/>
    <row r="3997" customFormat="1" ht="13" x14ac:dyDescent="0.15"/>
    <row r="3998" customFormat="1" ht="13" x14ac:dyDescent="0.15"/>
    <row r="3999" customFormat="1" ht="13" x14ac:dyDescent="0.15"/>
    <row r="4000" customFormat="1" ht="13" x14ac:dyDescent="0.15"/>
    <row r="4001" customFormat="1" ht="13" x14ac:dyDescent="0.15"/>
    <row r="4002" customFormat="1" ht="13" x14ac:dyDescent="0.15"/>
    <row r="4003" customFormat="1" ht="13" x14ac:dyDescent="0.15"/>
    <row r="4004" customFormat="1" ht="13" x14ac:dyDescent="0.15"/>
    <row r="4005" customFormat="1" ht="13" x14ac:dyDescent="0.15"/>
    <row r="4006" customFormat="1" ht="13" x14ac:dyDescent="0.15"/>
    <row r="4007" customFormat="1" ht="13" x14ac:dyDescent="0.15"/>
    <row r="4008" customFormat="1" ht="13" x14ac:dyDescent="0.15"/>
    <row r="4009" customFormat="1" ht="13" x14ac:dyDescent="0.15"/>
    <row r="4010" customFormat="1" ht="13" x14ac:dyDescent="0.15"/>
    <row r="4011" customFormat="1" ht="13" x14ac:dyDescent="0.15"/>
    <row r="4012" customFormat="1" ht="13" x14ac:dyDescent="0.15"/>
    <row r="4013" customFormat="1" ht="13" x14ac:dyDescent="0.15"/>
    <row r="4014" customFormat="1" ht="13" x14ac:dyDescent="0.15"/>
    <row r="4015" customFormat="1" ht="13" x14ac:dyDescent="0.15"/>
    <row r="4016" customFormat="1" ht="13" x14ac:dyDescent="0.15"/>
    <row r="4017" customFormat="1" ht="13" x14ac:dyDescent="0.15"/>
    <row r="4018" customFormat="1" ht="13" x14ac:dyDescent="0.15"/>
    <row r="4019" customFormat="1" ht="13" x14ac:dyDescent="0.15"/>
    <row r="4020" customFormat="1" ht="13" x14ac:dyDescent="0.15"/>
    <row r="4021" customFormat="1" ht="13" x14ac:dyDescent="0.15"/>
    <row r="4022" customFormat="1" ht="13" x14ac:dyDescent="0.15"/>
    <row r="4023" customFormat="1" ht="13" x14ac:dyDescent="0.15"/>
    <row r="4024" customFormat="1" ht="13" x14ac:dyDescent="0.15"/>
    <row r="4025" customFormat="1" ht="13" x14ac:dyDescent="0.15"/>
    <row r="4026" customFormat="1" ht="13" x14ac:dyDescent="0.15"/>
    <row r="4027" customFormat="1" ht="13" x14ac:dyDescent="0.15"/>
    <row r="4028" customFormat="1" ht="13" x14ac:dyDescent="0.15"/>
    <row r="4029" customFormat="1" ht="13" x14ac:dyDescent="0.15"/>
    <row r="4030" customFormat="1" ht="13" x14ac:dyDescent="0.15"/>
    <row r="4031" customFormat="1" ht="13" x14ac:dyDescent="0.15"/>
    <row r="4032" customFormat="1" ht="13" x14ac:dyDescent="0.15"/>
    <row r="4033" customFormat="1" ht="13" x14ac:dyDescent="0.15"/>
    <row r="4034" customFormat="1" ht="13" x14ac:dyDescent="0.15"/>
    <row r="4035" customFormat="1" ht="13" x14ac:dyDescent="0.15"/>
    <row r="4036" customFormat="1" ht="13" x14ac:dyDescent="0.15"/>
    <row r="4037" customFormat="1" ht="13" x14ac:dyDescent="0.15"/>
    <row r="4038" customFormat="1" ht="13" x14ac:dyDescent="0.15"/>
    <row r="4039" customFormat="1" ht="13" x14ac:dyDescent="0.15"/>
    <row r="4040" customFormat="1" ht="13" x14ac:dyDescent="0.15"/>
    <row r="4041" customFormat="1" ht="13" x14ac:dyDescent="0.15"/>
    <row r="4042" customFormat="1" ht="13" x14ac:dyDescent="0.15"/>
    <row r="4043" customFormat="1" ht="13" x14ac:dyDescent="0.15"/>
    <row r="4044" customFormat="1" ht="13" x14ac:dyDescent="0.15"/>
    <row r="4045" customFormat="1" ht="13" x14ac:dyDescent="0.15"/>
    <row r="4046" customFormat="1" ht="13" x14ac:dyDescent="0.15"/>
    <row r="4047" customFormat="1" ht="13" x14ac:dyDescent="0.15"/>
    <row r="4048" customFormat="1" ht="13" x14ac:dyDescent="0.15"/>
    <row r="4049" customFormat="1" ht="13" x14ac:dyDescent="0.15"/>
    <row r="4050" customFormat="1" ht="13" x14ac:dyDescent="0.15"/>
    <row r="4051" customFormat="1" ht="13" x14ac:dyDescent="0.15"/>
    <row r="4052" customFormat="1" ht="13" x14ac:dyDescent="0.15"/>
    <row r="4053" customFormat="1" ht="13" x14ac:dyDescent="0.15"/>
    <row r="4054" customFormat="1" ht="13" x14ac:dyDescent="0.15"/>
    <row r="4055" customFormat="1" ht="13" x14ac:dyDescent="0.15"/>
    <row r="4056" customFormat="1" ht="13" x14ac:dyDescent="0.15"/>
    <row r="4057" customFormat="1" ht="13" x14ac:dyDescent="0.15"/>
    <row r="4058" customFormat="1" ht="13" x14ac:dyDescent="0.15"/>
    <row r="4059" customFormat="1" ht="13" x14ac:dyDescent="0.15"/>
    <row r="4060" customFormat="1" ht="13" x14ac:dyDescent="0.15"/>
    <row r="4061" customFormat="1" ht="13" x14ac:dyDescent="0.15"/>
    <row r="4062" customFormat="1" ht="13" x14ac:dyDescent="0.15"/>
    <row r="4063" customFormat="1" ht="13" x14ac:dyDescent="0.15"/>
    <row r="4064" customFormat="1" ht="13" x14ac:dyDescent="0.15"/>
    <row r="4065" customFormat="1" ht="13" x14ac:dyDescent="0.15"/>
    <row r="4066" customFormat="1" ht="13" x14ac:dyDescent="0.15"/>
    <row r="4067" customFormat="1" ht="13" x14ac:dyDescent="0.15"/>
    <row r="4068" customFormat="1" ht="13" x14ac:dyDescent="0.15"/>
    <row r="4069" customFormat="1" ht="13" x14ac:dyDescent="0.15"/>
    <row r="4070" customFormat="1" ht="13" x14ac:dyDescent="0.15"/>
    <row r="4071" customFormat="1" ht="13" x14ac:dyDescent="0.15"/>
    <row r="4072" customFormat="1" ht="13" x14ac:dyDescent="0.15"/>
    <row r="4073" customFormat="1" ht="13" x14ac:dyDescent="0.15"/>
    <row r="4074" customFormat="1" ht="13" x14ac:dyDescent="0.15"/>
    <row r="4075" customFormat="1" ht="13" x14ac:dyDescent="0.15"/>
    <row r="4076" customFormat="1" ht="13" x14ac:dyDescent="0.15"/>
    <row r="4077" customFormat="1" ht="13" x14ac:dyDescent="0.15"/>
    <row r="4078" customFormat="1" ht="13" x14ac:dyDescent="0.15"/>
    <row r="4079" customFormat="1" ht="13" x14ac:dyDescent="0.15"/>
    <row r="4080" customFormat="1" ht="13" x14ac:dyDescent="0.15"/>
    <row r="4081" customFormat="1" ht="13" x14ac:dyDescent="0.15"/>
    <row r="4082" customFormat="1" ht="13" x14ac:dyDescent="0.15"/>
    <row r="4083" customFormat="1" ht="13" x14ac:dyDescent="0.15"/>
    <row r="4084" customFormat="1" ht="13" x14ac:dyDescent="0.15"/>
    <row r="4085" customFormat="1" ht="13" x14ac:dyDescent="0.15"/>
    <row r="4086" customFormat="1" ht="13" x14ac:dyDescent="0.15"/>
    <row r="4087" customFormat="1" ht="13" x14ac:dyDescent="0.15"/>
    <row r="4088" customFormat="1" ht="13" x14ac:dyDescent="0.15"/>
    <row r="4089" customFormat="1" ht="13" x14ac:dyDescent="0.15"/>
    <row r="4090" customFormat="1" ht="13" x14ac:dyDescent="0.15"/>
    <row r="4091" customFormat="1" ht="13" x14ac:dyDescent="0.15"/>
    <row r="4092" customFormat="1" ht="13" x14ac:dyDescent="0.15"/>
    <row r="4093" customFormat="1" ht="13" x14ac:dyDescent="0.15"/>
    <row r="4094" customFormat="1" ht="13" x14ac:dyDescent="0.15"/>
    <row r="4095" customFormat="1" ht="13" x14ac:dyDescent="0.15"/>
    <row r="4096" customFormat="1" ht="13" x14ac:dyDescent="0.15"/>
    <row r="4097" customFormat="1" ht="13" x14ac:dyDescent="0.15"/>
    <row r="4098" customFormat="1" ht="13" x14ac:dyDescent="0.15"/>
    <row r="4099" customFormat="1" ht="13" x14ac:dyDescent="0.15"/>
    <row r="4100" customFormat="1" ht="13" x14ac:dyDescent="0.15"/>
    <row r="4101" customFormat="1" ht="13" x14ac:dyDescent="0.15"/>
    <row r="4102" customFormat="1" ht="13" x14ac:dyDescent="0.15"/>
    <row r="4103" customFormat="1" ht="13" x14ac:dyDescent="0.15"/>
    <row r="4104" customFormat="1" ht="13" x14ac:dyDescent="0.15"/>
    <row r="4105" customFormat="1" ht="13" x14ac:dyDescent="0.15"/>
    <row r="4106" customFormat="1" ht="13" x14ac:dyDescent="0.15"/>
    <row r="4107" customFormat="1" ht="13" x14ac:dyDescent="0.15"/>
    <row r="4108" customFormat="1" ht="13" x14ac:dyDescent="0.15"/>
    <row r="4109" customFormat="1" ht="13" x14ac:dyDescent="0.15"/>
    <row r="4110" customFormat="1" ht="13" x14ac:dyDescent="0.15"/>
    <row r="4111" customFormat="1" ht="13" x14ac:dyDescent="0.15"/>
    <row r="4112" customFormat="1" ht="13" x14ac:dyDescent="0.15"/>
    <row r="4113" customFormat="1" ht="13" x14ac:dyDescent="0.15"/>
    <row r="4114" customFormat="1" ht="13" x14ac:dyDescent="0.15"/>
    <row r="4115" customFormat="1" ht="13" x14ac:dyDescent="0.15"/>
    <row r="4116" customFormat="1" ht="13" x14ac:dyDescent="0.15"/>
    <row r="4117" customFormat="1" ht="13" x14ac:dyDescent="0.15"/>
    <row r="4118" customFormat="1" ht="13" x14ac:dyDescent="0.15"/>
    <row r="4119" customFormat="1" ht="13" x14ac:dyDescent="0.15"/>
    <row r="4120" customFormat="1" ht="13" x14ac:dyDescent="0.15"/>
    <row r="4121" customFormat="1" ht="13" x14ac:dyDescent="0.15"/>
    <row r="4122" customFormat="1" ht="13" x14ac:dyDescent="0.15"/>
    <row r="4123" customFormat="1" ht="13" x14ac:dyDescent="0.15"/>
    <row r="4124" customFormat="1" ht="13" x14ac:dyDescent="0.15"/>
    <row r="4125" customFormat="1" ht="13" x14ac:dyDescent="0.15"/>
    <row r="4126" customFormat="1" ht="13" x14ac:dyDescent="0.15"/>
    <row r="4127" customFormat="1" ht="13" x14ac:dyDescent="0.15"/>
    <row r="4128" customFormat="1" ht="13" x14ac:dyDescent="0.15"/>
    <row r="4129" customFormat="1" ht="13" x14ac:dyDescent="0.15"/>
    <row r="4130" customFormat="1" ht="13" x14ac:dyDescent="0.15"/>
    <row r="4131" customFormat="1" ht="13" x14ac:dyDescent="0.15"/>
    <row r="4132" customFormat="1" ht="13" x14ac:dyDescent="0.15"/>
    <row r="4133" customFormat="1" ht="13" x14ac:dyDescent="0.15"/>
    <row r="4134" customFormat="1" ht="13" x14ac:dyDescent="0.15"/>
    <row r="4135" customFormat="1" ht="13" x14ac:dyDescent="0.15"/>
    <row r="4136" customFormat="1" ht="13" x14ac:dyDescent="0.15"/>
    <row r="4137" customFormat="1" ht="13" x14ac:dyDescent="0.15"/>
    <row r="4138" customFormat="1" ht="13" x14ac:dyDescent="0.15"/>
    <row r="4139" customFormat="1" ht="13" x14ac:dyDescent="0.15"/>
    <row r="4140" customFormat="1" ht="13" x14ac:dyDescent="0.15"/>
    <row r="4141" customFormat="1" ht="13" x14ac:dyDescent="0.15"/>
    <row r="4142" customFormat="1" ht="13" x14ac:dyDescent="0.15"/>
    <row r="4143" customFormat="1" ht="13" x14ac:dyDescent="0.15"/>
    <row r="4144" customFormat="1" ht="13" x14ac:dyDescent="0.15"/>
    <row r="4145" customFormat="1" ht="13" x14ac:dyDescent="0.15"/>
    <row r="4146" customFormat="1" ht="13" x14ac:dyDescent="0.15"/>
    <row r="4147" customFormat="1" ht="13" x14ac:dyDescent="0.15"/>
    <row r="4148" customFormat="1" ht="13" x14ac:dyDescent="0.15"/>
    <row r="4149" customFormat="1" ht="13" x14ac:dyDescent="0.15"/>
    <row r="4150" customFormat="1" ht="13" x14ac:dyDescent="0.15"/>
    <row r="4151" customFormat="1" ht="13" x14ac:dyDescent="0.15"/>
    <row r="4152" customFormat="1" ht="13" x14ac:dyDescent="0.15"/>
    <row r="4153" customFormat="1" ht="13" x14ac:dyDescent="0.15"/>
    <row r="4154" customFormat="1" ht="13" x14ac:dyDescent="0.15"/>
    <row r="4155" customFormat="1" ht="13" x14ac:dyDescent="0.15"/>
    <row r="4156" customFormat="1" ht="13" x14ac:dyDescent="0.15"/>
    <row r="4157" customFormat="1" ht="13" x14ac:dyDescent="0.15"/>
    <row r="4158" customFormat="1" ht="13" x14ac:dyDescent="0.15"/>
    <row r="4159" customFormat="1" ht="13" x14ac:dyDescent="0.15"/>
    <row r="4160" customFormat="1" ht="13" x14ac:dyDescent="0.15"/>
    <row r="4161" customFormat="1" ht="13" x14ac:dyDescent="0.15"/>
    <row r="4162" customFormat="1" ht="13" x14ac:dyDescent="0.15"/>
    <row r="4163" customFormat="1" ht="13" x14ac:dyDescent="0.15"/>
    <row r="4164" customFormat="1" ht="13" x14ac:dyDescent="0.15"/>
    <row r="4165" customFormat="1" ht="13" x14ac:dyDescent="0.15"/>
    <row r="4166" customFormat="1" ht="13" x14ac:dyDescent="0.15"/>
    <row r="4167" customFormat="1" ht="13" x14ac:dyDescent="0.15"/>
    <row r="4168" customFormat="1" ht="13" x14ac:dyDescent="0.15"/>
    <row r="4169" customFormat="1" ht="13" x14ac:dyDescent="0.15"/>
    <row r="4170" customFormat="1" ht="13" x14ac:dyDescent="0.15"/>
    <row r="4171" customFormat="1" ht="13" x14ac:dyDescent="0.15"/>
    <row r="4172" customFormat="1" ht="13" x14ac:dyDescent="0.15"/>
    <row r="4173" customFormat="1" ht="13" x14ac:dyDescent="0.15"/>
    <row r="4174" customFormat="1" ht="13" x14ac:dyDescent="0.15"/>
    <row r="4175" customFormat="1" ht="13" x14ac:dyDescent="0.15"/>
    <row r="4176" customFormat="1" ht="13" x14ac:dyDescent="0.15"/>
    <row r="4177" customFormat="1" ht="13" x14ac:dyDescent="0.15"/>
    <row r="4178" customFormat="1" ht="13" x14ac:dyDescent="0.15"/>
    <row r="4179" customFormat="1" ht="13" x14ac:dyDescent="0.15"/>
    <row r="4180" customFormat="1" ht="13" x14ac:dyDescent="0.15"/>
    <row r="4181" customFormat="1" ht="13" x14ac:dyDescent="0.15"/>
    <row r="4182" customFormat="1" ht="13" x14ac:dyDescent="0.15"/>
    <row r="4183" customFormat="1" ht="13" x14ac:dyDescent="0.15"/>
    <row r="4184" customFormat="1" ht="13" x14ac:dyDescent="0.15"/>
    <row r="4185" customFormat="1" ht="13" x14ac:dyDescent="0.15"/>
    <row r="4186" customFormat="1" ht="13" x14ac:dyDescent="0.15"/>
    <row r="4187" customFormat="1" ht="13" x14ac:dyDescent="0.15"/>
    <row r="4188" customFormat="1" ht="13" x14ac:dyDescent="0.15"/>
    <row r="4189" customFormat="1" ht="13" x14ac:dyDescent="0.15"/>
    <row r="4190" customFormat="1" ht="13" x14ac:dyDescent="0.15"/>
    <row r="4191" customFormat="1" ht="13" x14ac:dyDescent="0.15"/>
    <row r="4192" customFormat="1" ht="13" x14ac:dyDescent="0.15"/>
    <row r="4193" customFormat="1" ht="13" x14ac:dyDescent="0.15"/>
    <row r="4194" customFormat="1" ht="13" x14ac:dyDescent="0.15"/>
    <row r="4195" customFormat="1" ht="13" x14ac:dyDescent="0.15"/>
    <row r="4196" customFormat="1" ht="13" x14ac:dyDescent="0.15"/>
    <row r="4197" customFormat="1" ht="13" x14ac:dyDescent="0.15"/>
    <row r="4198" customFormat="1" ht="13" x14ac:dyDescent="0.15"/>
    <row r="4199" customFormat="1" ht="13" x14ac:dyDescent="0.15"/>
    <row r="4200" customFormat="1" ht="13" x14ac:dyDescent="0.15"/>
    <row r="4201" customFormat="1" ht="13" x14ac:dyDescent="0.15"/>
    <row r="4202" customFormat="1" ht="13" x14ac:dyDescent="0.15"/>
    <row r="4203" customFormat="1" ht="13" x14ac:dyDescent="0.15"/>
    <row r="4204" customFormat="1" ht="13" x14ac:dyDescent="0.15"/>
    <row r="4205" customFormat="1" ht="13" x14ac:dyDescent="0.15"/>
    <row r="4206" customFormat="1" ht="13" x14ac:dyDescent="0.15"/>
    <row r="4207" customFormat="1" ht="13" x14ac:dyDescent="0.15"/>
    <row r="4208" customFormat="1" ht="13" x14ac:dyDescent="0.15"/>
    <row r="4209" customFormat="1" ht="13" x14ac:dyDescent="0.15"/>
    <row r="4210" customFormat="1" ht="13" x14ac:dyDescent="0.15"/>
    <row r="4211" customFormat="1" ht="13" x14ac:dyDescent="0.15"/>
    <row r="4212" customFormat="1" ht="13" x14ac:dyDescent="0.15"/>
    <row r="4213" customFormat="1" ht="13" x14ac:dyDescent="0.15"/>
    <row r="4214" customFormat="1" ht="13" x14ac:dyDescent="0.15"/>
    <row r="4215" customFormat="1" ht="13" x14ac:dyDescent="0.15"/>
    <row r="4216" customFormat="1" ht="13" x14ac:dyDescent="0.15"/>
    <row r="4217" customFormat="1" ht="13" x14ac:dyDescent="0.15"/>
    <row r="4218" customFormat="1" ht="13" x14ac:dyDescent="0.15"/>
    <row r="4219" customFormat="1" ht="13" x14ac:dyDescent="0.15"/>
    <row r="4220" customFormat="1" ht="13" x14ac:dyDescent="0.15"/>
    <row r="4221" customFormat="1" ht="13" x14ac:dyDescent="0.15"/>
    <row r="4222" customFormat="1" ht="13" x14ac:dyDescent="0.15"/>
    <row r="4223" customFormat="1" ht="13" x14ac:dyDescent="0.15"/>
    <row r="4224" customFormat="1" ht="13" x14ac:dyDescent="0.15"/>
    <row r="4225" customFormat="1" ht="13" x14ac:dyDescent="0.15"/>
    <row r="4226" customFormat="1" ht="13" x14ac:dyDescent="0.15"/>
    <row r="4227" customFormat="1" ht="13" x14ac:dyDescent="0.15"/>
    <row r="4228" customFormat="1" ht="13" x14ac:dyDescent="0.15"/>
    <row r="4229" customFormat="1" ht="13" x14ac:dyDescent="0.15"/>
    <row r="4230" customFormat="1" ht="13" x14ac:dyDescent="0.15"/>
    <row r="4231" customFormat="1" ht="13" x14ac:dyDescent="0.15"/>
    <row r="4232" customFormat="1" ht="13" x14ac:dyDescent="0.15"/>
    <row r="4233" customFormat="1" ht="13" x14ac:dyDescent="0.15"/>
    <row r="4234" customFormat="1" ht="13" x14ac:dyDescent="0.15"/>
    <row r="4235" customFormat="1" ht="13" x14ac:dyDescent="0.15"/>
    <row r="4236" customFormat="1" ht="13" x14ac:dyDescent="0.15"/>
    <row r="4237" customFormat="1" ht="13" x14ac:dyDescent="0.15"/>
    <row r="4238" customFormat="1" ht="13" x14ac:dyDescent="0.15"/>
    <row r="4239" customFormat="1" ht="13" x14ac:dyDescent="0.15"/>
    <row r="4240" customFormat="1" ht="13" x14ac:dyDescent="0.15"/>
    <row r="4241" customFormat="1" ht="13" x14ac:dyDescent="0.15"/>
    <row r="4242" customFormat="1" ht="13" x14ac:dyDescent="0.15"/>
    <row r="4243" customFormat="1" ht="13" x14ac:dyDescent="0.15"/>
    <row r="4244" customFormat="1" ht="13" x14ac:dyDescent="0.15"/>
    <row r="4245" customFormat="1" ht="13" x14ac:dyDescent="0.15"/>
    <row r="4246" customFormat="1" ht="13" x14ac:dyDescent="0.15"/>
    <row r="4247" customFormat="1" ht="13" x14ac:dyDescent="0.15"/>
    <row r="4248" customFormat="1" ht="13" x14ac:dyDescent="0.15"/>
    <row r="4249" customFormat="1" ht="13" x14ac:dyDescent="0.15"/>
    <row r="4250" customFormat="1" ht="13" x14ac:dyDescent="0.15"/>
    <row r="4251" customFormat="1" ht="13" x14ac:dyDescent="0.15"/>
    <row r="4252" customFormat="1" ht="13" x14ac:dyDescent="0.15"/>
    <row r="4253" customFormat="1" ht="13" x14ac:dyDescent="0.15"/>
    <row r="4254" customFormat="1" ht="13" x14ac:dyDescent="0.15"/>
    <row r="4255" customFormat="1" ht="13" x14ac:dyDescent="0.15"/>
    <row r="4256" customFormat="1" ht="13" x14ac:dyDescent="0.15"/>
    <row r="4257" customFormat="1" ht="13" x14ac:dyDescent="0.15"/>
    <row r="4258" customFormat="1" ht="13" x14ac:dyDescent="0.15"/>
    <row r="4259" customFormat="1" ht="13" x14ac:dyDescent="0.15"/>
    <row r="4260" customFormat="1" ht="13" x14ac:dyDescent="0.15"/>
    <row r="4261" customFormat="1" ht="13" x14ac:dyDescent="0.15"/>
    <row r="4262" customFormat="1" ht="13" x14ac:dyDescent="0.15"/>
    <row r="4263" customFormat="1" ht="13" x14ac:dyDescent="0.15"/>
    <row r="4264" customFormat="1" ht="13" x14ac:dyDescent="0.15"/>
    <row r="4265" customFormat="1" ht="13" x14ac:dyDescent="0.15"/>
    <row r="4266" customFormat="1" ht="13" x14ac:dyDescent="0.15"/>
    <row r="4267" customFormat="1" ht="13" x14ac:dyDescent="0.15"/>
    <row r="4268" customFormat="1" ht="13" x14ac:dyDescent="0.15"/>
    <row r="4269" customFormat="1" ht="13" x14ac:dyDescent="0.15"/>
    <row r="4270" customFormat="1" ht="13" x14ac:dyDescent="0.15"/>
    <row r="4271" customFormat="1" ht="13" x14ac:dyDescent="0.15"/>
    <row r="4272" customFormat="1" ht="13" x14ac:dyDescent="0.15"/>
    <row r="4273" customFormat="1" ht="13" x14ac:dyDescent="0.15"/>
    <row r="4274" customFormat="1" ht="13" x14ac:dyDescent="0.15"/>
    <row r="4275" customFormat="1" ht="13" x14ac:dyDescent="0.15"/>
    <row r="4276" customFormat="1" ht="13" x14ac:dyDescent="0.15"/>
    <row r="4277" customFormat="1" ht="13" x14ac:dyDescent="0.15"/>
    <row r="4278" customFormat="1" ht="13" x14ac:dyDescent="0.15"/>
    <row r="4279" customFormat="1" ht="13" x14ac:dyDescent="0.15"/>
    <row r="4280" customFormat="1" ht="13" x14ac:dyDescent="0.15"/>
    <row r="4281" customFormat="1" ht="13" x14ac:dyDescent="0.15"/>
    <row r="4282" customFormat="1" ht="13" x14ac:dyDescent="0.15"/>
    <row r="4283" customFormat="1" ht="13" x14ac:dyDescent="0.15"/>
    <row r="4284" customFormat="1" ht="13" x14ac:dyDescent="0.15"/>
    <row r="4285" customFormat="1" ht="13" x14ac:dyDescent="0.15"/>
    <row r="4286" customFormat="1" ht="13" x14ac:dyDescent="0.15"/>
    <row r="4287" customFormat="1" ht="13" x14ac:dyDescent="0.15"/>
    <row r="4288" customFormat="1" ht="13" x14ac:dyDescent="0.15"/>
    <row r="4289" customFormat="1" ht="13" x14ac:dyDescent="0.15"/>
    <row r="4290" customFormat="1" ht="13" x14ac:dyDescent="0.15"/>
    <row r="4291" customFormat="1" ht="13" x14ac:dyDescent="0.15"/>
    <row r="4292" customFormat="1" ht="13" x14ac:dyDescent="0.15"/>
    <row r="4293" customFormat="1" ht="13" x14ac:dyDescent="0.15"/>
    <row r="4294" customFormat="1" ht="13" x14ac:dyDescent="0.15"/>
    <row r="4295" customFormat="1" ht="13" x14ac:dyDescent="0.15"/>
    <row r="4296" customFormat="1" ht="13" x14ac:dyDescent="0.15"/>
    <row r="4297" customFormat="1" ht="13" x14ac:dyDescent="0.15"/>
    <row r="4298" customFormat="1" ht="13" x14ac:dyDescent="0.15"/>
    <row r="4299" customFormat="1" ht="13" x14ac:dyDescent="0.15"/>
    <row r="4300" customFormat="1" ht="13" x14ac:dyDescent="0.15"/>
    <row r="4301" customFormat="1" ht="13" x14ac:dyDescent="0.15"/>
    <row r="4302" customFormat="1" ht="13" x14ac:dyDescent="0.15"/>
    <row r="4303" customFormat="1" ht="13" x14ac:dyDescent="0.15"/>
    <row r="4304" customFormat="1" ht="13" x14ac:dyDescent="0.15"/>
    <row r="4305" customFormat="1" ht="13" x14ac:dyDescent="0.15"/>
    <row r="4306" customFormat="1" ht="13" x14ac:dyDescent="0.15"/>
    <row r="4307" customFormat="1" ht="13" x14ac:dyDescent="0.15"/>
    <row r="4308" customFormat="1" ht="13" x14ac:dyDescent="0.15"/>
    <row r="4309" customFormat="1" ht="13" x14ac:dyDescent="0.15"/>
    <row r="4310" customFormat="1" ht="13" x14ac:dyDescent="0.15"/>
    <row r="4311" customFormat="1" ht="13" x14ac:dyDescent="0.15"/>
    <row r="4312" customFormat="1" ht="13" x14ac:dyDescent="0.15"/>
    <row r="4313" customFormat="1" ht="13" x14ac:dyDescent="0.15"/>
    <row r="4314" customFormat="1" ht="13" x14ac:dyDescent="0.15"/>
    <row r="4315" customFormat="1" ht="13" x14ac:dyDescent="0.15"/>
    <row r="4316" customFormat="1" ht="13" x14ac:dyDescent="0.15"/>
    <row r="4317" customFormat="1" ht="13" x14ac:dyDescent="0.15"/>
    <row r="4318" customFormat="1" ht="13" x14ac:dyDescent="0.15"/>
    <row r="4319" customFormat="1" ht="13" x14ac:dyDescent="0.15"/>
    <row r="4320" customFormat="1" ht="13" x14ac:dyDescent="0.15"/>
    <row r="4321" customFormat="1" ht="13" x14ac:dyDescent="0.15"/>
    <row r="4322" customFormat="1" ht="13" x14ac:dyDescent="0.15"/>
    <row r="4323" customFormat="1" ht="13" x14ac:dyDescent="0.15"/>
    <row r="4324" customFormat="1" ht="13" x14ac:dyDescent="0.15"/>
    <row r="4325" customFormat="1" ht="13" x14ac:dyDescent="0.15"/>
    <row r="4326" customFormat="1" ht="13" x14ac:dyDescent="0.15"/>
    <row r="4327" customFormat="1" ht="13" x14ac:dyDescent="0.15"/>
    <row r="4328" customFormat="1" ht="13" x14ac:dyDescent="0.15"/>
    <row r="4329" customFormat="1" ht="13" x14ac:dyDescent="0.15"/>
    <row r="4330" customFormat="1" ht="13" x14ac:dyDescent="0.15"/>
    <row r="4331" customFormat="1" ht="13" x14ac:dyDescent="0.15"/>
    <row r="4332" customFormat="1" ht="13" x14ac:dyDescent="0.15"/>
    <row r="4333" customFormat="1" ht="13" x14ac:dyDescent="0.15"/>
    <row r="4334" customFormat="1" ht="13" x14ac:dyDescent="0.15"/>
    <row r="4335" customFormat="1" ht="13" x14ac:dyDescent="0.15"/>
    <row r="4336" customFormat="1" ht="13" x14ac:dyDescent="0.15"/>
    <row r="4337" customFormat="1" ht="13" x14ac:dyDescent="0.15"/>
    <row r="4338" customFormat="1" ht="13" x14ac:dyDescent="0.15"/>
    <row r="4339" customFormat="1" ht="13" x14ac:dyDescent="0.15"/>
    <row r="4340" customFormat="1" ht="13" x14ac:dyDescent="0.15"/>
    <row r="4341" customFormat="1" ht="13" x14ac:dyDescent="0.15"/>
    <row r="4342" customFormat="1" ht="13" x14ac:dyDescent="0.15"/>
    <row r="4343" customFormat="1" ht="13" x14ac:dyDescent="0.15"/>
    <row r="4344" customFormat="1" ht="13" x14ac:dyDescent="0.15"/>
    <row r="4345" customFormat="1" ht="13" x14ac:dyDescent="0.15"/>
    <row r="4346" customFormat="1" ht="13" x14ac:dyDescent="0.15"/>
    <row r="4347" customFormat="1" ht="13" x14ac:dyDescent="0.15"/>
    <row r="4348" customFormat="1" ht="13" x14ac:dyDescent="0.15"/>
    <row r="4349" customFormat="1" ht="13" x14ac:dyDescent="0.15"/>
    <row r="4350" customFormat="1" ht="13" x14ac:dyDescent="0.15"/>
    <row r="4351" customFormat="1" ht="13" x14ac:dyDescent="0.15"/>
    <row r="4352" customFormat="1" ht="13" x14ac:dyDescent="0.15"/>
    <row r="4353" customFormat="1" ht="13" x14ac:dyDescent="0.15"/>
    <row r="4354" customFormat="1" ht="13" x14ac:dyDescent="0.15"/>
    <row r="4355" customFormat="1" ht="13" x14ac:dyDescent="0.15"/>
    <row r="4356" customFormat="1" ht="13" x14ac:dyDescent="0.15"/>
    <row r="4357" customFormat="1" ht="13" x14ac:dyDescent="0.15"/>
    <row r="4358" customFormat="1" ht="13" x14ac:dyDescent="0.15"/>
    <row r="4359" customFormat="1" ht="13" x14ac:dyDescent="0.15"/>
    <row r="4360" customFormat="1" ht="13" x14ac:dyDescent="0.15"/>
    <row r="4361" customFormat="1" ht="13" x14ac:dyDescent="0.15"/>
    <row r="4362" customFormat="1" ht="13" x14ac:dyDescent="0.15"/>
    <row r="4363" customFormat="1" ht="13" x14ac:dyDescent="0.15"/>
    <row r="4364" customFormat="1" ht="13" x14ac:dyDescent="0.15"/>
    <row r="4365" customFormat="1" ht="13" x14ac:dyDescent="0.15"/>
    <row r="4366" customFormat="1" ht="13" x14ac:dyDescent="0.15"/>
    <row r="4367" customFormat="1" ht="13" x14ac:dyDescent="0.15"/>
    <row r="4368" customFormat="1" ht="13" x14ac:dyDescent="0.15"/>
    <row r="4369" customFormat="1" ht="13" x14ac:dyDescent="0.15"/>
    <row r="4370" customFormat="1" ht="13" x14ac:dyDescent="0.15"/>
    <row r="4371" customFormat="1" ht="13" x14ac:dyDescent="0.15"/>
    <row r="4372" customFormat="1" ht="13" x14ac:dyDescent="0.15"/>
    <row r="4373" customFormat="1" ht="13" x14ac:dyDescent="0.15"/>
    <row r="4374" customFormat="1" ht="13" x14ac:dyDescent="0.15"/>
    <row r="4375" customFormat="1" ht="13" x14ac:dyDescent="0.15"/>
    <row r="4376" customFormat="1" ht="13" x14ac:dyDescent="0.15"/>
    <row r="4377" customFormat="1" ht="13" x14ac:dyDescent="0.15"/>
    <row r="4378" customFormat="1" ht="13" x14ac:dyDescent="0.15"/>
    <row r="4379" customFormat="1" ht="13" x14ac:dyDescent="0.15"/>
    <row r="4380" customFormat="1" ht="13" x14ac:dyDescent="0.15"/>
    <row r="4381" customFormat="1" ht="13" x14ac:dyDescent="0.15"/>
    <row r="4382" customFormat="1" ht="13" x14ac:dyDescent="0.15"/>
    <row r="4383" customFormat="1" ht="13" x14ac:dyDescent="0.15"/>
    <row r="4384" customFormat="1" ht="13" x14ac:dyDescent="0.15"/>
    <row r="4385" customFormat="1" ht="13" x14ac:dyDescent="0.15"/>
    <row r="4386" customFormat="1" ht="13" x14ac:dyDescent="0.15"/>
    <row r="4387" customFormat="1" ht="13" x14ac:dyDescent="0.15"/>
    <row r="4388" customFormat="1" ht="13" x14ac:dyDescent="0.15"/>
    <row r="4389" customFormat="1" ht="13" x14ac:dyDescent="0.15"/>
    <row r="4390" customFormat="1" ht="13" x14ac:dyDescent="0.15"/>
    <row r="4391" customFormat="1" ht="13" x14ac:dyDescent="0.15"/>
    <row r="4392" customFormat="1" ht="13" x14ac:dyDescent="0.15"/>
    <row r="4393" customFormat="1" ht="13" x14ac:dyDescent="0.15"/>
    <row r="4394" customFormat="1" ht="13" x14ac:dyDescent="0.15"/>
    <row r="4395" customFormat="1" ht="13" x14ac:dyDescent="0.15"/>
    <row r="4396" customFormat="1" ht="13" x14ac:dyDescent="0.15"/>
    <row r="4397" customFormat="1" ht="13" x14ac:dyDescent="0.15"/>
    <row r="4398" customFormat="1" ht="13" x14ac:dyDescent="0.15"/>
    <row r="4399" customFormat="1" ht="13" x14ac:dyDescent="0.15"/>
    <row r="4400" customFormat="1" ht="13" x14ac:dyDescent="0.15"/>
    <row r="4401" customFormat="1" ht="13" x14ac:dyDescent="0.15"/>
    <row r="4402" customFormat="1" ht="13" x14ac:dyDescent="0.15"/>
    <row r="4403" customFormat="1" ht="13" x14ac:dyDescent="0.15"/>
    <row r="4404" customFormat="1" ht="13" x14ac:dyDescent="0.15"/>
    <row r="4405" customFormat="1" ht="13" x14ac:dyDescent="0.15"/>
    <row r="4406" customFormat="1" ht="13" x14ac:dyDescent="0.15"/>
    <row r="4407" customFormat="1" ht="13" x14ac:dyDescent="0.15"/>
    <row r="4408" customFormat="1" ht="13" x14ac:dyDescent="0.15"/>
    <row r="4409" customFormat="1" ht="13" x14ac:dyDescent="0.15"/>
    <row r="4410" customFormat="1" ht="13" x14ac:dyDescent="0.15"/>
    <row r="4411" customFormat="1" ht="13" x14ac:dyDescent="0.15"/>
    <row r="4412" customFormat="1" ht="13" x14ac:dyDescent="0.15"/>
    <row r="4413" customFormat="1" ht="13" x14ac:dyDescent="0.15"/>
    <row r="4414" customFormat="1" ht="13" x14ac:dyDescent="0.15"/>
    <row r="4415" customFormat="1" ht="13" x14ac:dyDescent="0.15"/>
    <row r="4416" customFormat="1" ht="13" x14ac:dyDescent="0.15"/>
    <row r="4417" customFormat="1" ht="13" x14ac:dyDescent="0.15"/>
    <row r="4418" customFormat="1" ht="13" x14ac:dyDescent="0.15"/>
    <row r="4419" customFormat="1" ht="13" x14ac:dyDescent="0.15"/>
    <row r="4420" customFormat="1" ht="13" x14ac:dyDescent="0.15"/>
    <row r="4421" customFormat="1" ht="13" x14ac:dyDescent="0.15"/>
    <row r="4422" customFormat="1" ht="13" x14ac:dyDescent="0.15"/>
    <row r="4423" customFormat="1" ht="13" x14ac:dyDescent="0.15"/>
    <row r="4424" customFormat="1" ht="13" x14ac:dyDescent="0.15"/>
    <row r="4425" customFormat="1" ht="13" x14ac:dyDescent="0.15"/>
    <row r="4426" customFormat="1" ht="13" x14ac:dyDescent="0.15"/>
    <row r="4427" customFormat="1" ht="13" x14ac:dyDescent="0.15"/>
    <row r="4428" customFormat="1" ht="13" x14ac:dyDescent="0.15"/>
    <row r="4429" customFormat="1" ht="13" x14ac:dyDescent="0.15"/>
    <row r="4430" customFormat="1" ht="13" x14ac:dyDescent="0.15"/>
    <row r="4431" customFormat="1" ht="13" x14ac:dyDescent="0.15"/>
    <row r="4432" customFormat="1" ht="13" x14ac:dyDescent="0.15"/>
    <row r="4433" customFormat="1" ht="13" x14ac:dyDescent="0.15"/>
    <row r="4434" customFormat="1" ht="13" x14ac:dyDescent="0.15"/>
    <row r="4435" customFormat="1" ht="13" x14ac:dyDescent="0.15"/>
    <row r="4436" customFormat="1" ht="13" x14ac:dyDescent="0.15"/>
    <row r="4437" customFormat="1" ht="13" x14ac:dyDescent="0.15"/>
    <row r="4438" customFormat="1" ht="13" x14ac:dyDescent="0.15"/>
    <row r="4439" customFormat="1" ht="13" x14ac:dyDescent="0.15"/>
    <row r="4440" customFormat="1" ht="13" x14ac:dyDescent="0.15"/>
    <row r="4441" customFormat="1" ht="13" x14ac:dyDescent="0.15"/>
    <row r="4442" customFormat="1" ht="13" x14ac:dyDescent="0.15"/>
    <row r="4443" customFormat="1" ht="13" x14ac:dyDescent="0.15"/>
    <row r="4444" customFormat="1" ht="13" x14ac:dyDescent="0.15"/>
    <row r="4445" customFormat="1" ht="13" x14ac:dyDescent="0.15"/>
    <row r="4446" customFormat="1" ht="13" x14ac:dyDescent="0.15"/>
    <row r="4447" customFormat="1" ht="13" x14ac:dyDescent="0.15"/>
    <row r="4448" customFormat="1" ht="13" x14ac:dyDescent="0.15"/>
    <row r="4449" customFormat="1" ht="13" x14ac:dyDescent="0.15"/>
    <row r="4450" customFormat="1" ht="13" x14ac:dyDescent="0.15"/>
    <row r="4451" customFormat="1" ht="13" x14ac:dyDescent="0.15"/>
    <row r="4452" customFormat="1" ht="13" x14ac:dyDescent="0.15"/>
    <row r="4453" customFormat="1" ht="13" x14ac:dyDescent="0.15"/>
    <row r="4454" customFormat="1" ht="13" x14ac:dyDescent="0.15"/>
    <row r="4455" customFormat="1" ht="13" x14ac:dyDescent="0.15"/>
    <row r="4456" customFormat="1" ht="13" x14ac:dyDescent="0.15"/>
    <row r="4457" customFormat="1" ht="13" x14ac:dyDescent="0.15"/>
    <row r="4458" customFormat="1" ht="13" x14ac:dyDescent="0.15"/>
    <row r="4459" customFormat="1" ht="13" x14ac:dyDescent="0.15"/>
    <row r="4460" customFormat="1" ht="13" x14ac:dyDescent="0.15"/>
    <row r="4461" customFormat="1" ht="13" x14ac:dyDescent="0.15"/>
    <row r="4462" customFormat="1" ht="13" x14ac:dyDescent="0.15"/>
    <row r="4463" customFormat="1" ht="13" x14ac:dyDescent="0.15"/>
    <row r="4464" customFormat="1" ht="13" x14ac:dyDescent="0.15"/>
    <row r="4465" customFormat="1" ht="13" x14ac:dyDescent="0.15"/>
    <row r="4466" customFormat="1" ht="13" x14ac:dyDescent="0.15"/>
    <row r="4467" customFormat="1" ht="13" x14ac:dyDescent="0.15"/>
    <row r="4468" customFormat="1" ht="13" x14ac:dyDescent="0.15"/>
    <row r="4469" customFormat="1" ht="13" x14ac:dyDescent="0.15"/>
    <row r="4470" customFormat="1" ht="13" x14ac:dyDescent="0.15"/>
    <row r="4471" customFormat="1" ht="13" x14ac:dyDescent="0.15"/>
    <row r="4472" customFormat="1" ht="13" x14ac:dyDescent="0.15"/>
    <row r="4473" customFormat="1" ht="13" x14ac:dyDescent="0.15"/>
    <row r="4474" customFormat="1" ht="13" x14ac:dyDescent="0.15"/>
    <row r="4475" customFormat="1" ht="13" x14ac:dyDescent="0.15"/>
    <row r="4476" customFormat="1" ht="13" x14ac:dyDescent="0.15"/>
    <row r="4477" customFormat="1" ht="13" x14ac:dyDescent="0.15"/>
    <row r="4478" customFormat="1" ht="13" x14ac:dyDescent="0.15"/>
    <row r="4479" customFormat="1" ht="13" x14ac:dyDescent="0.15"/>
    <row r="4480" customFormat="1" ht="13" x14ac:dyDescent="0.15"/>
    <row r="4481" customFormat="1" ht="13" x14ac:dyDescent="0.15"/>
    <row r="4482" customFormat="1" ht="13" x14ac:dyDescent="0.15"/>
    <row r="4483" customFormat="1" ht="13" x14ac:dyDescent="0.15"/>
    <row r="4484" customFormat="1" ht="13" x14ac:dyDescent="0.15"/>
    <row r="4485" customFormat="1" ht="13" x14ac:dyDescent="0.15"/>
    <row r="4486" customFormat="1" ht="13" x14ac:dyDescent="0.15"/>
    <row r="4487" customFormat="1" ht="13" x14ac:dyDescent="0.15"/>
    <row r="4488" customFormat="1" ht="13" x14ac:dyDescent="0.15"/>
    <row r="4489" customFormat="1" ht="13" x14ac:dyDescent="0.15"/>
    <row r="4490" customFormat="1" ht="13" x14ac:dyDescent="0.15"/>
    <row r="4491" customFormat="1" ht="13" x14ac:dyDescent="0.15"/>
    <row r="4492" customFormat="1" ht="13" x14ac:dyDescent="0.15"/>
    <row r="4493" customFormat="1" ht="13" x14ac:dyDescent="0.15"/>
    <row r="4494" customFormat="1" ht="13" x14ac:dyDescent="0.15"/>
    <row r="4495" customFormat="1" ht="13" x14ac:dyDescent="0.15"/>
    <row r="4496" customFormat="1" ht="13" x14ac:dyDescent="0.15"/>
    <row r="4497" customFormat="1" ht="13" x14ac:dyDescent="0.15"/>
    <row r="4498" customFormat="1" ht="13" x14ac:dyDescent="0.15"/>
    <row r="4499" customFormat="1" ht="13" x14ac:dyDescent="0.15"/>
    <row r="4500" customFormat="1" ht="13" x14ac:dyDescent="0.15"/>
    <row r="4501" customFormat="1" ht="13" x14ac:dyDescent="0.15"/>
    <row r="4502" customFormat="1" ht="13" x14ac:dyDescent="0.15"/>
    <row r="4503" customFormat="1" ht="13" x14ac:dyDescent="0.15"/>
    <row r="4504" customFormat="1" ht="13" x14ac:dyDescent="0.15"/>
    <row r="4505" customFormat="1" ht="13" x14ac:dyDescent="0.15"/>
    <row r="4506" customFormat="1" ht="13" x14ac:dyDescent="0.15"/>
    <row r="4507" customFormat="1" ht="13" x14ac:dyDescent="0.15"/>
    <row r="4508" customFormat="1" ht="13" x14ac:dyDescent="0.15"/>
    <row r="4509" customFormat="1" ht="13" x14ac:dyDescent="0.15"/>
    <row r="4510" customFormat="1" ht="13" x14ac:dyDescent="0.15"/>
    <row r="4511" customFormat="1" ht="13" x14ac:dyDescent="0.15"/>
    <row r="4512" customFormat="1" ht="13" x14ac:dyDescent="0.15"/>
    <row r="4513" customFormat="1" ht="13" x14ac:dyDescent="0.15"/>
    <row r="4514" customFormat="1" ht="13" x14ac:dyDescent="0.15"/>
    <row r="4515" customFormat="1" ht="13" x14ac:dyDescent="0.15"/>
    <row r="4516" customFormat="1" ht="13" x14ac:dyDescent="0.15"/>
    <row r="4517" customFormat="1" ht="13" x14ac:dyDescent="0.15"/>
    <row r="4518" customFormat="1" ht="13" x14ac:dyDescent="0.15"/>
    <row r="4519" customFormat="1" ht="13" x14ac:dyDescent="0.15"/>
    <row r="4520" customFormat="1" ht="13" x14ac:dyDescent="0.15"/>
    <row r="4521" customFormat="1" ht="13" x14ac:dyDescent="0.15"/>
    <row r="4522" customFormat="1" ht="13" x14ac:dyDescent="0.15"/>
    <row r="4523" customFormat="1" ht="13" x14ac:dyDescent="0.15"/>
    <row r="4524" customFormat="1" ht="13" x14ac:dyDescent="0.15"/>
    <row r="4525" customFormat="1" ht="13" x14ac:dyDescent="0.15"/>
    <row r="4526" customFormat="1" ht="13" x14ac:dyDescent="0.15"/>
    <row r="4527" customFormat="1" ht="13" x14ac:dyDescent="0.15"/>
    <row r="4528" customFormat="1" ht="13" x14ac:dyDescent="0.15"/>
    <row r="4529" customFormat="1" ht="13" x14ac:dyDescent="0.15"/>
    <row r="4530" customFormat="1" ht="13" x14ac:dyDescent="0.15"/>
    <row r="4531" customFormat="1" ht="13" x14ac:dyDescent="0.15"/>
    <row r="4532" customFormat="1" ht="13" x14ac:dyDescent="0.15"/>
    <row r="4533" customFormat="1" ht="13" x14ac:dyDescent="0.15"/>
    <row r="4534" customFormat="1" ht="13" x14ac:dyDescent="0.15"/>
    <row r="4535" customFormat="1" ht="13" x14ac:dyDescent="0.15"/>
    <row r="4536" customFormat="1" ht="13" x14ac:dyDescent="0.15"/>
    <row r="4537" customFormat="1" ht="13" x14ac:dyDescent="0.15"/>
    <row r="4538" customFormat="1" ht="13" x14ac:dyDescent="0.15"/>
    <row r="4539" customFormat="1" ht="13" x14ac:dyDescent="0.15"/>
    <row r="4540" customFormat="1" ht="13" x14ac:dyDescent="0.15"/>
    <row r="4541" customFormat="1" ht="13" x14ac:dyDescent="0.15"/>
    <row r="4542" customFormat="1" ht="13" x14ac:dyDescent="0.15"/>
    <row r="4543" customFormat="1" ht="13" x14ac:dyDescent="0.15"/>
    <row r="4544" customFormat="1" ht="13" x14ac:dyDescent="0.15"/>
    <row r="4545" customFormat="1" ht="13" x14ac:dyDescent="0.15"/>
    <row r="4546" customFormat="1" ht="13" x14ac:dyDescent="0.15"/>
    <row r="4547" customFormat="1" ht="13" x14ac:dyDescent="0.15"/>
    <row r="4548" customFormat="1" ht="13" x14ac:dyDescent="0.15"/>
    <row r="4549" customFormat="1" ht="13" x14ac:dyDescent="0.15"/>
    <row r="4550" customFormat="1" ht="13" x14ac:dyDescent="0.15"/>
    <row r="4551" customFormat="1" ht="13" x14ac:dyDescent="0.15"/>
    <row r="4552" customFormat="1" ht="13" x14ac:dyDescent="0.15"/>
    <row r="4553" customFormat="1" ht="13" x14ac:dyDescent="0.15"/>
    <row r="4554" customFormat="1" ht="13" x14ac:dyDescent="0.15"/>
    <row r="4555" customFormat="1" ht="13" x14ac:dyDescent="0.15"/>
    <row r="4556" customFormat="1" ht="13" x14ac:dyDescent="0.15"/>
    <row r="4557" customFormat="1" ht="13" x14ac:dyDescent="0.15"/>
    <row r="4558" customFormat="1" ht="13" x14ac:dyDescent="0.15"/>
    <row r="4559" customFormat="1" ht="13" x14ac:dyDescent="0.15"/>
    <row r="4560" customFormat="1" ht="13" x14ac:dyDescent="0.15"/>
    <row r="4561" customFormat="1" ht="13" x14ac:dyDescent="0.15"/>
    <row r="4562" customFormat="1" ht="13" x14ac:dyDescent="0.15"/>
    <row r="4563" customFormat="1" ht="13" x14ac:dyDescent="0.15"/>
    <row r="4564" customFormat="1" ht="13" x14ac:dyDescent="0.15"/>
    <row r="4565" customFormat="1" ht="13" x14ac:dyDescent="0.15"/>
    <row r="4566" customFormat="1" ht="13" x14ac:dyDescent="0.15"/>
    <row r="4567" customFormat="1" ht="13" x14ac:dyDescent="0.15"/>
    <row r="4568" customFormat="1" ht="13" x14ac:dyDescent="0.15"/>
    <row r="4569" customFormat="1" ht="13" x14ac:dyDescent="0.15"/>
    <row r="4570" customFormat="1" ht="13" x14ac:dyDescent="0.15"/>
    <row r="4571" customFormat="1" ht="13" x14ac:dyDescent="0.15"/>
    <row r="4572" customFormat="1" ht="13" x14ac:dyDescent="0.15"/>
    <row r="4573" customFormat="1" ht="13" x14ac:dyDescent="0.15"/>
    <row r="4574" customFormat="1" ht="13" x14ac:dyDescent="0.15"/>
    <row r="4575" customFormat="1" ht="13" x14ac:dyDescent="0.15"/>
    <row r="4576" customFormat="1" ht="13" x14ac:dyDescent="0.15"/>
    <row r="4577" customFormat="1" ht="13" x14ac:dyDescent="0.15"/>
    <row r="4578" customFormat="1" ht="13" x14ac:dyDescent="0.15"/>
    <row r="4579" customFormat="1" ht="13" x14ac:dyDescent="0.15"/>
    <row r="4580" customFormat="1" ht="13" x14ac:dyDescent="0.15"/>
    <row r="4581" customFormat="1" ht="13" x14ac:dyDescent="0.15"/>
    <row r="4582" customFormat="1" ht="13" x14ac:dyDescent="0.15"/>
    <row r="4583" customFormat="1" ht="13" x14ac:dyDescent="0.15"/>
    <row r="4584" customFormat="1" ht="13" x14ac:dyDescent="0.15"/>
    <row r="4585" customFormat="1" ht="13" x14ac:dyDescent="0.15"/>
    <row r="4586" customFormat="1" ht="13" x14ac:dyDescent="0.15"/>
    <row r="4587" customFormat="1" ht="13" x14ac:dyDescent="0.15"/>
    <row r="4588" customFormat="1" ht="13" x14ac:dyDescent="0.15"/>
    <row r="4589" customFormat="1" ht="13" x14ac:dyDescent="0.15"/>
    <row r="4590" customFormat="1" ht="13" x14ac:dyDescent="0.15"/>
    <row r="4591" customFormat="1" ht="13" x14ac:dyDescent="0.15"/>
    <row r="4592" customFormat="1" ht="13" x14ac:dyDescent="0.15"/>
    <row r="4593" customFormat="1" ht="13" x14ac:dyDescent="0.15"/>
    <row r="4594" customFormat="1" ht="13" x14ac:dyDescent="0.15"/>
    <row r="4595" customFormat="1" ht="13" x14ac:dyDescent="0.15"/>
    <row r="4596" customFormat="1" ht="13" x14ac:dyDescent="0.15"/>
    <row r="4597" customFormat="1" ht="13" x14ac:dyDescent="0.15"/>
    <row r="4598" customFormat="1" ht="13" x14ac:dyDescent="0.15"/>
    <row r="4599" customFormat="1" ht="13" x14ac:dyDescent="0.15"/>
    <row r="4600" customFormat="1" ht="13" x14ac:dyDescent="0.15"/>
    <row r="4601" customFormat="1" ht="13" x14ac:dyDescent="0.15"/>
    <row r="4602" customFormat="1" ht="13" x14ac:dyDescent="0.15"/>
    <row r="4603" customFormat="1" ht="13" x14ac:dyDescent="0.15"/>
    <row r="4604" customFormat="1" ht="13" x14ac:dyDescent="0.15"/>
    <row r="4605" customFormat="1" ht="13" x14ac:dyDescent="0.15"/>
    <row r="4606" customFormat="1" ht="13" x14ac:dyDescent="0.15"/>
    <row r="4607" customFormat="1" ht="13" x14ac:dyDescent="0.15"/>
    <row r="4608" customFormat="1" ht="13" x14ac:dyDescent="0.15"/>
    <row r="4609" customFormat="1" ht="13" x14ac:dyDescent="0.15"/>
    <row r="4610" customFormat="1" ht="13" x14ac:dyDescent="0.15"/>
    <row r="4611" customFormat="1" ht="13" x14ac:dyDescent="0.15"/>
    <row r="4612" customFormat="1" ht="13" x14ac:dyDescent="0.15"/>
    <row r="4613" customFormat="1" ht="13" x14ac:dyDescent="0.15"/>
    <row r="4614" customFormat="1" ht="13" x14ac:dyDescent="0.15"/>
    <row r="4615" customFormat="1" ht="13" x14ac:dyDescent="0.15"/>
    <row r="4616" customFormat="1" ht="13" x14ac:dyDescent="0.15"/>
    <row r="4617" customFormat="1" ht="13" x14ac:dyDescent="0.15"/>
    <row r="4618" customFormat="1" ht="13" x14ac:dyDescent="0.15"/>
    <row r="4619" customFormat="1" ht="13" x14ac:dyDescent="0.15"/>
    <row r="4620" customFormat="1" ht="13" x14ac:dyDescent="0.15"/>
    <row r="4621" customFormat="1" ht="13" x14ac:dyDescent="0.15"/>
    <row r="4622" customFormat="1" ht="13" x14ac:dyDescent="0.15"/>
    <row r="4623" customFormat="1" ht="13" x14ac:dyDescent="0.15"/>
    <row r="4624" customFormat="1" ht="13" x14ac:dyDescent="0.15"/>
    <row r="4625" customFormat="1" ht="13" x14ac:dyDescent="0.15"/>
    <row r="4626" customFormat="1" ht="13" x14ac:dyDescent="0.15"/>
    <row r="4627" customFormat="1" ht="13" x14ac:dyDescent="0.15"/>
    <row r="4628" customFormat="1" ht="13" x14ac:dyDescent="0.15"/>
    <row r="4629" customFormat="1" ht="13" x14ac:dyDescent="0.15"/>
    <row r="4630" customFormat="1" ht="13" x14ac:dyDescent="0.15"/>
    <row r="4631" customFormat="1" ht="13" x14ac:dyDescent="0.15"/>
    <row r="4632" customFormat="1" ht="13" x14ac:dyDescent="0.15"/>
    <row r="4633" customFormat="1" ht="13" x14ac:dyDescent="0.15"/>
    <row r="4634" customFormat="1" ht="13" x14ac:dyDescent="0.15"/>
    <row r="4635" customFormat="1" ht="13" x14ac:dyDescent="0.15"/>
    <row r="4636" customFormat="1" ht="13" x14ac:dyDescent="0.15"/>
    <row r="4637" customFormat="1" ht="13" x14ac:dyDescent="0.15"/>
    <row r="4638" customFormat="1" ht="13" x14ac:dyDescent="0.15"/>
    <row r="4639" customFormat="1" ht="13" x14ac:dyDescent="0.15"/>
    <row r="4640" customFormat="1" ht="13" x14ac:dyDescent="0.15"/>
    <row r="4641" customFormat="1" ht="13" x14ac:dyDescent="0.15"/>
    <row r="4642" customFormat="1" ht="13" x14ac:dyDescent="0.15"/>
    <row r="4643" customFormat="1" ht="13" x14ac:dyDescent="0.15"/>
    <row r="4644" customFormat="1" ht="13" x14ac:dyDescent="0.15"/>
    <row r="4645" customFormat="1" ht="13" x14ac:dyDescent="0.15"/>
    <row r="4646" customFormat="1" ht="13" x14ac:dyDescent="0.15"/>
    <row r="4647" customFormat="1" ht="13" x14ac:dyDescent="0.15"/>
    <row r="4648" customFormat="1" ht="13" x14ac:dyDescent="0.15"/>
    <row r="4649" customFormat="1" ht="13" x14ac:dyDescent="0.15"/>
    <row r="4650" customFormat="1" ht="13" x14ac:dyDescent="0.15"/>
    <row r="4651" customFormat="1" ht="13" x14ac:dyDescent="0.15"/>
    <row r="4652" customFormat="1" ht="13" x14ac:dyDescent="0.15"/>
    <row r="4653" customFormat="1" ht="13" x14ac:dyDescent="0.15"/>
    <row r="4654" customFormat="1" ht="13" x14ac:dyDescent="0.15"/>
    <row r="4655" customFormat="1" ht="13" x14ac:dyDescent="0.15"/>
    <row r="4656" customFormat="1" ht="13" x14ac:dyDescent="0.15"/>
    <row r="4657" customFormat="1" ht="13" x14ac:dyDescent="0.15"/>
    <row r="4658" customFormat="1" ht="13" x14ac:dyDescent="0.15"/>
    <row r="4659" customFormat="1" ht="13" x14ac:dyDescent="0.15"/>
    <row r="4660" customFormat="1" ht="13" x14ac:dyDescent="0.15"/>
    <row r="4661" customFormat="1" ht="13" x14ac:dyDescent="0.15"/>
    <row r="4662" customFormat="1" ht="13" x14ac:dyDescent="0.15"/>
    <row r="4663" customFormat="1" ht="13" x14ac:dyDescent="0.15"/>
    <row r="4664" customFormat="1" ht="13" x14ac:dyDescent="0.15"/>
    <row r="4665" customFormat="1" ht="13" x14ac:dyDescent="0.15"/>
    <row r="4666" customFormat="1" ht="13" x14ac:dyDescent="0.15"/>
    <row r="4667" customFormat="1" ht="13" x14ac:dyDescent="0.15"/>
    <row r="4668" customFormat="1" ht="13" x14ac:dyDescent="0.15"/>
    <row r="4669" customFormat="1" ht="13" x14ac:dyDescent="0.15"/>
    <row r="4670" customFormat="1" ht="13" x14ac:dyDescent="0.15"/>
    <row r="4671" customFormat="1" ht="13" x14ac:dyDescent="0.15"/>
    <row r="4672" customFormat="1" ht="13" x14ac:dyDescent="0.15"/>
    <row r="4673" customFormat="1" ht="13" x14ac:dyDescent="0.15"/>
    <row r="4674" customFormat="1" ht="13" x14ac:dyDescent="0.15"/>
    <row r="4675" customFormat="1" ht="13" x14ac:dyDescent="0.15"/>
    <row r="4676" customFormat="1" ht="13" x14ac:dyDescent="0.15"/>
    <row r="4677" customFormat="1" ht="13" x14ac:dyDescent="0.15"/>
    <row r="4678" customFormat="1" ht="13" x14ac:dyDescent="0.15"/>
    <row r="4679" customFormat="1" ht="13" x14ac:dyDescent="0.15"/>
    <row r="4680" customFormat="1" ht="13" x14ac:dyDescent="0.15"/>
    <row r="4681" customFormat="1" ht="13" x14ac:dyDescent="0.15"/>
    <row r="4682" customFormat="1" ht="13" x14ac:dyDescent="0.15"/>
    <row r="4683" customFormat="1" ht="13" x14ac:dyDescent="0.15"/>
    <row r="4684" customFormat="1" ht="13" x14ac:dyDescent="0.15"/>
    <row r="4685" customFormat="1" ht="13" x14ac:dyDescent="0.15"/>
    <row r="4686" customFormat="1" ht="13" x14ac:dyDescent="0.15"/>
    <row r="4687" customFormat="1" ht="13" x14ac:dyDescent="0.15"/>
    <row r="4688" customFormat="1" ht="13" x14ac:dyDescent="0.15"/>
    <row r="4689" customFormat="1" ht="13" x14ac:dyDescent="0.15"/>
    <row r="4690" customFormat="1" ht="13" x14ac:dyDescent="0.15"/>
    <row r="4691" customFormat="1" ht="13" x14ac:dyDescent="0.15"/>
    <row r="4692" customFormat="1" ht="13" x14ac:dyDescent="0.15"/>
    <row r="4693" customFormat="1" ht="13" x14ac:dyDescent="0.15"/>
    <row r="4694" customFormat="1" ht="13" x14ac:dyDescent="0.15"/>
    <row r="4695" customFormat="1" ht="13" x14ac:dyDescent="0.15"/>
    <row r="4696" customFormat="1" ht="13" x14ac:dyDescent="0.15"/>
    <row r="4697" customFormat="1" ht="13" x14ac:dyDescent="0.15"/>
    <row r="4698" customFormat="1" ht="13" x14ac:dyDescent="0.15"/>
    <row r="4699" customFormat="1" ht="13" x14ac:dyDescent="0.15"/>
    <row r="4700" customFormat="1" ht="13" x14ac:dyDescent="0.15"/>
    <row r="4701" customFormat="1" ht="13" x14ac:dyDescent="0.15"/>
    <row r="4702" customFormat="1" ht="13" x14ac:dyDescent="0.15"/>
    <row r="4703" customFormat="1" ht="13" x14ac:dyDescent="0.15"/>
    <row r="4704" customFormat="1" ht="13" x14ac:dyDescent="0.15"/>
    <row r="4705" customFormat="1" ht="13" x14ac:dyDescent="0.15"/>
    <row r="4706" customFormat="1" ht="13" x14ac:dyDescent="0.15"/>
    <row r="4707" customFormat="1" ht="13" x14ac:dyDescent="0.15"/>
    <row r="4708" customFormat="1" ht="13" x14ac:dyDescent="0.15"/>
    <row r="4709" customFormat="1" ht="13" x14ac:dyDescent="0.15"/>
    <row r="4710" customFormat="1" ht="13" x14ac:dyDescent="0.15"/>
    <row r="4711" customFormat="1" ht="13" x14ac:dyDescent="0.15"/>
    <row r="4712" customFormat="1" ht="13" x14ac:dyDescent="0.15"/>
    <row r="4713" customFormat="1" ht="13" x14ac:dyDescent="0.15"/>
    <row r="4714" customFormat="1" ht="13" x14ac:dyDescent="0.15"/>
    <row r="4715" customFormat="1" ht="13" x14ac:dyDescent="0.15"/>
    <row r="4716" customFormat="1" ht="13" x14ac:dyDescent="0.15"/>
    <row r="4717" customFormat="1" ht="13" x14ac:dyDescent="0.15"/>
    <row r="4718" customFormat="1" ht="13" x14ac:dyDescent="0.15"/>
    <row r="4719" customFormat="1" ht="13" x14ac:dyDescent="0.15"/>
    <row r="4720" customFormat="1" ht="13" x14ac:dyDescent="0.15"/>
    <row r="4721" customFormat="1" ht="13" x14ac:dyDescent="0.15"/>
    <row r="4722" customFormat="1" ht="13" x14ac:dyDescent="0.15"/>
    <row r="4723" customFormat="1" ht="13" x14ac:dyDescent="0.15"/>
    <row r="4724" customFormat="1" ht="13" x14ac:dyDescent="0.15"/>
    <row r="4725" customFormat="1" ht="13" x14ac:dyDescent="0.15"/>
    <row r="4726" customFormat="1" ht="13" x14ac:dyDescent="0.15"/>
    <row r="4727" customFormat="1" ht="13" x14ac:dyDescent="0.15"/>
    <row r="4728" customFormat="1" ht="13" x14ac:dyDescent="0.15"/>
    <row r="4729" customFormat="1" ht="13" x14ac:dyDescent="0.15"/>
    <row r="4730" customFormat="1" ht="13" x14ac:dyDescent="0.15"/>
    <row r="4731" customFormat="1" ht="13" x14ac:dyDescent="0.15"/>
    <row r="4732" customFormat="1" ht="13" x14ac:dyDescent="0.15"/>
    <row r="4733" customFormat="1" ht="13" x14ac:dyDescent="0.15"/>
    <row r="4734" customFormat="1" ht="13" x14ac:dyDescent="0.15"/>
    <row r="4735" customFormat="1" ht="13" x14ac:dyDescent="0.15"/>
    <row r="4736" customFormat="1" ht="13" x14ac:dyDescent="0.15"/>
    <row r="4737" customFormat="1" ht="13" x14ac:dyDescent="0.15"/>
    <row r="4738" customFormat="1" ht="13" x14ac:dyDescent="0.15"/>
    <row r="4739" customFormat="1" ht="13" x14ac:dyDescent="0.15"/>
    <row r="4740" customFormat="1" ht="13" x14ac:dyDescent="0.15"/>
    <row r="4741" customFormat="1" ht="13" x14ac:dyDescent="0.15"/>
    <row r="4742" customFormat="1" ht="13" x14ac:dyDescent="0.15"/>
    <row r="4743" customFormat="1" ht="13" x14ac:dyDescent="0.15"/>
    <row r="4744" customFormat="1" ht="13" x14ac:dyDescent="0.15"/>
    <row r="4745" customFormat="1" ht="13" x14ac:dyDescent="0.15"/>
    <row r="4746" customFormat="1" ht="13" x14ac:dyDescent="0.15"/>
    <row r="4747" customFormat="1" ht="13" x14ac:dyDescent="0.15"/>
    <row r="4748" customFormat="1" ht="13" x14ac:dyDescent="0.15"/>
    <row r="4749" customFormat="1" ht="13" x14ac:dyDescent="0.15"/>
    <row r="4750" customFormat="1" ht="13" x14ac:dyDescent="0.15"/>
    <row r="4751" customFormat="1" ht="13" x14ac:dyDescent="0.15"/>
    <row r="4752" customFormat="1" ht="13" x14ac:dyDescent="0.15"/>
    <row r="4753" customFormat="1" ht="13" x14ac:dyDescent="0.15"/>
    <row r="4754" customFormat="1" ht="13" x14ac:dyDescent="0.15"/>
    <row r="4755" customFormat="1" ht="13" x14ac:dyDescent="0.15"/>
    <row r="4756" customFormat="1" ht="13" x14ac:dyDescent="0.15"/>
    <row r="4757" customFormat="1" ht="13" x14ac:dyDescent="0.15"/>
    <row r="4758" customFormat="1" ht="13" x14ac:dyDescent="0.15"/>
    <row r="4759" customFormat="1" ht="13" x14ac:dyDescent="0.15"/>
    <row r="4760" customFormat="1" ht="13" x14ac:dyDescent="0.15"/>
    <row r="4761" customFormat="1" ht="13" x14ac:dyDescent="0.15"/>
    <row r="4762" customFormat="1" ht="13" x14ac:dyDescent="0.15"/>
    <row r="4763" customFormat="1" ht="13" x14ac:dyDescent="0.15"/>
    <row r="4764" customFormat="1" ht="13" x14ac:dyDescent="0.15"/>
    <row r="4765" customFormat="1" ht="13" x14ac:dyDescent="0.15"/>
    <row r="4766" customFormat="1" ht="13" x14ac:dyDescent="0.15"/>
    <row r="4767" customFormat="1" ht="13" x14ac:dyDescent="0.15"/>
    <row r="4768" customFormat="1" ht="13" x14ac:dyDescent="0.15"/>
    <row r="4769" customFormat="1" ht="13" x14ac:dyDescent="0.15"/>
    <row r="4770" customFormat="1" ht="13" x14ac:dyDescent="0.15"/>
    <row r="4771" customFormat="1" ht="13" x14ac:dyDescent="0.15"/>
    <row r="4772" customFormat="1" ht="13" x14ac:dyDescent="0.15"/>
    <row r="4773" customFormat="1" ht="13" x14ac:dyDescent="0.15"/>
    <row r="4774" customFormat="1" ht="13" x14ac:dyDescent="0.15"/>
    <row r="4775" customFormat="1" ht="13" x14ac:dyDescent="0.15"/>
    <row r="4776" customFormat="1" ht="13" x14ac:dyDescent="0.15"/>
    <row r="4777" customFormat="1" ht="13" x14ac:dyDescent="0.15"/>
    <row r="4778" customFormat="1" ht="13" x14ac:dyDescent="0.15"/>
    <row r="4779" customFormat="1" ht="13" x14ac:dyDescent="0.15"/>
    <row r="4780" customFormat="1" ht="13" x14ac:dyDescent="0.15"/>
    <row r="4781" customFormat="1" ht="13" x14ac:dyDescent="0.15"/>
    <row r="4782" customFormat="1" ht="13" x14ac:dyDescent="0.15"/>
    <row r="4783" customFormat="1" ht="13" x14ac:dyDescent="0.15"/>
    <row r="4784" customFormat="1" ht="13" x14ac:dyDescent="0.15"/>
    <row r="4785" customFormat="1" ht="13" x14ac:dyDescent="0.15"/>
    <row r="4786" customFormat="1" ht="13" x14ac:dyDescent="0.15"/>
    <row r="4787" customFormat="1" ht="13" x14ac:dyDescent="0.15"/>
    <row r="4788" customFormat="1" ht="13" x14ac:dyDescent="0.15"/>
    <row r="4789" customFormat="1" ht="13" x14ac:dyDescent="0.15"/>
    <row r="4790" customFormat="1" ht="13" x14ac:dyDescent="0.15"/>
    <row r="4791" customFormat="1" ht="13" x14ac:dyDescent="0.15"/>
    <row r="4792" customFormat="1" ht="13" x14ac:dyDescent="0.15"/>
    <row r="4793" customFormat="1" ht="13" x14ac:dyDescent="0.15"/>
    <row r="4794" customFormat="1" ht="13" x14ac:dyDescent="0.15"/>
    <row r="4795" customFormat="1" ht="13" x14ac:dyDescent="0.15"/>
    <row r="4796" customFormat="1" ht="13" x14ac:dyDescent="0.15"/>
    <row r="4797" customFormat="1" ht="13" x14ac:dyDescent="0.15"/>
    <row r="4798" customFormat="1" ht="13" x14ac:dyDescent="0.15"/>
    <row r="4799" customFormat="1" ht="13" x14ac:dyDescent="0.15"/>
    <row r="4800" customFormat="1" ht="13" x14ac:dyDescent="0.15"/>
    <row r="4801" customFormat="1" ht="13" x14ac:dyDescent="0.15"/>
    <row r="4802" customFormat="1" ht="13" x14ac:dyDescent="0.15"/>
    <row r="4803" customFormat="1" ht="13" x14ac:dyDescent="0.15"/>
    <row r="4804" customFormat="1" ht="13" x14ac:dyDescent="0.15"/>
    <row r="4805" customFormat="1" ht="13" x14ac:dyDescent="0.15"/>
    <row r="4806" customFormat="1" ht="13" x14ac:dyDescent="0.15"/>
    <row r="4807" customFormat="1" ht="13" x14ac:dyDescent="0.15"/>
    <row r="4808" customFormat="1" ht="13" x14ac:dyDescent="0.15"/>
    <row r="4809" customFormat="1" ht="13" x14ac:dyDescent="0.15"/>
    <row r="4810" customFormat="1" ht="13" x14ac:dyDescent="0.15"/>
    <row r="4811" customFormat="1" ht="13" x14ac:dyDescent="0.15"/>
    <row r="4812" customFormat="1" ht="13" x14ac:dyDescent="0.15"/>
    <row r="4813" customFormat="1" ht="13" x14ac:dyDescent="0.15"/>
    <row r="4814" customFormat="1" ht="13" x14ac:dyDescent="0.15"/>
    <row r="4815" customFormat="1" ht="13" x14ac:dyDescent="0.15"/>
    <row r="4816" customFormat="1" ht="13" x14ac:dyDescent="0.15"/>
    <row r="4817" customFormat="1" ht="13" x14ac:dyDescent="0.15"/>
    <row r="4818" customFormat="1" ht="13" x14ac:dyDescent="0.15"/>
    <row r="4819" customFormat="1" ht="13" x14ac:dyDescent="0.15"/>
    <row r="4820" customFormat="1" ht="13" x14ac:dyDescent="0.15"/>
    <row r="4821" customFormat="1" ht="13" x14ac:dyDescent="0.15"/>
    <row r="4822" customFormat="1" ht="13" x14ac:dyDescent="0.15"/>
    <row r="4823" customFormat="1" ht="13" x14ac:dyDescent="0.15"/>
    <row r="4824" customFormat="1" ht="13" x14ac:dyDescent="0.15"/>
    <row r="4825" customFormat="1" ht="13" x14ac:dyDescent="0.15"/>
    <row r="4826" customFormat="1" ht="13" x14ac:dyDescent="0.15"/>
    <row r="4827" customFormat="1" ht="13" x14ac:dyDescent="0.15"/>
    <row r="4828" customFormat="1" ht="13" x14ac:dyDescent="0.15"/>
    <row r="4829" customFormat="1" ht="13" x14ac:dyDescent="0.15"/>
    <row r="4830" customFormat="1" ht="13" x14ac:dyDescent="0.15"/>
    <row r="4831" customFormat="1" ht="13" x14ac:dyDescent="0.15"/>
    <row r="4832" customFormat="1" ht="13" x14ac:dyDescent="0.15"/>
    <row r="4833" customFormat="1" ht="13" x14ac:dyDescent="0.15"/>
    <row r="4834" customFormat="1" ht="13" x14ac:dyDescent="0.15"/>
    <row r="4835" customFormat="1" ht="13" x14ac:dyDescent="0.15"/>
    <row r="4836" customFormat="1" ht="13" x14ac:dyDescent="0.15"/>
    <row r="4837" customFormat="1" ht="13" x14ac:dyDescent="0.15"/>
    <row r="4838" customFormat="1" ht="13" x14ac:dyDescent="0.15"/>
    <row r="4839" customFormat="1" ht="13" x14ac:dyDescent="0.15"/>
    <row r="4840" customFormat="1" ht="13" x14ac:dyDescent="0.15"/>
    <row r="4841" customFormat="1" ht="13" x14ac:dyDescent="0.15"/>
    <row r="4842" customFormat="1" ht="13" x14ac:dyDescent="0.15"/>
    <row r="4843" customFormat="1" ht="13" x14ac:dyDescent="0.15"/>
    <row r="4844" customFormat="1" ht="13" x14ac:dyDescent="0.15"/>
    <row r="4845" customFormat="1" ht="13" x14ac:dyDescent="0.15"/>
    <row r="4846" customFormat="1" ht="13" x14ac:dyDescent="0.15"/>
    <row r="4847" customFormat="1" ht="13" x14ac:dyDescent="0.15"/>
    <row r="4848" customFormat="1" ht="13" x14ac:dyDescent="0.15"/>
    <row r="4849" customFormat="1" ht="13" x14ac:dyDescent="0.15"/>
    <row r="4850" customFormat="1" ht="13" x14ac:dyDescent="0.15"/>
    <row r="4851" customFormat="1" ht="13" x14ac:dyDescent="0.15"/>
    <row r="4852" customFormat="1" ht="13" x14ac:dyDescent="0.15"/>
    <row r="4853" customFormat="1" ht="13" x14ac:dyDescent="0.15"/>
    <row r="4854" customFormat="1" ht="13" x14ac:dyDescent="0.15"/>
    <row r="4855" customFormat="1" ht="13" x14ac:dyDescent="0.15"/>
    <row r="4856" customFormat="1" ht="13" x14ac:dyDescent="0.15"/>
    <row r="4857" customFormat="1" ht="13" x14ac:dyDescent="0.15"/>
    <row r="4858" customFormat="1" ht="13" x14ac:dyDescent="0.15"/>
    <row r="4859" customFormat="1" ht="13" x14ac:dyDescent="0.15"/>
    <row r="4860" customFormat="1" ht="13" x14ac:dyDescent="0.15"/>
    <row r="4861" customFormat="1" ht="13" x14ac:dyDescent="0.15"/>
    <row r="4862" customFormat="1" ht="13" x14ac:dyDescent="0.15"/>
    <row r="4863" customFormat="1" ht="13" x14ac:dyDescent="0.15"/>
    <row r="4864" customFormat="1" ht="13" x14ac:dyDescent="0.15"/>
    <row r="4865" customFormat="1" ht="13" x14ac:dyDescent="0.15"/>
    <row r="4866" customFormat="1" ht="13" x14ac:dyDescent="0.15"/>
    <row r="4867" customFormat="1" ht="13" x14ac:dyDescent="0.15"/>
    <row r="4868" customFormat="1" ht="13" x14ac:dyDescent="0.15"/>
    <row r="4869" customFormat="1" ht="13" x14ac:dyDescent="0.15"/>
    <row r="4870" customFormat="1" ht="13" x14ac:dyDescent="0.15"/>
    <row r="4871" customFormat="1" ht="13" x14ac:dyDescent="0.15"/>
    <row r="4872" customFormat="1" ht="13" x14ac:dyDescent="0.15"/>
    <row r="4873" customFormat="1" ht="13" x14ac:dyDescent="0.15"/>
    <row r="4874" customFormat="1" ht="13" x14ac:dyDescent="0.15"/>
    <row r="4875" customFormat="1" ht="13" x14ac:dyDescent="0.15"/>
    <row r="4876" customFormat="1" ht="13" x14ac:dyDescent="0.15"/>
    <row r="4877" customFormat="1" ht="13" x14ac:dyDescent="0.15"/>
    <row r="4878" customFormat="1" ht="13" x14ac:dyDescent="0.15"/>
    <row r="4879" customFormat="1" ht="13" x14ac:dyDescent="0.15"/>
    <row r="4880" customFormat="1" ht="13" x14ac:dyDescent="0.15"/>
    <row r="4881" customFormat="1" ht="13" x14ac:dyDescent="0.15"/>
    <row r="4882" customFormat="1" ht="13" x14ac:dyDescent="0.15"/>
    <row r="4883" customFormat="1" ht="13" x14ac:dyDescent="0.15"/>
    <row r="4884" customFormat="1" ht="13" x14ac:dyDescent="0.15"/>
    <row r="4885" customFormat="1" ht="13" x14ac:dyDescent="0.15"/>
    <row r="4886" customFormat="1" ht="13" x14ac:dyDescent="0.15"/>
    <row r="4887" customFormat="1" ht="13" x14ac:dyDescent="0.15"/>
    <row r="4888" customFormat="1" ht="13" x14ac:dyDescent="0.15"/>
    <row r="4889" customFormat="1" ht="13" x14ac:dyDescent="0.15"/>
    <row r="4890" customFormat="1" ht="13" x14ac:dyDescent="0.15"/>
    <row r="4891" customFormat="1" ht="13" x14ac:dyDescent="0.15"/>
    <row r="4892" customFormat="1" ht="13" x14ac:dyDescent="0.15"/>
    <row r="4893" customFormat="1" ht="13" x14ac:dyDescent="0.15"/>
    <row r="4894" customFormat="1" ht="13" x14ac:dyDescent="0.15"/>
    <row r="4895" customFormat="1" ht="13" x14ac:dyDescent="0.15"/>
    <row r="4896" customFormat="1" ht="13" x14ac:dyDescent="0.15"/>
    <row r="4897" customFormat="1" ht="13" x14ac:dyDescent="0.15"/>
    <row r="4898" customFormat="1" ht="13" x14ac:dyDescent="0.15"/>
    <row r="4899" customFormat="1" ht="13" x14ac:dyDescent="0.15"/>
    <row r="4900" customFormat="1" ht="13" x14ac:dyDescent="0.15"/>
    <row r="4901" customFormat="1" ht="13" x14ac:dyDescent="0.15"/>
    <row r="4902" customFormat="1" ht="13" x14ac:dyDescent="0.15"/>
    <row r="4903" customFormat="1" ht="13" x14ac:dyDescent="0.15"/>
    <row r="4904" customFormat="1" ht="13" x14ac:dyDescent="0.15"/>
    <row r="4905" customFormat="1" ht="13" x14ac:dyDescent="0.15"/>
    <row r="4906" customFormat="1" ht="13" x14ac:dyDescent="0.15"/>
    <row r="4907" customFormat="1" ht="13" x14ac:dyDescent="0.15"/>
    <row r="4908" customFormat="1" ht="13" x14ac:dyDescent="0.15"/>
    <row r="4909" customFormat="1" ht="13" x14ac:dyDescent="0.15"/>
    <row r="4910" customFormat="1" ht="13" x14ac:dyDescent="0.15"/>
    <row r="4911" customFormat="1" ht="13" x14ac:dyDescent="0.15"/>
    <row r="4912" customFormat="1" ht="13" x14ac:dyDescent="0.15"/>
    <row r="4913" customFormat="1" ht="13" x14ac:dyDescent="0.15"/>
    <row r="4914" customFormat="1" ht="13" x14ac:dyDescent="0.15"/>
    <row r="4915" customFormat="1" ht="13" x14ac:dyDescent="0.15"/>
    <row r="4916" customFormat="1" ht="13" x14ac:dyDescent="0.15"/>
    <row r="4917" customFormat="1" ht="13" x14ac:dyDescent="0.15"/>
    <row r="4918" customFormat="1" ht="13" x14ac:dyDescent="0.15"/>
    <row r="4919" customFormat="1" ht="13" x14ac:dyDescent="0.15"/>
    <row r="4920" customFormat="1" ht="13" x14ac:dyDescent="0.15"/>
    <row r="4921" customFormat="1" ht="13" x14ac:dyDescent="0.15"/>
    <row r="4922" customFormat="1" ht="13" x14ac:dyDescent="0.15"/>
    <row r="4923" customFormat="1" ht="13" x14ac:dyDescent="0.15"/>
    <row r="4924" customFormat="1" ht="13" x14ac:dyDescent="0.15"/>
    <row r="4925" customFormat="1" ht="13" x14ac:dyDescent="0.15"/>
    <row r="4926" customFormat="1" ht="13" x14ac:dyDescent="0.15"/>
    <row r="4927" customFormat="1" ht="13" x14ac:dyDescent="0.15"/>
    <row r="4928" customFormat="1" ht="13" x14ac:dyDescent="0.15"/>
    <row r="4929" customFormat="1" ht="13" x14ac:dyDescent="0.15"/>
    <row r="4930" customFormat="1" ht="13" x14ac:dyDescent="0.15"/>
    <row r="4931" customFormat="1" ht="13" x14ac:dyDescent="0.15"/>
    <row r="4932" customFormat="1" ht="13" x14ac:dyDescent="0.15"/>
    <row r="4933" customFormat="1" ht="13" x14ac:dyDescent="0.15"/>
    <row r="4934" customFormat="1" ht="13" x14ac:dyDescent="0.15"/>
    <row r="4935" customFormat="1" ht="13" x14ac:dyDescent="0.15"/>
    <row r="4936" customFormat="1" ht="13" x14ac:dyDescent="0.15"/>
    <row r="4937" customFormat="1" ht="13" x14ac:dyDescent="0.15"/>
    <row r="4938" customFormat="1" ht="13" x14ac:dyDescent="0.15"/>
    <row r="4939" customFormat="1" ht="13" x14ac:dyDescent="0.15"/>
    <row r="4940" customFormat="1" ht="13" x14ac:dyDescent="0.15"/>
    <row r="4941" customFormat="1" ht="13" x14ac:dyDescent="0.15"/>
    <row r="4942" customFormat="1" ht="13" x14ac:dyDescent="0.15"/>
    <row r="4943" customFormat="1" ht="13" x14ac:dyDescent="0.15"/>
    <row r="4944" customFormat="1" ht="13" x14ac:dyDescent="0.15"/>
    <row r="4945" customFormat="1" ht="13" x14ac:dyDescent="0.15"/>
    <row r="4946" customFormat="1" ht="13" x14ac:dyDescent="0.15"/>
    <row r="4947" customFormat="1" ht="13" x14ac:dyDescent="0.15"/>
    <row r="4948" customFormat="1" ht="13" x14ac:dyDescent="0.15"/>
    <row r="4949" customFormat="1" ht="13" x14ac:dyDescent="0.15"/>
    <row r="4950" customFormat="1" ht="13" x14ac:dyDescent="0.15"/>
    <row r="4951" customFormat="1" ht="13" x14ac:dyDescent="0.15"/>
    <row r="4952" customFormat="1" ht="13" x14ac:dyDescent="0.15"/>
    <row r="4953" customFormat="1" ht="13" x14ac:dyDescent="0.15"/>
    <row r="4954" customFormat="1" ht="13" x14ac:dyDescent="0.15"/>
    <row r="4955" customFormat="1" ht="13" x14ac:dyDescent="0.15"/>
    <row r="4956" customFormat="1" ht="13" x14ac:dyDescent="0.15"/>
    <row r="4957" customFormat="1" ht="13" x14ac:dyDescent="0.15"/>
    <row r="4958" customFormat="1" ht="13" x14ac:dyDescent="0.15"/>
    <row r="4959" customFormat="1" ht="13" x14ac:dyDescent="0.15"/>
    <row r="4960" customFormat="1" ht="13" x14ac:dyDescent="0.15"/>
    <row r="4961" customFormat="1" ht="13" x14ac:dyDescent="0.15"/>
    <row r="4962" customFormat="1" ht="13" x14ac:dyDescent="0.15"/>
    <row r="4963" customFormat="1" ht="13" x14ac:dyDescent="0.15"/>
    <row r="4964" customFormat="1" ht="13" x14ac:dyDescent="0.15"/>
    <row r="4965" customFormat="1" ht="13" x14ac:dyDescent="0.15"/>
    <row r="4966" customFormat="1" ht="13" x14ac:dyDescent="0.15"/>
    <row r="4967" customFormat="1" ht="13" x14ac:dyDescent="0.15"/>
    <row r="4968" customFormat="1" ht="13" x14ac:dyDescent="0.15"/>
    <row r="4969" customFormat="1" ht="13" x14ac:dyDescent="0.15"/>
    <row r="4970" customFormat="1" ht="13" x14ac:dyDescent="0.15"/>
    <row r="4971" customFormat="1" ht="13" x14ac:dyDescent="0.15"/>
    <row r="4972" customFormat="1" ht="13" x14ac:dyDescent="0.15"/>
    <row r="4973" customFormat="1" ht="13" x14ac:dyDescent="0.15"/>
    <row r="4974" customFormat="1" ht="13" x14ac:dyDescent="0.15"/>
    <row r="4975" customFormat="1" ht="13" x14ac:dyDescent="0.15"/>
    <row r="4976" customFormat="1" ht="13" x14ac:dyDescent="0.15"/>
    <row r="4977" customFormat="1" ht="13" x14ac:dyDescent="0.15"/>
    <row r="4978" customFormat="1" ht="13" x14ac:dyDescent="0.15"/>
    <row r="4979" customFormat="1" ht="13" x14ac:dyDescent="0.15"/>
    <row r="4980" customFormat="1" ht="13" x14ac:dyDescent="0.15"/>
    <row r="4981" customFormat="1" ht="13" x14ac:dyDescent="0.15"/>
    <row r="4982" customFormat="1" ht="13" x14ac:dyDescent="0.15"/>
    <row r="4983" customFormat="1" ht="13" x14ac:dyDescent="0.15"/>
    <row r="4984" customFormat="1" ht="13" x14ac:dyDescent="0.15"/>
    <row r="4985" customFormat="1" ht="13" x14ac:dyDescent="0.15"/>
    <row r="4986" customFormat="1" ht="13" x14ac:dyDescent="0.15"/>
    <row r="4987" customFormat="1" ht="13" x14ac:dyDescent="0.15"/>
    <row r="4988" customFormat="1" ht="13" x14ac:dyDescent="0.15"/>
    <row r="4989" customFormat="1" ht="13" x14ac:dyDescent="0.15"/>
    <row r="4990" customFormat="1" ht="13" x14ac:dyDescent="0.15"/>
    <row r="4991" customFormat="1" ht="13" x14ac:dyDescent="0.15"/>
    <row r="4992" customFormat="1" ht="13" x14ac:dyDescent="0.15"/>
    <row r="4993" customFormat="1" ht="13" x14ac:dyDescent="0.15"/>
    <row r="4994" customFormat="1" ht="13" x14ac:dyDescent="0.15"/>
    <row r="4995" customFormat="1" ht="13" x14ac:dyDescent="0.15"/>
    <row r="4996" customFormat="1" ht="13" x14ac:dyDescent="0.15"/>
    <row r="4997" customFormat="1" ht="13" x14ac:dyDescent="0.15"/>
    <row r="4998" customFormat="1" ht="13" x14ac:dyDescent="0.15"/>
    <row r="4999" customFormat="1" ht="13" x14ac:dyDescent="0.15"/>
    <row r="5000" customFormat="1" ht="13" x14ac:dyDescent="0.15"/>
    <row r="5001" customFormat="1" ht="13" x14ac:dyDescent="0.15"/>
    <row r="5002" customFormat="1" ht="13" x14ac:dyDescent="0.15"/>
    <row r="5003" customFormat="1" ht="13" x14ac:dyDescent="0.15"/>
    <row r="5004" customFormat="1" ht="13" x14ac:dyDescent="0.15"/>
    <row r="5005" customFormat="1" ht="13" x14ac:dyDescent="0.15"/>
    <row r="5006" customFormat="1" ht="13" x14ac:dyDescent="0.15"/>
    <row r="5007" customFormat="1" ht="13" x14ac:dyDescent="0.15"/>
    <row r="5008" customFormat="1" ht="13" x14ac:dyDescent="0.15"/>
    <row r="5009" customFormat="1" ht="13" x14ac:dyDescent="0.15"/>
    <row r="5010" customFormat="1" ht="13" x14ac:dyDescent="0.15"/>
    <row r="5011" customFormat="1" ht="13" x14ac:dyDescent="0.15"/>
    <row r="5012" customFormat="1" ht="13" x14ac:dyDescent="0.15"/>
    <row r="5013" customFormat="1" ht="13" x14ac:dyDescent="0.15"/>
    <row r="5014" customFormat="1" ht="13" x14ac:dyDescent="0.15"/>
    <row r="5015" customFormat="1" ht="13" x14ac:dyDescent="0.15"/>
    <row r="5016" customFormat="1" ht="13" x14ac:dyDescent="0.15"/>
    <row r="5017" customFormat="1" ht="13" x14ac:dyDescent="0.15"/>
    <row r="5018" customFormat="1" ht="13" x14ac:dyDescent="0.15"/>
    <row r="5019" customFormat="1" ht="13" x14ac:dyDescent="0.15"/>
    <row r="5020" customFormat="1" ht="13" x14ac:dyDescent="0.15"/>
    <row r="5021" customFormat="1" ht="13" x14ac:dyDescent="0.15"/>
    <row r="5022" customFormat="1" ht="13" x14ac:dyDescent="0.15"/>
    <row r="5023" customFormat="1" ht="13" x14ac:dyDescent="0.15"/>
    <row r="5024" customFormat="1" ht="13" x14ac:dyDescent="0.15"/>
    <row r="5025" customFormat="1" ht="13" x14ac:dyDescent="0.15"/>
    <row r="5026" customFormat="1" ht="13" x14ac:dyDescent="0.15"/>
    <row r="5027" customFormat="1" ht="13" x14ac:dyDescent="0.15"/>
    <row r="5028" customFormat="1" ht="13" x14ac:dyDescent="0.15"/>
    <row r="5029" customFormat="1" ht="13" x14ac:dyDescent="0.15"/>
    <row r="5030" customFormat="1" ht="13" x14ac:dyDescent="0.15"/>
    <row r="5031" customFormat="1" ht="13" x14ac:dyDescent="0.15"/>
    <row r="5032" customFormat="1" ht="13" x14ac:dyDescent="0.15"/>
    <row r="5033" customFormat="1" ht="13" x14ac:dyDescent="0.15"/>
    <row r="5034" customFormat="1" ht="13" x14ac:dyDescent="0.15"/>
    <row r="5035" customFormat="1" ht="13" x14ac:dyDescent="0.15"/>
    <row r="5036" customFormat="1" ht="13" x14ac:dyDescent="0.15"/>
    <row r="5037" customFormat="1" ht="13" x14ac:dyDescent="0.15"/>
    <row r="5038" customFormat="1" ht="13" x14ac:dyDescent="0.15"/>
    <row r="5039" customFormat="1" ht="13" x14ac:dyDescent="0.15"/>
    <row r="5040" customFormat="1" ht="13" x14ac:dyDescent="0.15"/>
    <row r="5041" customFormat="1" ht="13" x14ac:dyDescent="0.15"/>
    <row r="5042" customFormat="1" ht="13" x14ac:dyDescent="0.15"/>
    <row r="5043" customFormat="1" ht="13" x14ac:dyDescent="0.15"/>
    <row r="5044" customFormat="1" ht="13" x14ac:dyDescent="0.15"/>
    <row r="5045" customFormat="1" ht="13" x14ac:dyDescent="0.15"/>
    <row r="5046" customFormat="1" ht="13" x14ac:dyDescent="0.15"/>
    <row r="5047" customFormat="1" ht="13" x14ac:dyDescent="0.15"/>
    <row r="5048" customFormat="1" ht="13" x14ac:dyDescent="0.15"/>
    <row r="5049" customFormat="1" ht="13" x14ac:dyDescent="0.15"/>
    <row r="5050" customFormat="1" ht="13" x14ac:dyDescent="0.15"/>
    <row r="5051" customFormat="1" ht="13" x14ac:dyDescent="0.15"/>
    <row r="5052" customFormat="1" ht="13" x14ac:dyDescent="0.15"/>
    <row r="5053" customFormat="1" ht="13" x14ac:dyDescent="0.15"/>
    <row r="5054" customFormat="1" ht="13" x14ac:dyDescent="0.15"/>
    <row r="5055" customFormat="1" ht="13" x14ac:dyDescent="0.15"/>
    <row r="5056" customFormat="1" ht="13" x14ac:dyDescent="0.15"/>
    <row r="5057" customFormat="1" ht="13" x14ac:dyDescent="0.15"/>
    <row r="5058" customFormat="1" ht="13" x14ac:dyDescent="0.15"/>
    <row r="5059" customFormat="1" ht="13" x14ac:dyDescent="0.15"/>
    <row r="5060" customFormat="1" ht="13" x14ac:dyDescent="0.15"/>
    <row r="5061" customFormat="1" ht="13" x14ac:dyDescent="0.15"/>
    <row r="5062" customFormat="1" ht="13" x14ac:dyDescent="0.15"/>
    <row r="5063" customFormat="1" ht="13" x14ac:dyDescent="0.15"/>
    <row r="5064" customFormat="1" ht="13" x14ac:dyDescent="0.15"/>
    <row r="5065" customFormat="1" ht="13" x14ac:dyDescent="0.15"/>
    <row r="5066" customFormat="1" ht="13" x14ac:dyDescent="0.15"/>
    <row r="5067" customFormat="1" ht="13" x14ac:dyDescent="0.15"/>
    <row r="5068" customFormat="1" ht="13" x14ac:dyDescent="0.15"/>
    <row r="5069" customFormat="1" ht="13" x14ac:dyDescent="0.15"/>
    <row r="5070" customFormat="1" ht="13" x14ac:dyDescent="0.15"/>
    <row r="5071" customFormat="1" ht="13" x14ac:dyDescent="0.15"/>
    <row r="5072" customFormat="1" ht="13" x14ac:dyDescent="0.15"/>
    <row r="5073" customFormat="1" ht="13" x14ac:dyDescent="0.15"/>
    <row r="5074" customFormat="1" ht="13" x14ac:dyDescent="0.15"/>
    <row r="5075" customFormat="1" ht="13" x14ac:dyDescent="0.15"/>
    <row r="5076" customFormat="1" ht="13" x14ac:dyDescent="0.15"/>
    <row r="5077" customFormat="1" ht="13" x14ac:dyDescent="0.15"/>
    <row r="5078" customFormat="1" ht="13" x14ac:dyDescent="0.15"/>
    <row r="5079" customFormat="1" ht="13" x14ac:dyDescent="0.15"/>
    <row r="5080" customFormat="1" ht="13" x14ac:dyDescent="0.15"/>
    <row r="5081" customFormat="1" ht="13" x14ac:dyDescent="0.15"/>
    <row r="5082" customFormat="1" ht="13" x14ac:dyDescent="0.15"/>
    <row r="5083" customFormat="1" ht="13" x14ac:dyDescent="0.15"/>
    <row r="5084" customFormat="1" ht="13" x14ac:dyDescent="0.15"/>
    <row r="5085" customFormat="1" ht="13" x14ac:dyDescent="0.15"/>
    <row r="5086" customFormat="1" ht="13" x14ac:dyDescent="0.15"/>
    <row r="5087" customFormat="1" ht="13" x14ac:dyDescent="0.15"/>
    <row r="5088" customFormat="1" ht="13" x14ac:dyDescent="0.15"/>
    <row r="5089" customFormat="1" ht="13" x14ac:dyDescent="0.15"/>
    <row r="5090" customFormat="1" ht="13" x14ac:dyDescent="0.15"/>
    <row r="5091" customFormat="1" ht="13" x14ac:dyDescent="0.15"/>
    <row r="5092" customFormat="1" ht="13" x14ac:dyDescent="0.15"/>
    <row r="5093" customFormat="1" ht="13" x14ac:dyDescent="0.15"/>
    <row r="5094" customFormat="1" ht="13" x14ac:dyDescent="0.15"/>
    <row r="5095" customFormat="1" ht="13" x14ac:dyDescent="0.15"/>
    <row r="5096" customFormat="1" ht="13" x14ac:dyDescent="0.15"/>
    <row r="5097" customFormat="1" ht="13" x14ac:dyDescent="0.15"/>
    <row r="5098" customFormat="1" ht="13" x14ac:dyDescent="0.15"/>
    <row r="5099" customFormat="1" ht="13" x14ac:dyDescent="0.15"/>
    <row r="5100" customFormat="1" ht="13" x14ac:dyDescent="0.15"/>
    <row r="5101" customFormat="1" ht="13" x14ac:dyDescent="0.15"/>
    <row r="5102" customFormat="1" ht="13" x14ac:dyDescent="0.15"/>
    <row r="5103" customFormat="1" ht="13" x14ac:dyDescent="0.15"/>
    <row r="5104" customFormat="1" ht="13" x14ac:dyDescent="0.15"/>
    <row r="5105" customFormat="1" ht="13" x14ac:dyDescent="0.15"/>
    <row r="5106" customFormat="1" ht="13" x14ac:dyDescent="0.15"/>
    <row r="5107" customFormat="1" ht="13" x14ac:dyDescent="0.15"/>
    <row r="5108" customFormat="1" ht="13" x14ac:dyDescent="0.15"/>
    <row r="5109" customFormat="1" ht="13" x14ac:dyDescent="0.15"/>
    <row r="5110" customFormat="1" ht="13" x14ac:dyDescent="0.15"/>
    <row r="5111" customFormat="1" ht="13" x14ac:dyDescent="0.15"/>
    <row r="5112" customFormat="1" ht="13" x14ac:dyDescent="0.15"/>
    <row r="5113" customFormat="1" ht="13" x14ac:dyDescent="0.15"/>
    <row r="5114" customFormat="1" ht="13" x14ac:dyDescent="0.15"/>
    <row r="5115" customFormat="1" ht="13" x14ac:dyDescent="0.15"/>
    <row r="5116" customFormat="1" ht="13" x14ac:dyDescent="0.15"/>
    <row r="5117" customFormat="1" ht="13" x14ac:dyDescent="0.15"/>
    <row r="5118" customFormat="1" ht="13" x14ac:dyDescent="0.15"/>
    <row r="5119" customFormat="1" ht="13" x14ac:dyDescent="0.15"/>
    <row r="5120" customFormat="1" ht="13" x14ac:dyDescent="0.15"/>
    <row r="5121" customFormat="1" ht="13" x14ac:dyDescent="0.15"/>
    <row r="5122" customFormat="1" ht="13" x14ac:dyDescent="0.15"/>
    <row r="5123" customFormat="1" ht="13" x14ac:dyDescent="0.15"/>
    <row r="5124" customFormat="1" ht="13" x14ac:dyDescent="0.15"/>
    <row r="5125" customFormat="1" ht="13" x14ac:dyDescent="0.15"/>
    <row r="5126" customFormat="1" ht="13" x14ac:dyDescent="0.15"/>
    <row r="5127" customFormat="1" ht="13" x14ac:dyDescent="0.15"/>
    <row r="5128" customFormat="1" ht="13" x14ac:dyDescent="0.15"/>
    <row r="5129" customFormat="1" ht="13" x14ac:dyDescent="0.15"/>
    <row r="5130" customFormat="1" ht="13" x14ac:dyDescent="0.15"/>
    <row r="5131" customFormat="1" ht="13" x14ac:dyDescent="0.15"/>
    <row r="5132" customFormat="1" ht="13" x14ac:dyDescent="0.15"/>
    <row r="5133" customFormat="1" ht="13" x14ac:dyDescent="0.15"/>
    <row r="5134" customFormat="1" ht="13" x14ac:dyDescent="0.15"/>
    <row r="5135" customFormat="1" ht="13" x14ac:dyDescent="0.15"/>
    <row r="5136" customFormat="1" ht="13" x14ac:dyDescent="0.15"/>
    <row r="5137" customFormat="1" ht="13" x14ac:dyDescent="0.15"/>
    <row r="5138" customFormat="1" ht="13" x14ac:dyDescent="0.15"/>
    <row r="5139" customFormat="1" ht="13" x14ac:dyDescent="0.15"/>
    <row r="5140" customFormat="1" ht="13" x14ac:dyDescent="0.15"/>
    <row r="5141" customFormat="1" ht="13" x14ac:dyDescent="0.15"/>
    <row r="5142" customFormat="1" ht="13" x14ac:dyDescent="0.15"/>
    <row r="5143" customFormat="1" ht="13" x14ac:dyDescent="0.15"/>
    <row r="5144" customFormat="1" ht="13" x14ac:dyDescent="0.15"/>
    <row r="5145" customFormat="1" ht="13" x14ac:dyDescent="0.15"/>
    <row r="5146" customFormat="1" ht="13" x14ac:dyDescent="0.15"/>
    <row r="5147" customFormat="1" ht="13" x14ac:dyDescent="0.15"/>
    <row r="5148" customFormat="1" ht="13" x14ac:dyDescent="0.15"/>
    <row r="5149" customFormat="1" ht="13" x14ac:dyDescent="0.15"/>
    <row r="5150" customFormat="1" ht="13" x14ac:dyDescent="0.15"/>
    <row r="5151" customFormat="1" ht="13" x14ac:dyDescent="0.15"/>
    <row r="5152" customFormat="1" ht="13" x14ac:dyDescent="0.15"/>
    <row r="5153" customFormat="1" ht="13" x14ac:dyDescent="0.15"/>
    <row r="5154" customFormat="1" ht="13" x14ac:dyDescent="0.15"/>
    <row r="5155" customFormat="1" ht="13" x14ac:dyDescent="0.15"/>
    <row r="5156" customFormat="1" ht="13" x14ac:dyDescent="0.15"/>
    <row r="5157" customFormat="1" ht="13" x14ac:dyDescent="0.15"/>
    <row r="5158" customFormat="1" ht="13" x14ac:dyDescent="0.15"/>
    <row r="5159" customFormat="1" ht="13" x14ac:dyDescent="0.15"/>
    <row r="5160" customFormat="1" ht="13" x14ac:dyDescent="0.15"/>
    <row r="5161" customFormat="1" ht="13" x14ac:dyDescent="0.15"/>
    <row r="5162" customFormat="1" ht="13" x14ac:dyDescent="0.15"/>
    <row r="5163" customFormat="1" ht="13" x14ac:dyDescent="0.15"/>
    <row r="5164" customFormat="1" ht="13" x14ac:dyDescent="0.15"/>
    <row r="5165" customFormat="1" ht="13" x14ac:dyDescent="0.15"/>
    <row r="5166" customFormat="1" ht="13" x14ac:dyDescent="0.15"/>
    <row r="5167" customFormat="1" ht="13" x14ac:dyDescent="0.15"/>
    <row r="5168" customFormat="1" ht="13" x14ac:dyDescent="0.15"/>
    <row r="5169" customFormat="1" ht="13" x14ac:dyDescent="0.15"/>
    <row r="5170" customFormat="1" ht="13" x14ac:dyDescent="0.15"/>
    <row r="5171" customFormat="1" ht="13" x14ac:dyDescent="0.15"/>
    <row r="5172" customFormat="1" ht="13" x14ac:dyDescent="0.15"/>
    <row r="5173" customFormat="1" ht="13" x14ac:dyDescent="0.15"/>
    <row r="5174" customFormat="1" ht="13" x14ac:dyDescent="0.15"/>
    <row r="5175" customFormat="1" ht="13" x14ac:dyDescent="0.15"/>
    <row r="5176" customFormat="1" ht="13" x14ac:dyDescent="0.15"/>
    <row r="5177" customFormat="1" ht="13" x14ac:dyDescent="0.15"/>
    <row r="5178" customFormat="1" ht="13" x14ac:dyDescent="0.15"/>
    <row r="5179" customFormat="1" ht="13" x14ac:dyDescent="0.15"/>
    <row r="5180" customFormat="1" ht="13" x14ac:dyDescent="0.15"/>
    <row r="5181" customFormat="1" ht="13" x14ac:dyDescent="0.15"/>
    <row r="5182" customFormat="1" ht="13" x14ac:dyDescent="0.15"/>
    <row r="5183" customFormat="1" ht="13" x14ac:dyDescent="0.15"/>
    <row r="5184" customFormat="1" ht="13" x14ac:dyDescent="0.15"/>
    <row r="5185" customFormat="1" ht="13" x14ac:dyDescent="0.15"/>
    <row r="5186" customFormat="1" ht="13" x14ac:dyDescent="0.15"/>
    <row r="5187" customFormat="1" ht="13" x14ac:dyDescent="0.15"/>
    <row r="5188" customFormat="1" ht="13" x14ac:dyDescent="0.15"/>
    <row r="5189" customFormat="1" ht="13" x14ac:dyDescent="0.15"/>
    <row r="5190" customFormat="1" ht="13" x14ac:dyDescent="0.15"/>
    <row r="5191" customFormat="1" ht="13" x14ac:dyDescent="0.15"/>
    <row r="5192" customFormat="1" ht="13" x14ac:dyDescent="0.15"/>
    <row r="5193" customFormat="1" ht="13" x14ac:dyDescent="0.15"/>
    <row r="5194" customFormat="1" ht="13" x14ac:dyDescent="0.15"/>
    <row r="5195" customFormat="1" ht="13" x14ac:dyDescent="0.15"/>
    <row r="5196" customFormat="1" ht="13" x14ac:dyDescent="0.15"/>
    <row r="5197" customFormat="1" ht="13" x14ac:dyDescent="0.15"/>
    <row r="5198" customFormat="1" ht="13" x14ac:dyDescent="0.15"/>
    <row r="5199" customFormat="1" ht="13" x14ac:dyDescent="0.15"/>
    <row r="5200" customFormat="1" ht="13" x14ac:dyDescent="0.15"/>
    <row r="5201" customFormat="1" ht="13" x14ac:dyDescent="0.15"/>
    <row r="5202" customFormat="1" ht="13" x14ac:dyDescent="0.15"/>
    <row r="5203" customFormat="1" ht="13" x14ac:dyDescent="0.15"/>
    <row r="5204" customFormat="1" ht="13" x14ac:dyDescent="0.15"/>
    <row r="5205" customFormat="1" ht="13" x14ac:dyDescent="0.15"/>
    <row r="5206" customFormat="1" ht="13" x14ac:dyDescent="0.15"/>
    <row r="5207" customFormat="1" ht="13" x14ac:dyDescent="0.15"/>
    <row r="5208" customFormat="1" ht="13" x14ac:dyDescent="0.15"/>
    <row r="5209" customFormat="1" ht="13" x14ac:dyDescent="0.15"/>
    <row r="5210" customFormat="1" ht="13" x14ac:dyDescent="0.15"/>
    <row r="5211" customFormat="1" ht="13" x14ac:dyDescent="0.15"/>
    <row r="5212" customFormat="1" ht="13" x14ac:dyDescent="0.15"/>
    <row r="5213" customFormat="1" ht="13" x14ac:dyDescent="0.15"/>
    <row r="5214" customFormat="1" ht="13" x14ac:dyDescent="0.15"/>
    <row r="5215" customFormat="1" ht="13" x14ac:dyDescent="0.15"/>
    <row r="5216" customFormat="1" ht="13" x14ac:dyDescent="0.15"/>
    <row r="5217" customFormat="1" ht="13" x14ac:dyDescent="0.15"/>
    <row r="5218" customFormat="1" ht="13" x14ac:dyDescent="0.15"/>
    <row r="5219" customFormat="1" ht="13" x14ac:dyDescent="0.15"/>
    <row r="5220" customFormat="1" ht="13" x14ac:dyDescent="0.15"/>
    <row r="5221" customFormat="1" ht="13" x14ac:dyDescent="0.15"/>
    <row r="5222" customFormat="1" ht="13" x14ac:dyDescent="0.15"/>
    <row r="5223" customFormat="1" ht="13" x14ac:dyDescent="0.15"/>
    <row r="5224" customFormat="1" ht="13" x14ac:dyDescent="0.15"/>
    <row r="5225" customFormat="1" ht="13" x14ac:dyDescent="0.15"/>
    <row r="5226" customFormat="1" ht="13" x14ac:dyDescent="0.15"/>
    <row r="5227" customFormat="1" ht="13" x14ac:dyDescent="0.15"/>
    <row r="5228" customFormat="1" ht="13" x14ac:dyDescent="0.15"/>
    <row r="5229" customFormat="1" ht="13" x14ac:dyDescent="0.15"/>
    <row r="5230" customFormat="1" ht="13" x14ac:dyDescent="0.15"/>
    <row r="5231" customFormat="1" ht="13" x14ac:dyDescent="0.15"/>
    <row r="5232" customFormat="1" ht="13" x14ac:dyDescent="0.15"/>
    <row r="5233" customFormat="1" ht="13" x14ac:dyDescent="0.15"/>
    <row r="5234" customFormat="1" ht="13" x14ac:dyDescent="0.15"/>
    <row r="5235" customFormat="1" ht="13" x14ac:dyDescent="0.15"/>
    <row r="5236" customFormat="1" ht="13" x14ac:dyDescent="0.15"/>
    <row r="5237" customFormat="1" ht="13" x14ac:dyDescent="0.15"/>
    <row r="5238" customFormat="1" ht="13" x14ac:dyDescent="0.15"/>
    <row r="5239" customFormat="1" ht="13" x14ac:dyDescent="0.15"/>
    <row r="5240" customFormat="1" ht="13" x14ac:dyDescent="0.15"/>
    <row r="5241" customFormat="1" ht="13" x14ac:dyDescent="0.15"/>
    <row r="5242" customFormat="1" ht="13" x14ac:dyDescent="0.15"/>
    <row r="5243" customFormat="1" ht="13" x14ac:dyDescent="0.15"/>
    <row r="5244" customFormat="1" ht="13" x14ac:dyDescent="0.15"/>
    <row r="5245" customFormat="1" ht="13" x14ac:dyDescent="0.15"/>
    <row r="5246" customFormat="1" ht="13" x14ac:dyDescent="0.15"/>
    <row r="5247" customFormat="1" ht="13" x14ac:dyDescent="0.15"/>
    <row r="5248" customFormat="1" ht="13" x14ac:dyDescent="0.15"/>
    <row r="5249" customFormat="1" ht="13" x14ac:dyDescent="0.15"/>
    <row r="5250" customFormat="1" ht="13" x14ac:dyDescent="0.15"/>
    <row r="5251" customFormat="1" ht="13" x14ac:dyDescent="0.15"/>
    <row r="5252" customFormat="1" ht="13" x14ac:dyDescent="0.15"/>
    <row r="5253" customFormat="1" ht="13" x14ac:dyDescent="0.15"/>
    <row r="5254" customFormat="1" ht="13" x14ac:dyDescent="0.15"/>
    <row r="5255" customFormat="1" ht="13" x14ac:dyDescent="0.15"/>
    <row r="5256" customFormat="1" ht="13" x14ac:dyDescent="0.15"/>
    <row r="5257" customFormat="1" ht="13" x14ac:dyDescent="0.15"/>
    <row r="5258" customFormat="1" ht="13" x14ac:dyDescent="0.15"/>
    <row r="5259" customFormat="1" ht="13" x14ac:dyDescent="0.15"/>
    <row r="5260" customFormat="1" ht="13" x14ac:dyDescent="0.15"/>
    <row r="5261" customFormat="1" ht="13" x14ac:dyDescent="0.15"/>
    <row r="5262" customFormat="1" ht="13" x14ac:dyDescent="0.15"/>
    <row r="5263" customFormat="1" ht="13" x14ac:dyDescent="0.15"/>
    <row r="5264" customFormat="1" ht="13" x14ac:dyDescent="0.15"/>
    <row r="5265" customFormat="1" ht="13" x14ac:dyDescent="0.15"/>
    <row r="5266" customFormat="1" ht="13" x14ac:dyDescent="0.15"/>
    <row r="5267" customFormat="1" ht="13" x14ac:dyDescent="0.15"/>
    <row r="5268" customFormat="1" ht="13" x14ac:dyDescent="0.15"/>
    <row r="5269" customFormat="1" ht="13" x14ac:dyDescent="0.15"/>
    <row r="5270" customFormat="1" ht="13" x14ac:dyDescent="0.15"/>
    <row r="5271" customFormat="1" ht="13" x14ac:dyDescent="0.15"/>
    <row r="5272" customFormat="1" ht="13" x14ac:dyDescent="0.15"/>
    <row r="5273" customFormat="1" ht="13" x14ac:dyDescent="0.15"/>
    <row r="5274" customFormat="1" ht="13" x14ac:dyDescent="0.15"/>
    <row r="5275" customFormat="1" ht="13" x14ac:dyDescent="0.15"/>
    <row r="5276" customFormat="1" ht="13" x14ac:dyDescent="0.15"/>
    <row r="5277" customFormat="1" ht="13" x14ac:dyDescent="0.15"/>
    <row r="5278" customFormat="1" ht="13" x14ac:dyDescent="0.15"/>
    <row r="5279" customFormat="1" ht="13" x14ac:dyDescent="0.15"/>
    <row r="5280" customFormat="1" ht="13" x14ac:dyDescent="0.15"/>
    <row r="5281" customFormat="1" ht="13" x14ac:dyDescent="0.15"/>
    <row r="5282" customFormat="1" ht="13" x14ac:dyDescent="0.15"/>
    <row r="5283" customFormat="1" ht="13" x14ac:dyDescent="0.15"/>
    <row r="5284" customFormat="1" ht="13" x14ac:dyDescent="0.15"/>
    <row r="5285" customFormat="1" ht="13" x14ac:dyDescent="0.15"/>
    <row r="5286" customFormat="1" ht="13" x14ac:dyDescent="0.15"/>
    <row r="5287" customFormat="1" ht="13" x14ac:dyDescent="0.15"/>
    <row r="5288" customFormat="1" ht="13" x14ac:dyDescent="0.15"/>
    <row r="5289" customFormat="1" ht="13" x14ac:dyDescent="0.15"/>
    <row r="5290" customFormat="1" ht="13" x14ac:dyDescent="0.15"/>
    <row r="5291" customFormat="1" ht="13" x14ac:dyDescent="0.15"/>
    <row r="5292" customFormat="1" ht="13" x14ac:dyDescent="0.15"/>
    <row r="5293" customFormat="1" ht="13" x14ac:dyDescent="0.15"/>
    <row r="5294" customFormat="1" ht="13" x14ac:dyDescent="0.15"/>
    <row r="5295" customFormat="1" ht="13" x14ac:dyDescent="0.15"/>
    <row r="5296" customFormat="1" ht="13" x14ac:dyDescent="0.15"/>
    <row r="5297" customFormat="1" ht="13" x14ac:dyDescent="0.15"/>
    <row r="5298" customFormat="1" ht="13" x14ac:dyDescent="0.15"/>
    <row r="5299" customFormat="1" ht="13" x14ac:dyDescent="0.15"/>
    <row r="5300" customFormat="1" ht="13" x14ac:dyDescent="0.15"/>
    <row r="5301" customFormat="1" ht="13" x14ac:dyDescent="0.15"/>
    <row r="5302" customFormat="1" ht="13" x14ac:dyDescent="0.15"/>
    <row r="5303" customFormat="1" ht="13" x14ac:dyDescent="0.15"/>
    <row r="5304" customFormat="1" ht="13" x14ac:dyDescent="0.15"/>
    <row r="5305" customFormat="1" ht="13" x14ac:dyDescent="0.15"/>
    <row r="5306" customFormat="1" ht="13" x14ac:dyDescent="0.15"/>
    <row r="5307" customFormat="1" ht="13" x14ac:dyDescent="0.15"/>
    <row r="5308" customFormat="1" ht="13" x14ac:dyDescent="0.15"/>
    <row r="5309" customFormat="1" ht="13" x14ac:dyDescent="0.15"/>
    <row r="5310" customFormat="1" ht="13" x14ac:dyDescent="0.15"/>
    <row r="5311" customFormat="1" ht="13" x14ac:dyDescent="0.15"/>
    <row r="5312" customFormat="1" ht="13" x14ac:dyDescent="0.15"/>
    <row r="5313" customFormat="1" ht="13" x14ac:dyDescent="0.15"/>
    <row r="5314" customFormat="1" ht="13" x14ac:dyDescent="0.15"/>
    <row r="5315" customFormat="1" ht="13" x14ac:dyDescent="0.15"/>
    <row r="5316" customFormat="1" ht="13" x14ac:dyDescent="0.15"/>
    <row r="5317" customFormat="1" ht="13" x14ac:dyDescent="0.15"/>
    <row r="5318" customFormat="1" ht="13" x14ac:dyDescent="0.15"/>
    <row r="5319" customFormat="1" ht="13" x14ac:dyDescent="0.15"/>
    <row r="5320" customFormat="1" ht="13" x14ac:dyDescent="0.15"/>
    <row r="5321" customFormat="1" ht="13" x14ac:dyDescent="0.15"/>
    <row r="5322" customFormat="1" ht="13" x14ac:dyDescent="0.15"/>
    <row r="5323" customFormat="1" ht="13" x14ac:dyDescent="0.15"/>
    <row r="5324" customFormat="1" ht="13" x14ac:dyDescent="0.15"/>
    <row r="5325" customFormat="1" ht="13" x14ac:dyDescent="0.15"/>
    <row r="5326" customFormat="1" ht="13" x14ac:dyDescent="0.15"/>
    <row r="5327" customFormat="1" ht="13" x14ac:dyDescent="0.15"/>
    <row r="5328" customFormat="1" ht="13" x14ac:dyDescent="0.15"/>
    <row r="5329" customFormat="1" ht="13" x14ac:dyDescent="0.15"/>
    <row r="5330" customFormat="1" ht="13" x14ac:dyDescent="0.15"/>
    <row r="5331" customFormat="1" ht="13" x14ac:dyDescent="0.15"/>
    <row r="5332" customFormat="1" ht="13" x14ac:dyDescent="0.15"/>
    <row r="5333" customFormat="1" ht="13" x14ac:dyDescent="0.15"/>
    <row r="5334" customFormat="1" ht="13" x14ac:dyDescent="0.15"/>
    <row r="5335" customFormat="1" ht="13" x14ac:dyDescent="0.15"/>
    <row r="5336" customFormat="1" ht="13" x14ac:dyDescent="0.15"/>
    <row r="5337" customFormat="1" ht="13" x14ac:dyDescent="0.15"/>
    <row r="5338" customFormat="1" ht="13" x14ac:dyDescent="0.15"/>
    <row r="5339" customFormat="1" ht="13" x14ac:dyDescent="0.15"/>
    <row r="5340" customFormat="1" ht="13" x14ac:dyDescent="0.15"/>
    <row r="5341" customFormat="1" ht="13" x14ac:dyDescent="0.15"/>
    <row r="5342" customFormat="1" ht="13" x14ac:dyDescent="0.15"/>
    <row r="5343" customFormat="1" ht="13" x14ac:dyDescent="0.15"/>
    <row r="5344" customFormat="1" ht="13" x14ac:dyDescent="0.15"/>
    <row r="5345" customFormat="1" ht="13" x14ac:dyDescent="0.15"/>
    <row r="5346" customFormat="1" ht="13" x14ac:dyDescent="0.15"/>
    <row r="5347" customFormat="1" ht="13" x14ac:dyDescent="0.15"/>
    <row r="5348" customFormat="1" ht="13" x14ac:dyDescent="0.15"/>
    <row r="5349" customFormat="1" ht="13" x14ac:dyDescent="0.15"/>
    <row r="5350" customFormat="1" ht="13" x14ac:dyDescent="0.15"/>
    <row r="5351" customFormat="1" ht="13" x14ac:dyDescent="0.15"/>
    <row r="5352" customFormat="1" ht="13" x14ac:dyDescent="0.15"/>
    <row r="5353" customFormat="1" ht="13" x14ac:dyDescent="0.15"/>
    <row r="5354" customFormat="1" ht="13" x14ac:dyDescent="0.15"/>
    <row r="5355" customFormat="1" ht="13" x14ac:dyDescent="0.15"/>
    <row r="5356" customFormat="1" ht="13" x14ac:dyDescent="0.15"/>
    <row r="5357" customFormat="1" ht="13" x14ac:dyDescent="0.15"/>
    <row r="5358" customFormat="1" ht="13" x14ac:dyDescent="0.15"/>
    <row r="5359" customFormat="1" ht="13" x14ac:dyDescent="0.15"/>
    <row r="5360" customFormat="1" ht="13" x14ac:dyDescent="0.15"/>
    <row r="5361" customFormat="1" ht="13" x14ac:dyDescent="0.15"/>
    <row r="5362" customFormat="1" ht="13" x14ac:dyDescent="0.15"/>
    <row r="5363" customFormat="1" ht="13" x14ac:dyDescent="0.15"/>
    <row r="5364" customFormat="1" ht="13" x14ac:dyDescent="0.15"/>
    <row r="5365" customFormat="1" ht="13" x14ac:dyDescent="0.15"/>
    <row r="5366" customFormat="1" ht="13" x14ac:dyDescent="0.15"/>
    <row r="5367" customFormat="1" ht="13" x14ac:dyDescent="0.15"/>
    <row r="5368" customFormat="1" ht="13" x14ac:dyDescent="0.15"/>
    <row r="5369" customFormat="1" ht="13" x14ac:dyDescent="0.15"/>
    <row r="5370" customFormat="1" ht="13" x14ac:dyDescent="0.15"/>
    <row r="5371" customFormat="1" ht="13" x14ac:dyDescent="0.15"/>
    <row r="5372" customFormat="1" ht="13" x14ac:dyDescent="0.15"/>
    <row r="5373" customFormat="1" ht="13" x14ac:dyDescent="0.15"/>
    <row r="5374" customFormat="1" ht="13" x14ac:dyDescent="0.15"/>
    <row r="5375" customFormat="1" ht="13" x14ac:dyDescent="0.15"/>
    <row r="5376" customFormat="1" ht="13" x14ac:dyDescent="0.15"/>
    <row r="5377" customFormat="1" ht="13" x14ac:dyDescent="0.15"/>
    <row r="5378" customFormat="1" ht="13" x14ac:dyDescent="0.15"/>
    <row r="5379" customFormat="1" ht="13" x14ac:dyDescent="0.15"/>
    <row r="5380" customFormat="1" ht="13" x14ac:dyDescent="0.15"/>
    <row r="5381" customFormat="1" ht="13" x14ac:dyDescent="0.15"/>
    <row r="5382" customFormat="1" ht="13" x14ac:dyDescent="0.15"/>
    <row r="5383" customFormat="1" ht="13" x14ac:dyDescent="0.15"/>
    <row r="5384" customFormat="1" ht="13" x14ac:dyDescent="0.15"/>
    <row r="5385" customFormat="1" ht="13" x14ac:dyDescent="0.15"/>
    <row r="5386" customFormat="1" ht="13" x14ac:dyDescent="0.15"/>
    <row r="5387" customFormat="1" ht="13" x14ac:dyDescent="0.15"/>
    <row r="5388" customFormat="1" ht="13" x14ac:dyDescent="0.15"/>
    <row r="5389" customFormat="1" ht="13" x14ac:dyDescent="0.15"/>
    <row r="5390" customFormat="1" ht="13" x14ac:dyDescent="0.15"/>
    <row r="5391" customFormat="1" ht="13" x14ac:dyDescent="0.15"/>
    <row r="5392" customFormat="1" ht="13" x14ac:dyDescent="0.15"/>
    <row r="5393" customFormat="1" ht="13" x14ac:dyDescent="0.15"/>
    <row r="5394" customFormat="1" ht="13" x14ac:dyDescent="0.15"/>
    <row r="5395" customFormat="1" ht="13" x14ac:dyDescent="0.15"/>
    <row r="5396" customFormat="1" ht="13" x14ac:dyDescent="0.15"/>
    <row r="5397" customFormat="1" ht="13" x14ac:dyDescent="0.15"/>
    <row r="5398" customFormat="1" ht="13" x14ac:dyDescent="0.15"/>
    <row r="5399" customFormat="1" ht="13" x14ac:dyDescent="0.15"/>
    <row r="5400" customFormat="1" ht="13" x14ac:dyDescent="0.15"/>
    <row r="5401" customFormat="1" ht="13" x14ac:dyDescent="0.15"/>
    <row r="5402" customFormat="1" ht="13" x14ac:dyDescent="0.15"/>
    <row r="5403" customFormat="1" ht="13" x14ac:dyDescent="0.15"/>
    <row r="5404" customFormat="1" ht="13" x14ac:dyDescent="0.15"/>
    <row r="5405" customFormat="1" ht="13" x14ac:dyDescent="0.15"/>
    <row r="5406" customFormat="1" ht="13" x14ac:dyDescent="0.15"/>
    <row r="5407" customFormat="1" ht="13" x14ac:dyDescent="0.15"/>
    <row r="5408" customFormat="1" ht="13" x14ac:dyDescent="0.15"/>
    <row r="5409" customFormat="1" ht="13" x14ac:dyDescent="0.15"/>
    <row r="5410" customFormat="1" ht="13" x14ac:dyDescent="0.15"/>
    <row r="5411" customFormat="1" ht="13" x14ac:dyDescent="0.15"/>
    <row r="5412" customFormat="1" ht="13" x14ac:dyDescent="0.15"/>
    <row r="5413" customFormat="1" ht="13" x14ac:dyDescent="0.15"/>
    <row r="5414" customFormat="1" ht="13" x14ac:dyDescent="0.15"/>
    <row r="5415" customFormat="1" ht="13" x14ac:dyDescent="0.15"/>
    <row r="5416" customFormat="1" ht="13" x14ac:dyDescent="0.15"/>
    <row r="5417" customFormat="1" ht="13" x14ac:dyDescent="0.15"/>
    <row r="5418" customFormat="1" ht="13" x14ac:dyDescent="0.15"/>
    <row r="5419" customFormat="1" ht="13" x14ac:dyDescent="0.15"/>
    <row r="5420" customFormat="1" ht="13" x14ac:dyDescent="0.15"/>
    <row r="5421" customFormat="1" ht="13" x14ac:dyDescent="0.15"/>
    <row r="5422" customFormat="1" ht="13" x14ac:dyDescent="0.15"/>
    <row r="5423" customFormat="1" ht="13" x14ac:dyDescent="0.15"/>
    <row r="5424" customFormat="1" ht="13" x14ac:dyDescent="0.15"/>
    <row r="5425" customFormat="1" ht="13" x14ac:dyDescent="0.15"/>
    <row r="5426" customFormat="1" ht="13" x14ac:dyDescent="0.15"/>
    <row r="5427" customFormat="1" ht="13" x14ac:dyDescent="0.15"/>
    <row r="5428" customFormat="1" ht="13" x14ac:dyDescent="0.15"/>
    <row r="5429" customFormat="1" ht="13" x14ac:dyDescent="0.15"/>
    <row r="5430" customFormat="1" ht="13" x14ac:dyDescent="0.15"/>
    <row r="5431" customFormat="1" ht="13" x14ac:dyDescent="0.15"/>
    <row r="5432" customFormat="1" ht="13" x14ac:dyDescent="0.15"/>
    <row r="5433" customFormat="1" ht="13" x14ac:dyDescent="0.15"/>
    <row r="5434" customFormat="1" ht="13" x14ac:dyDescent="0.15"/>
    <row r="5435" customFormat="1" ht="13" x14ac:dyDescent="0.15"/>
    <row r="5436" customFormat="1" ht="13" x14ac:dyDescent="0.15"/>
    <row r="5437" customFormat="1" ht="13" x14ac:dyDescent="0.15"/>
    <row r="5438" customFormat="1" ht="13" x14ac:dyDescent="0.15"/>
    <row r="5439" customFormat="1" ht="13" x14ac:dyDescent="0.15"/>
    <row r="5440" customFormat="1" ht="13" x14ac:dyDescent="0.15"/>
    <row r="5441" customFormat="1" ht="13" x14ac:dyDescent="0.15"/>
    <row r="5442" customFormat="1" ht="13" x14ac:dyDescent="0.15"/>
    <row r="5443" customFormat="1" ht="13" x14ac:dyDescent="0.15"/>
    <row r="5444" customFormat="1" ht="13" x14ac:dyDescent="0.15"/>
    <row r="5445" customFormat="1" ht="13" x14ac:dyDescent="0.15"/>
    <row r="5446" customFormat="1" ht="13" x14ac:dyDescent="0.15"/>
    <row r="5447" customFormat="1" ht="13" x14ac:dyDescent="0.15"/>
    <row r="5448" customFormat="1" ht="13" x14ac:dyDescent="0.15"/>
    <row r="5449" customFormat="1" ht="13" x14ac:dyDescent="0.15"/>
    <row r="5450" customFormat="1" ht="13" x14ac:dyDescent="0.15"/>
    <row r="5451" customFormat="1" ht="13" x14ac:dyDescent="0.15"/>
    <row r="5452" customFormat="1" ht="13" x14ac:dyDescent="0.15"/>
    <row r="5453" customFormat="1" ht="13" x14ac:dyDescent="0.15"/>
    <row r="5454" customFormat="1" ht="13" x14ac:dyDescent="0.15"/>
    <row r="5455" customFormat="1" ht="13" x14ac:dyDescent="0.15"/>
    <row r="5456" customFormat="1" ht="13" x14ac:dyDescent="0.15"/>
    <row r="5457" customFormat="1" ht="13" x14ac:dyDescent="0.15"/>
    <row r="5458" customFormat="1" ht="13" x14ac:dyDescent="0.15"/>
    <row r="5459" customFormat="1" ht="13" x14ac:dyDescent="0.15"/>
    <row r="5460" customFormat="1" ht="13" x14ac:dyDescent="0.15"/>
    <row r="5461" customFormat="1" ht="13" x14ac:dyDescent="0.15"/>
    <row r="5462" customFormat="1" ht="13" x14ac:dyDescent="0.15"/>
    <row r="5463" customFormat="1" ht="13" x14ac:dyDescent="0.15"/>
    <row r="5464" customFormat="1" ht="13" x14ac:dyDescent="0.15"/>
    <row r="5465" customFormat="1" ht="13" x14ac:dyDescent="0.15"/>
    <row r="5466" customFormat="1" ht="13" x14ac:dyDescent="0.15"/>
    <row r="5467" customFormat="1" ht="13" x14ac:dyDescent="0.15"/>
    <row r="5468" customFormat="1" ht="13" x14ac:dyDescent="0.15"/>
    <row r="5469" customFormat="1" ht="13" x14ac:dyDescent="0.15"/>
    <row r="5470" customFormat="1" ht="13" x14ac:dyDescent="0.15"/>
    <row r="5471" customFormat="1" ht="13" x14ac:dyDescent="0.15"/>
    <row r="5472" customFormat="1" ht="13" x14ac:dyDescent="0.15"/>
    <row r="5473" customFormat="1" ht="13" x14ac:dyDescent="0.15"/>
    <row r="5474" customFormat="1" ht="13" x14ac:dyDescent="0.15"/>
    <row r="5475" customFormat="1" ht="13" x14ac:dyDescent="0.15"/>
    <row r="5476" customFormat="1" ht="13" x14ac:dyDescent="0.15"/>
    <row r="5477" customFormat="1" ht="13" x14ac:dyDescent="0.15"/>
    <row r="5478" customFormat="1" ht="13" x14ac:dyDescent="0.15"/>
    <row r="5479" customFormat="1" ht="13" x14ac:dyDescent="0.15"/>
    <row r="5480" customFormat="1" ht="13" x14ac:dyDescent="0.15"/>
    <row r="5481" customFormat="1" ht="13" x14ac:dyDescent="0.15"/>
    <row r="5482" customFormat="1" ht="13" x14ac:dyDescent="0.15"/>
    <row r="5483" customFormat="1" ht="13" x14ac:dyDescent="0.15"/>
    <row r="5484" customFormat="1" ht="13" x14ac:dyDescent="0.15"/>
    <row r="5485" customFormat="1" ht="13" x14ac:dyDescent="0.15"/>
    <row r="5486" customFormat="1" ht="13" x14ac:dyDescent="0.15"/>
    <row r="5487" customFormat="1" ht="13" x14ac:dyDescent="0.15"/>
    <row r="5488" customFormat="1" ht="13" x14ac:dyDescent="0.15"/>
    <row r="5489" customFormat="1" ht="13" x14ac:dyDescent="0.15"/>
    <row r="5490" customFormat="1" ht="13" x14ac:dyDescent="0.15"/>
    <row r="5491" customFormat="1" ht="13" x14ac:dyDescent="0.15"/>
    <row r="5492" customFormat="1" ht="13" x14ac:dyDescent="0.15"/>
    <row r="5493" customFormat="1" ht="13" x14ac:dyDescent="0.15"/>
    <row r="5494" customFormat="1" ht="13" x14ac:dyDescent="0.15"/>
    <row r="5495" customFormat="1" ht="13" x14ac:dyDescent="0.15"/>
    <row r="5496" customFormat="1" ht="13" x14ac:dyDescent="0.15"/>
    <row r="5497" customFormat="1" ht="13" x14ac:dyDescent="0.15"/>
    <row r="5498" customFormat="1" ht="13" x14ac:dyDescent="0.15"/>
    <row r="5499" customFormat="1" ht="13" x14ac:dyDescent="0.15"/>
    <row r="5500" customFormat="1" ht="13" x14ac:dyDescent="0.15"/>
    <row r="5501" customFormat="1" ht="13" x14ac:dyDescent="0.15"/>
    <row r="5502" customFormat="1" ht="13" x14ac:dyDescent="0.15"/>
    <row r="5503" customFormat="1" ht="13" x14ac:dyDescent="0.15"/>
    <row r="5504" customFormat="1" ht="13" x14ac:dyDescent="0.15"/>
    <row r="5505" customFormat="1" ht="13" x14ac:dyDescent="0.15"/>
    <row r="5506" customFormat="1" ht="13" x14ac:dyDescent="0.15"/>
    <row r="5507" customFormat="1" ht="13" x14ac:dyDescent="0.15"/>
    <row r="5508" customFormat="1" ht="13" x14ac:dyDescent="0.15"/>
    <row r="5509" customFormat="1" ht="13" x14ac:dyDescent="0.15"/>
    <row r="5510" customFormat="1" ht="13" x14ac:dyDescent="0.15"/>
    <row r="5511" customFormat="1" ht="13" x14ac:dyDescent="0.15"/>
    <row r="5512" customFormat="1" ht="13" x14ac:dyDescent="0.15"/>
    <row r="5513" customFormat="1" ht="13" x14ac:dyDescent="0.15"/>
    <row r="5514" customFormat="1" ht="13" x14ac:dyDescent="0.15"/>
    <row r="5515" customFormat="1" ht="13" x14ac:dyDescent="0.15"/>
    <row r="5516" customFormat="1" ht="13" x14ac:dyDescent="0.15"/>
    <row r="5517" customFormat="1" ht="13" x14ac:dyDescent="0.15"/>
    <row r="5518" customFormat="1" ht="13" x14ac:dyDescent="0.15"/>
    <row r="5519" customFormat="1" ht="13" x14ac:dyDescent="0.15"/>
    <row r="5520" customFormat="1" ht="13" x14ac:dyDescent="0.15"/>
    <row r="5521" customFormat="1" ht="13" x14ac:dyDescent="0.15"/>
    <row r="5522" customFormat="1" ht="13" x14ac:dyDescent="0.15"/>
    <row r="5523" customFormat="1" ht="13" x14ac:dyDescent="0.15"/>
    <row r="5524" customFormat="1" ht="13" x14ac:dyDescent="0.15"/>
    <row r="5525" customFormat="1" ht="13" x14ac:dyDescent="0.15"/>
    <row r="5526" customFormat="1" ht="13" x14ac:dyDescent="0.15"/>
    <row r="5527" customFormat="1" ht="13" x14ac:dyDescent="0.15"/>
    <row r="5528" customFormat="1" ht="13" x14ac:dyDescent="0.15"/>
    <row r="5529" customFormat="1" ht="13" x14ac:dyDescent="0.15"/>
    <row r="5530" customFormat="1" ht="13" x14ac:dyDescent="0.15"/>
    <row r="5531" customFormat="1" ht="13" x14ac:dyDescent="0.15"/>
    <row r="5532" customFormat="1" ht="13" x14ac:dyDescent="0.15"/>
    <row r="5533" customFormat="1" ht="13" x14ac:dyDescent="0.15"/>
    <row r="5534" customFormat="1" ht="13" x14ac:dyDescent="0.15"/>
    <row r="5535" customFormat="1" ht="13" x14ac:dyDescent="0.15"/>
    <row r="5536" customFormat="1" ht="13" x14ac:dyDescent="0.15"/>
    <row r="5537" customFormat="1" ht="13" x14ac:dyDescent="0.15"/>
    <row r="5538" customFormat="1" ht="13" x14ac:dyDescent="0.15"/>
    <row r="5539" customFormat="1" ht="13" x14ac:dyDescent="0.15"/>
    <row r="5540" customFormat="1" ht="13" x14ac:dyDescent="0.15"/>
    <row r="5541" customFormat="1" ht="13" x14ac:dyDescent="0.15"/>
    <row r="5542" customFormat="1" ht="13" x14ac:dyDescent="0.15"/>
    <row r="5543" customFormat="1" ht="13" x14ac:dyDescent="0.15"/>
    <row r="5544" customFormat="1" ht="13" x14ac:dyDescent="0.15"/>
    <row r="5545" customFormat="1" ht="13" x14ac:dyDescent="0.15"/>
    <row r="5546" customFormat="1" ht="13" x14ac:dyDescent="0.15"/>
    <row r="5547" customFormat="1" ht="13" x14ac:dyDescent="0.15"/>
    <row r="5548" customFormat="1" ht="13" x14ac:dyDescent="0.15"/>
    <row r="5549" customFormat="1" ht="13" x14ac:dyDescent="0.15"/>
    <row r="5550" customFormat="1" ht="13" x14ac:dyDescent="0.15"/>
    <row r="5551" customFormat="1" ht="13" x14ac:dyDescent="0.15"/>
    <row r="5552" customFormat="1" ht="13" x14ac:dyDescent="0.15"/>
    <row r="5553" customFormat="1" ht="13" x14ac:dyDescent="0.15"/>
    <row r="5554" customFormat="1" ht="13" x14ac:dyDescent="0.15"/>
    <row r="5555" customFormat="1" ht="13" x14ac:dyDescent="0.15"/>
    <row r="5556" customFormat="1" ht="13" x14ac:dyDescent="0.15"/>
    <row r="5557" customFormat="1" ht="13" x14ac:dyDescent="0.15"/>
    <row r="5558" customFormat="1" ht="13" x14ac:dyDescent="0.15"/>
    <row r="5559" customFormat="1" ht="13" x14ac:dyDescent="0.15"/>
    <row r="5560" customFormat="1" ht="13" x14ac:dyDescent="0.15"/>
    <row r="5561" customFormat="1" ht="13" x14ac:dyDescent="0.15"/>
    <row r="5562" customFormat="1" ht="13" x14ac:dyDescent="0.15"/>
    <row r="5563" customFormat="1" ht="13" x14ac:dyDescent="0.15"/>
    <row r="5564" customFormat="1" ht="13" x14ac:dyDescent="0.15"/>
    <row r="5565" customFormat="1" ht="13" x14ac:dyDescent="0.15"/>
    <row r="5566" customFormat="1" ht="13" x14ac:dyDescent="0.15"/>
    <row r="5567" customFormat="1" ht="13" x14ac:dyDescent="0.15"/>
    <row r="5568" customFormat="1" ht="13" x14ac:dyDescent="0.15"/>
    <row r="5569" customFormat="1" ht="13" x14ac:dyDescent="0.15"/>
    <row r="5570" customFormat="1" ht="13" x14ac:dyDescent="0.15"/>
    <row r="5571" customFormat="1" ht="13" x14ac:dyDescent="0.15"/>
    <row r="5572" customFormat="1" ht="13" x14ac:dyDescent="0.15"/>
    <row r="5573" customFormat="1" ht="13" x14ac:dyDescent="0.15"/>
    <row r="5574" customFormat="1" ht="13" x14ac:dyDescent="0.15"/>
    <row r="5575" customFormat="1" ht="13" x14ac:dyDescent="0.15"/>
    <row r="5576" customFormat="1" ht="13" x14ac:dyDescent="0.15"/>
    <row r="5577" customFormat="1" ht="13" x14ac:dyDescent="0.15"/>
    <row r="5578" customFormat="1" ht="13" x14ac:dyDescent="0.15"/>
    <row r="5579" customFormat="1" ht="13" x14ac:dyDescent="0.15"/>
    <row r="5580" customFormat="1" ht="13" x14ac:dyDescent="0.15"/>
    <row r="5581" customFormat="1" ht="13" x14ac:dyDescent="0.15"/>
    <row r="5582" customFormat="1" ht="13" x14ac:dyDescent="0.15"/>
    <row r="5583" customFormat="1" ht="13" x14ac:dyDescent="0.15"/>
    <row r="5584" customFormat="1" ht="13" x14ac:dyDescent="0.15"/>
    <row r="5585" customFormat="1" ht="13" x14ac:dyDescent="0.15"/>
    <row r="5586" customFormat="1" ht="13" x14ac:dyDescent="0.15"/>
    <row r="5587" customFormat="1" ht="13" x14ac:dyDescent="0.15"/>
    <row r="5588" customFormat="1" ht="13" x14ac:dyDescent="0.15"/>
    <row r="5589" customFormat="1" ht="13" x14ac:dyDescent="0.15"/>
    <row r="5590" customFormat="1" ht="13" x14ac:dyDescent="0.15"/>
    <row r="5591" customFormat="1" ht="13" x14ac:dyDescent="0.15"/>
    <row r="5592" customFormat="1" ht="13" x14ac:dyDescent="0.15"/>
    <row r="5593" customFormat="1" ht="13" x14ac:dyDescent="0.15"/>
    <row r="5594" customFormat="1" ht="13" x14ac:dyDescent="0.15"/>
    <row r="5595" customFormat="1" ht="13" x14ac:dyDescent="0.15"/>
    <row r="5596" customFormat="1" ht="13" x14ac:dyDescent="0.15"/>
    <row r="5597" customFormat="1" ht="13" x14ac:dyDescent="0.15"/>
    <row r="5598" customFormat="1" ht="13" x14ac:dyDescent="0.15"/>
    <row r="5599" customFormat="1" ht="13" x14ac:dyDescent="0.15"/>
    <row r="5600" customFormat="1" ht="13" x14ac:dyDescent="0.15"/>
    <row r="5601" customFormat="1" ht="13" x14ac:dyDescent="0.15"/>
    <row r="5602" customFormat="1" ht="13" x14ac:dyDescent="0.15"/>
    <row r="5603" customFormat="1" ht="13" x14ac:dyDescent="0.15"/>
    <row r="5604" customFormat="1" ht="13" x14ac:dyDescent="0.15"/>
    <row r="5605" customFormat="1" ht="13" x14ac:dyDescent="0.15"/>
    <row r="5606" customFormat="1" ht="13" x14ac:dyDescent="0.15"/>
    <row r="5607" customFormat="1" ht="13" x14ac:dyDescent="0.15"/>
    <row r="5608" customFormat="1" ht="13" x14ac:dyDescent="0.15"/>
    <row r="5609" customFormat="1" ht="13" x14ac:dyDescent="0.15"/>
    <row r="5610" customFormat="1" ht="13" x14ac:dyDescent="0.15"/>
    <row r="5611" customFormat="1" ht="13" x14ac:dyDescent="0.15"/>
    <row r="5612" customFormat="1" ht="13" x14ac:dyDescent="0.15"/>
    <row r="5613" customFormat="1" ht="13" x14ac:dyDescent="0.15"/>
    <row r="5614" customFormat="1" ht="13" x14ac:dyDescent="0.15"/>
    <row r="5615" customFormat="1" ht="13" x14ac:dyDescent="0.15"/>
    <row r="5616" customFormat="1" ht="13" x14ac:dyDescent="0.15"/>
    <row r="5617" customFormat="1" ht="13" x14ac:dyDescent="0.15"/>
    <row r="5618" customFormat="1" ht="13" x14ac:dyDescent="0.15"/>
    <row r="5619" customFormat="1" ht="13" x14ac:dyDescent="0.15"/>
    <row r="5620" customFormat="1" ht="13" x14ac:dyDescent="0.15"/>
    <row r="5621" customFormat="1" ht="13" x14ac:dyDescent="0.15"/>
    <row r="5622" customFormat="1" ht="13" x14ac:dyDescent="0.15"/>
    <row r="5623" customFormat="1" ht="13" x14ac:dyDescent="0.15"/>
    <row r="5624" customFormat="1" ht="13" x14ac:dyDescent="0.15"/>
    <row r="5625" customFormat="1" ht="13" x14ac:dyDescent="0.15"/>
    <row r="5626" customFormat="1" ht="13" x14ac:dyDescent="0.15"/>
    <row r="5627" customFormat="1" ht="13" x14ac:dyDescent="0.15"/>
    <row r="5628" customFormat="1" ht="13" x14ac:dyDescent="0.15"/>
    <row r="5629" customFormat="1" ht="13" x14ac:dyDescent="0.15"/>
    <row r="5630" customFormat="1" ht="13" x14ac:dyDescent="0.15"/>
    <row r="5631" customFormat="1" ht="13" x14ac:dyDescent="0.15"/>
    <row r="5632" customFormat="1" ht="13" x14ac:dyDescent="0.15"/>
    <row r="5633" customFormat="1" ht="13" x14ac:dyDescent="0.15"/>
    <row r="5634" customFormat="1" ht="13" x14ac:dyDescent="0.15"/>
    <row r="5635" customFormat="1" ht="13" x14ac:dyDescent="0.15"/>
    <row r="5636" customFormat="1" ht="13" x14ac:dyDescent="0.15"/>
    <row r="5637" customFormat="1" ht="13" x14ac:dyDescent="0.15"/>
    <row r="5638" customFormat="1" ht="13" x14ac:dyDescent="0.15"/>
    <row r="5639" customFormat="1" ht="13" x14ac:dyDescent="0.15"/>
    <row r="5640" customFormat="1" ht="13" x14ac:dyDescent="0.15"/>
    <row r="5641" customFormat="1" ht="13" x14ac:dyDescent="0.15"/>
    <row r="5642" customFormat="1" ht="13" x14ac:dyDescent="0.15"/>
    <row r="5643" customFormat="1" ht="13" x14ac:dyDescent="0.15"/>
    <row r="5644" customFormat="1" ht="13" x14ac:dyDescent="0.15"/>
    <row r="5645" customFormat="1" ht="13" x14ac:dyDescent="0.15"/>
    <row r="5646" customFormat="1" ht="13" x14ac:dyDescent="0.15"/>
    <row r="5647" customFormat="1" ht="13" x14ac:dyDescent="0.15"/>
    <row r="5648" customFormat="1" ht="13" x14ac:dyDescent="0.15"/>
    <row r="5649" customFormat="1" ht="13" x14ac:dyDescent="0.15"/>
    <row r="5650" customFormat="1" ht="13" x14ac:dyDescent="0.15"/>
    <row r="5651" customFormat="1" ht="13" x14ac:dyDescent="0.15"/>
    <row r="5652" customFormat="1" ht="13" x14ac:dyDescent="0.15"/>
    <row r="5653" customFormat="1" ht="13" x14ac:dyDescent="0.15"/>
    <row r="5654" customFormat="1" ht="13" x14ac:dyDescent="0.15"/>
    <row r="5655" customFormat="1" ht="13" x14ac:dyDescent="0.15"/>
    <row r="5656" customFormat="1" ht="13" x14ac:dyDescent="0.15"/>
    <row r="5657" customFormat="1" ht="13" x14ac:dyDescent="0.15"/>
    <row r="5658" customFormat="1" ht="13" x14ac:dyDescent="0.15"/>
    <row r="5659" customFormat="1" ht="13" x14ac:dyDescent="0.15"/>
    <row r="5660" customFormat="1" ht="13" x14ac:dyDescent="0.15"/>
    <row r="5661" customFormat="1" ht="13" x14ac:dyDescent="0.15"/>
    <row r="5662" customFormat="1" ht="13" x14ac:dyDescent="0.15"/>
    <row r="5663" customFormat="1" ht="13" x14ac:dyDescent="0.15"/>
    <row r="5664" customFormat="1" ht="13" x14ac:dyDescent="0.15"/>
    <row r="5665" customFormat="1" ht="13" x14ac:dyDescent="0.15"/>
    <row r="5666" customFormat="1" ht="13" x14ac:dyDescent="0.15"/>
    <row r="5667" customFormat="1" ht="13" x14ac:dyDescent="0.15"/>
    <row r="5668" customFormat="1" ht="13" x14ac:dyDescent="0.15"/>
    <row r="5669" customFormat="1" ht="13" x14ac:dyDescent="0.15"/>
    <row r="5670" customFormat="1" ht="13" x14ac:dyDescent="0.15"/>
    <row r="5671" customFormat="1" ht="13" x14ac:dyDescent="0.15"/>
    <row r="5672" customFormat="1" ht="13" x14ac:dyDescent="0.15"/>
    <row r="5673" customFormat="1" ht="13" x14ac:dyDescent="0.15"/>
    <row r="5674" customFormat="1" ht="13" x14ac:dyDescent="0.15"/>
    <row r="5675" customFormat="1" ht="13" x14ac:dyDescent="0.15"/>
    <row r="5676" customFormat="1" ht="13" x14ac:dyDescent="0.15"/>
    <row r="5677" customFormat="1" ht="13" x14ac:dyDescent="0.15"/>
    <row r="5678" customFormat="1" ht="13" x14ac:dyDescent="0.15"/>
    <row r="5679" customFormat="1" ht="13" x14ac:dyDescent="0.15"/>
    <row r="5680" customFormat="1" ht="13" x14ac:dyDescent="0.15"/>
    <row r="5681" customFormat="1" ht="13" x14ac:dyDescent="0.15"/>
    <row r="5682" customFormat="1" ht="13" x14ac:dyDescent="0.15"/>
    <row r="5683" customFormat="1" ht="13" x14ac:dyDescent="0.15"/>
    <row r="5684" customFormat="1" ht="13" x14ac:dyDescent="0.15"/>
    <row r="5685" customFormat="1" ht="13" x14ac:dyDescent="0.15"/>
    <row r="5686" customFormat="1" ht="13" x14ac:dyDescent="0.15"/>
    <row r="5687" customFormat="1" ht="13" x14ac:dyDescent="0.15"/>
    <row r="5688" customFormat="1" ht="13" x14ac:dyDescent="0.15"/>
    <row r="5689" customFormat="1" ht="13" x14ac:dyDescent="0.15"/>
    <row r="5690" customFormat="1" ht="13" x14ac:dyDescent="0.15"/>
    <row r="5691" customFormat="1" ht="13" x14ac:dyDescent="0.15"/>
    <row r="5692" customFormat="1" ht="13" x14ac:dyDescent="0.15"/>
    <row r="5693" customFormat="1" ht="13" x14ac:dyDescent="0.15"/>
    <row r="5694" customFormat="1" ht="13" x14ac:dyDescent="0.15"/>
    <row r="5695" customFormat="1" ht="13" x14ac:dyDescent="0.15"/>
    <row r="5696" customFormat="1" ht="13" x14ac:dyDescent="0.15"/>
    <row r="5697" customFormat="1" ht="13" x14ac:dyDescent="0.15"/>
    <row r="5698" customFormat="1" ht="13" x14ac:dyDescent="0.15"/>
    <row r="5699" customFormat="1" ht="13" x14ac:dyDescent="0.15"/>
    <row r="5700" customFormat="1" ht="13" x14ac:dyDescent="0.15"/>
    <row r="5701" customFormat="1" ht="13" x14ac:dyDescent="0.15"/>
    <row r="5702" customFormat="1" ht="13" x14ac:dyDescent="0.15"/>
    <row r="5703" customFormat="1" ht="13" x14ac:dyDescent="0.15"/>
    <row r="5704" customFormat="1" ht="13" x14ac:dyDescent="0.15"/>
    <row r="5705" customFormat="1" ht="13" x14ac:dyDescent="0.15"/>
    <row r="5706" customFormat="1" ht="13" x14ac:dyDescent="0.15"/>
    <row r="5707" customFormat="1" ht="13" x14ac:dyDescent="0.15"/>
    <row r="5708" customFormat="1" ht="13" x14ac:dyDescent="0.15"/>
    <row r="5709" customFormat="1" ht="13" x14ac:dyDescent="0.15"/>
    <row r="5710" customFormat="1" ht="13" x14ac:dyDescent="0.15"/>
    <row r="5711" customFormat="1" ht="13" x14ac:dyDescent="0.15"/>
    <row r="5712" customFormat="1" ht="13" x14ac:dyDescent="0.15"/>
    <row r="5713" customFormat="1" ht="13" x14ac:dyDescent="0.15"/>
    <row r="5714" customFormat="1" ht="13" x14ac:dyDescent="0.15"/>
    <row r="5715" customFormat="1" ht="13" x14ac:dyDescent="0.15"/>
    <row r="5716" customFormat="1" ht="13" x14ac:dyDescent="0.15"/>
    <row r="5717" customFormat="1" ht="13" x14ac:dyDescent="0.15"/>
    <row r="5718" customFormat="1" ht="13" x14ac:dyDescent="0.15"/>
    <row r="5719" customFormat="1" ht="13" x14ac:dyDescent="0.15"/>
    <row r="5720" customFormat="1" ht="13" x14ac:dyDescent="0.15"/>
    <row r="5721" customFormat="1" ht="13" x14ac:dyDescent="0.15"/>
    <row r="5722" customFormat="1" ht="13" x14ac:dyDescent="0.15"/>
    <row r="5723" customFormat="1" ht="13" x14ac:dyDescent="0.15"/>
    <row r="5724" customFormat="1" ht="13" x14ac:dyDescent="0.15"/>
    <row r="5725" customFormat="1" ht="13" x14ac:dyDescent="0.15"/>
    <row r="5726" customFormat="1" ht="13" x14ac:dyDescent="0.15"/>
    <row r="5727" customFormat="1" ht="13" x14ac:dyDescent="0.15"/>
    <row r="5728" customFormat="1" ht="13" x14ac:dyDescent="0.15"/>
    <row r="5729" customFormat="1" ht="13" x14ac:dyDescent="0.15"/>
    <row r="5730" customFormat="1" ht="13" x14ac:dyDescent="0.15"/>
    <row r="5731" customFormat="1" ht="13" x14ac:dyDescent="0.15"/>
    <row r="5732" customFormat="1" ht="13" x14ac:dyDescent="0.15"/>
    <row r="5733" customFormat="1" ht="13" x14ac:dyDescent="0.15"/>
    <row r="5734" customFormat="1" ht="13" x14ac:dyDescent="0.15"/>
    <row r="5735" customFormat="1" ht="13" x14ac:dyDescent="0.15"/>
    <row r="5736" customFormat="1" ht="13" x14ac:dyDescent="0.15"/>
    <row r="5737" customFormat="1" ht="13" x14ac:dyDescent="0.15"/>
    <row r="5738" customFormat="1" ht="13" x14ac:dyDescent="0.15"/>
    <row r="5739" customFormat="1" ht="13" x14ac:dyDescent="0.15"/>
    <row r="5740" customFormat="1" ht="13" x14ac:dyDescent="0.15"/>
    <row r="5741" customFormat="1" ht="13" x14ac:dyDescent="0.15"/>
    <row r="5742" customFormat="1" ht="13" x14ac:dyDescent="0.15"/>
    <row r="5743" customFormat="1" ht="13" x14ac:dyDescent="0.15"/>
    <row r="5744" customFormat="1" ht="13" x14ac:dyDescent="0.15"/>
    <row r="5745" customFormat="1" ht="13" x14ac:dyDescent="0.15"/>
    <row r="5746" customFormat="1" ht="13" x14ac:dyDescent="0.15"/>
    <row r="5747" customFormat="1" ht="13" x14ac:dyDescent="0.15"/>
    <row r="5748" customFormat="1" ht="13" x14ac:dyDescent="0.15"/>
    <row r="5749" customFormat="1" ht="13" x14ac:dyDescent="0.15"/>
    <row r="5750" customFormat="1" ht="13" x14ac:dyDescent="0.15"/>
    <row r="5751" customFormat="1" ht="13" x14ac:dyDescent="0.15"/>
    <row r="5752" customFormat="1" ht="13" x14ac:dyDescent="0.15"/>
    <row r="5753" customFormat="1" ht="13" x14ac:dyDescent="0.15"/>
    <row r="5754" customFormat="1" ht="13" x14ac:dyDescent="0.15"/>
    <row r="5755" customFormat="1" ht="13" x14ac:dyDescent="0.15"/>
    <row r="5756" customFormat="1" ht="13" x14ac:dyDescent="0.15"/>
    <row r="5757" customFormat="1" ht="13" x14ac:dyDescent="0.15"/>
    <row r="5758" customFormat="1" ht="13" x14ac:dyDescent="0.15"/>
    <row r="5759" customFormat="1" ht="13" x14ac:dyDescent="0.15"/>
    <row r="5760" customFormat="1" ht="13" x14ac:dyDescent="0.15"/>
    <row r="5761" customFormat="1" ht="13" x14ac:dyDescent="0.15"/>
    <row r="5762" customFormat="1" ht="13" x14ac:dyDescent="0.15"/>
    <row r="5763" customFormat="1" ht="13" x14ac:dyDescent="0.15"/>
    <row r="5764" customFormat="1" ht="13" x14ac:dyDescent="0.15"/>
    <row r="5765" customFormat="1" ht="13" x14ac:dyDescent="0.15"/>
    <row r="5766" customFormat="1" ht="13" x14ac:dyDescent="0.15"/>
    <row r="5767" customFormat="1" ht="13" x14ac:dyDescent="0.15"/>
    <row r="5768" customFormat="1" ht="13" x14ac:dyDescent="0.15"/>
    <row r="5769" customFormat="1" ht="13" x14ac:dyDescent="0.15"/>
    <row r="5770" customFormat="1" ht="13" x14ac:dyDescent="0.15"/>
    <row r="5771" customFormat="1" ht="13" x14ac:dyDescent="0.15"/>
    <row r="5772" customFormat="1" ht="13" x14ac:dyDescent="0.15"/>
    <row r="5773" customFormat="1" ht="13" x14ac:dyDescent="0.15"/>
    <row r="5774" customFormat="1" ht="13" x14ac:dyDescent="0.15"/>
    <row r="5775" customFormat="1" ht="13" x14ac:dyDescent="0.15"/>
    <row r="5776" customFormat="1" ht="13" x14ac:dyDescent="0.15"/>
    <row r="5777" customFormat="1" ht="13" x14ac:dyDescent="0.15"/>
    <row r="5778" customFormat="1" ht="13" x14ac:dyDescent="0.15"/>
    <row r="5779" customFormat="1" ht="13" x14ac:dyDescent="0.15"/>
    <row r="5780" customFormat="1" ht="13" x14ac:dyDescent="0.15"/>
    <row r="5781" customFormat="1" ht="13" x14ac:dyDescent="0.15"/>
    <row r="5782" customFormat="1" ht="13" x14ac:dyDescent="0.15"/>
    <row r="5783" customFormat="1" ht="13" x14ac:dyDescent="0.15"/>
    <row r="5784" customFormat="1" ht="13" x14ac:dyDescent="0.15"/>
    <row r="5785" customFormat="1" ht="13" x14ac:dyDescent="0.15"/>
    <row r="5786" customFormat="1" ht="13" x14ac:dyDescent="0.15"/>
    <row r="5787" customFormat="1" ht="13" x14ac:dyDescent="0.15"/>
    <row r="5788" customFormat="1" ht="13" x14ac:dyDescent="0.15"/>
    <row r="5789" customFormat="1" ht="13" x14ac:dyDescent="0.15"/>
    <row r="5790" customFormat="1" ht="13" x14ac:dyDescent="0.15"/>
    <row r="5791" customFormat="1" ht="13" x14ac:dyDescent="0.15"/>
    <row r="5792" customFormat="1" ht="13" x14ac:dyDescent="0.15"/>
    <row r="5793" customFormat="1" ht="13" x14ac:dyDescent="0.15"/>
    <row r="5794" customFormat="1" ht="13" x14ac:dyDescent="0.15"/>
    <row r="5795" customFormat="1" ht="13" x14ac:dyDescent="0.15"/>
    <row r="5796" customFormat="1" ht="13" x14ac:dyDescent="0.15"/>
    <row r="5797" customFormat="1" ht="13" x14ac:dyDescent="0.15"/>
    <row r="5798" customFormat="1" ht="13" x14ac:dyDescent="0.15"/>
    <row r="5799" customFormat="1" ht="13" x14ac:dyDescent="0.15"/>
    <row r="5800" customFormat="1" ht="13" x14ac:dyDescent="0.15"/>
    <row r="5801" customFormat="1" ht="13" x14ac:dyDescent="0.15"/>
    <row r="5802" customFormat="1" ht="13" x14ac:dyDescent="0.15"/>
    <row r="5803" customFormat="1" ht="13" x14ac:dyDescent="0.15"/>
    <row r="5804" customFormat="1" ht="13" x14ac:dyDescent="0.15"/>
    <row r="5805" customFormat="1" ht="13" x14ac:dyDescent="0.15"/>
    <row r="5806" customFormat="1" ht="13" x14ac:dyDescent="0.15"/>
    <row r="5807" customFormat="1" ht="13" x14ac:dyDescent="0.15"/>
    <row r="5808" customFormat="1" ht="13" x14ac:dyDescent="0.15"/>
    <row r="5809" customFormat="1" ht="13" x14ac:dyDescent="0.15"/>
    <row r="5810" customFormat="1" ht="13" x14ac:dyDescent="0.15"/>
    <row r="5811" customFormat="1" ht="13" x14ac:dyDescent="0.15"/>
    <row r="5812" customFormat="1" ht="13" x14ac:dyDescent="0.15"/>
    <row r="5813" customFormat="1" ht="13" x14ac:dyDescent="0.15"/>
    <row r="5814" customFormat="1" ht="13" x14ac:dyDescent="0.15"/>
    <row r="5815" customFormat="1" ht="13" x14ac:dyDescent="0.15"/>
    <row r="5816" customFormat="1" ht="13" x14ac:dyDescent="0.15"/>
    <row r="5817" customFormat="1" ht="13" x14ac:dyDescent="0.15"/>
    <row r="5818" customFormat="1" ht="13" x14ac:dyDescent="0.15"/>
    <row r="5819" customFormat="1" ht="13" x14ac:dyDescent="0.15"/>
    <row r="5820" customFormat="1" ht="13" x14ac:dyDescent="0.15"/>
    <row r="5821" customFormat="1" ht="13" x14ac:dyDescent="0.15"/>
    <row r="5822" customFormat="1" ht="13" x14ac:dyDescent="0.15"/>
    <row r="5823" customFormat="1" ht="13" x14ac:dyDescent="0.15"/>
    <row r="5824" customFormat="1" ht="13" x14ac:dyDescent="0.15"/>
    <row r="5825" customFormat="1" ht="13" x14ac:dyDescent="0.15"/>
    <row r="5826" customFormat="1" ht="13" x14ac:dyDescent="0.15"/>
    <row r="5827" customFormat="1" ht="13" x14ac:dyDescent="0.15"/>
    <row r="5828" customFormat="1" ht="13" x14ac:dyDescent="0.15"/>
    <row r="5829" customFormat="1" ht="13" x14ac:dyDescent="0.15"/>
    <row r="5830" customFormat="1" ht="13" x14ac:dyDescent="0.15"/>
    <row r="5831" customFormat="1" ht="13" x14ac:dyDescent="0.15"/>
    <row r="5832" customFormat="1" ht="13" x14ac:dyDescent="0.15"/>
    <row r="5833" customFormat="1" ht="13" x14ac:dyDescent="0.15"/>
    <row r="5834" customFormat="1" ht="13" x14ac:dyDescent="0.15"/>
    <row r="5835" customFormat="1" ht="13" x14ac:dyDescent="0.15"/>
    <row r="5836" customFormat="1" ht="13" x14ac:dyDescent="0.15"/>
    <row r="5837" customFormat="1" ht="13" x14ac:dyDescent="0.15"/>
    <row r="5838" customFormat="1" ht="13" x14ac:dyDescent="0.15"/>
    <row r="5839" customFormat="1" ht="13" x14ac:dyDescent="0.15"/>
    <row r="5840" customFormat="1" ht="13" x14ac:dyDescent="0.15"/>
    <row r="5841" customFormat="1" ht="13" x14ac:dyDescent="0.15"/>
    <row r="5842" customFormat="1" ht="13" x14ac:dyDescent="0.15"/>
    <row r="5843" customFormat="1" ht="13" x14ac:dyDescent="0.15"/>
    <row r="5844" customFormat="1" ht="13" x14ac:dyDescent="0.15"/>
    <row r="5845" customFormat="1" ht="13" x14ac:dyDescent="0.15"/>
    <row r="5846" customFormat="1" ht="13" x14ac:dyDescent="0.15"/>
    <row r="5847" customFormat="1" ht="13" x14ac:dyDescent="0.15"/>
    <row r="5848" customFormat="1" ht="13" x14ac:dyDescent="0.15"/>
    <row r="5849" customFormat="1" ht="13" x14ac:dyDescent="0.15"/>
    <row r="5850" customFormat="1" ht="13" x14ac:dyDescent="0.15"/>
    <row r="5851" customFormat="1" ht="13" x14ac:dyDescent="0.15"/>
    <row r="5852" customFormat="1" ht="13" x14ac:dyDescent="0.15"/>
    <row r="5853" customFormat="1" ht="13" x14ac:dyDescent="0.15"/>
    <row r="5854" customFormat="1" ht="13" x14ac:dyDescent="0.15"/>
    <row r="5855" customFormat="1" ht="13" x14ac:dyDescent="0.15"/>
    <row r="5856" customFormat="1" ht="13" x14ac:dyDescent="0.15"/>
    <row r="5857" customFormat="1" ht="13" x14ac:dyDescent="0.15"/>
    <row r="5858" customFormat="1" ht="13" x14ac:dyDescent="0.15"/>
    <row r="5859" customFormat="1" ht="13" x14ac:dyDescent="0.15"/>
    <row r="5860" customFormat="1" ht="13" x14ac:dyDescent="0.15"/>
    <row r="5861" customFormat="1" ht="13" x14ac:dyDescent="0.15"/>
    <row r="5862" customFormat="1" ht="13" x14ac:dyDescent="0.15"/>
    <row r="5863" customFormat="1" ht="13" x14ac:dyDescent="0.15"/>
    <row r="5864" customFormat="1" ht="13" x14ac:dyDescent="0.15"/>
    <row r="5865" customFormat="1" ht="13" x14ac:dyDescent="0.15"/>
    <row r="5866" customFormat="1" ht="13" x14ac:dyDescent="0.15"/>
    <row r="5867" customFormat="1" ht="13" x14ac:dyDescent="0.15"/>
    <row r="5868" customFormat="1" ht="13" x14ac:dyDescent="0.15"/>
    <row r="5869" customFormat="1" ht="13" x14ac:dyDescent="0.15"/>
    <row r="5870" customFormat="1" ht="13" x14ac:dyDescent="0.15"/>
    <row r="5871" customFormat="1" ht="13" x14ac:dyDescent="0.15"/>
    <row r="5872" customFormat="1" ht="13" x14ac:dyDescent="0.15"/>
    <row r="5873" customFormat="1" ht="13" x14ac:dyDescent="0.15"/>
    <row r="5874" customFormat="1" ht="13" x14ac:dyDescent="0.15"/>
    <row r="5875" customFormat="1" ht="13" x14ac:dyDescent="0.15"/>
    <row r="5876" customFormat="1" ht="13" x14ac:dyDescent="0.15"/>
    <row r="5877" customFormat="1" ht="13" x14ac:dyDescent="0.15"/>
    <row r="5878" customFormat="1" ht="13" x14ac:dyDescent="0.15"/>
    <row r="5879" customFormat="1" ht="13" x14ac:dyDescent="0.15"/>
    <row r="5880" customFormat="1" ht="13" x14ac:dyDescent="0.15"/>
    <row r="5881" customFormat="1" ht="13" x14ac:dyDescent="0.15"/>
    <row r="5882" customFormat="1" ht="13" x14ac:dyDescent="0.15"/>
    <row r="5883" customFormat="1" ht="13" x14ac:dyDescent="0.15"/>
    <row r="5884" customFormat="1" ht="13" x14ac:dyDescent="0.15"/>
    <row r="5885" customFormat="1" ht="13" x14ac:dyDescent="0.15"/>
    <row r="5886" customFormat="1" ht="13" x14ac:dyDescent="0.15"/>
    <row r="5887" customFormat="1" ht="13" x14ac:dyDescent="0.15"/>
    <row r="5888" customFormat="1" ht="13" x14ac:dyDescent="0.15"/>
    <row r="5889" customFormat="1" ht="13" x14ac:dyDescent="0.15"/>
    <row r="5890" customFormat="1" ht="13" x14ac:dyDescent="0.15"/>
    <row r="5891" customFormat="1" ht="13" x14ac:dyDescent="0.15"/>
    <row r="5892" customFormat="1" ht="13" x14ac:dyDescent="0.15"/>
    <row r="5893" customFormat="1" ht="13" x14ac:dyDescent="0.15"/>
    <row r="5894" customFormat="1" ht="13" x14ac:dyDescent="0.15"/>
    <row r="5895" customFormat="1" ht="13" x14ac:dyDescent="0.15"/>
    <row r="5896" customFormat="1" ht="13" x14ac:dyDescent="0.15"/>
    <row r="5897" customFormat="1" ht="13" x14ac:dyDescent="0.15"/>
    <row r="5898" customFormat="1" ht="13" x14ac:dyDescent="0.15"/>
    <row r="5899" customFormat="1" ht="13" x14ac:dyDescent="0.15"/>
    <row r="5900" customFormat="1" ht="13" x14ac:dyDescent="0.15"/>
    <row r="5901" customFormat="1" ht="13" x14ac:dyDescent="0.15"/>
    <row r="5902" customFormat="1" ht="13" x14ac:dyDescent="0.15"/>
    <row r="5903" customFormat="1" ht="13" x14ac:dyDescent="0.15"/>
    <row r="5904" customFormat="1" ht="13" x14ac:dyDescent="0.15"/>
    <row r="5905" customFormat="1" ht="13" x14ac:dyDescent="0.15"/>
    <row r="5906" customFormat="1" ht="13" x14ac:dyDescent="0.15"/>
    <row r="5907" customFormat="1" ht="13" x14ac:dyDescent="0.15"/>
    <row r="5908" customFormat="1" ht="13" x14ac:dyDescent="0.15"/>
    <row r="5909" customFormat="1" ht="13" x14ac:dyDescent="0.15"/>
    <row r="5910" customFormat="1" ht="13" x14ac:dyDescent="0.15"/>
    <row r="5911" customFormat="1" ht="13" x14ac:dyDescent="0.15"/>
    <row r="5912" customFormat="1" ht="13" x14ac:dyDescent="0.15"/>
    <row r="5913" customFormat="1" ht="13" x14ac:dyDescent="0.15"/>
    <row r="5914" customFormat="1" ht="13" x14ac:dyDescent="0.15"/>
    <row r="5915" customFormat="1" ht="13" x14ac:dyDescent="0.15"/>
    <row r="5916" customFormat="1" ht="13" x14ac:dyDescent="0.15"/>
    <row r="5917" customFormat="1" ht="13" x14ac:dyDescent="0.15"/>
    <row r="5918" customFormat="1" ht="13" x14ac:dyDescent="0.15"/>
    <row r="5919" customFormat="1" ht="13" x14ac:dyDescent="0.15"/>
    <row r="5920" customFormat="1" ht="13" x14ac:dyDescent="0.15"/>
    <row r="5921" customFormat="1" ht="13" x14ac:dyDescent="0.15"/>
    <row r="5922" customFormat="1" ht="13" x14ac:dyDescent="0.15"/>
    <row r="5923" customFormat="1" ht="13" x14ac:dyDescent="0.15"/>
    <row r="5924" customFormat="1" ht="13" x14ac:dyDescent="0.15"/>
    <row r="5925" customFormat="1" ht="13" x14ac:dyDescent="0.15"/>
    <row r="5926" customFormat="1" ht="13" x14ac:dyDescent="0.15"/>
    <row r="5927" customFormat="1" ht="13" x14ac:dyDescent="0.15"/>
    <row r="5928" customFormat="1" ht="13" x14ac:dyDescent="0.15"/>
    <row r="5929" customFormat="1" ht="13" x14ac:dyDescent="0.15"/>
    <row r="5930" customFormat="1" ht="13" x14ac:dyDescent="0.15"/>
    <row r="5931" customFormat="1" ht="13" x14ac:dyDescent="0.15"/>
    <row r="5932" customFormat="1" ht="13" x14ac:dyDescent="0.15"/>
    <row r="5933" customFormat="1" ht="13" x14ac:dyDescent="0.15"/>
    <row r="5934" customFormat="1" ht="13" x14ac:dyDescent="0.15"/>
    <row r="5935" customFormat="1" ht="13" x14ac:dyDescent="0.15"/>
    <row r="5936" customFormat="1" ht="13" x14ac:dyDescent="0.15"/>
    <row r="5937" customFormat="1" ht="13" x14ac:dyDescent="0.15"/>
    <row r="5938" customFormat="1" ht="13" x14ac:dyDescent="0.15"/>
    <row r="5939" customFormat="1" ht="13" x14ac:dyDescent="0.15"/>
    <row r="5940" customFormat="1" ht="13" x14ac:dyDescent="0.15"/>
    <row r="5941" customFormat="1" ht="13" x14ac:dyDescent="0.15"/>
    <row r="5942" customFormat="1" ht="13" x14ac:dyDescent="0.15"/>
    <row r="5943" customFormat="1" ht="13" x14ac:dyDescent="0.15"/>
    <row r="5944" customFormat="1" ht="13" x14ac:dyDescent="0.15"/>
    <row r="5945" customFormat="1" ht="13" x14ac:dyDescent="0.15"/>
    <row r="5946" customFormat="1" ht="13" x14ac:dyDescent="0.15"/>
    <row r="5947" customFormat="1" ht="13" x14ac:dyDescent="0.15"/>
    <row r="5948" customFormat="1" ht="13" x14ac:dyDescent="0.15"/>
    <row r="5949" customFormat="1" ht="13" x14ac:dyDescent="0.15"/>
    <row r="5950" customFormat="1" ht="13" x14ac:dyDescent="0.15"/>
    <row r="5951" customFormat="1" ht="13" x14ac:dyDescent="0.15"/>
    <row r="5952" customFormat="1" ht="13" x14ac:dyDescent="0.15"/>
    <row r="5953" customFormat="1" ht="13" x14ac:dyDescent="0.15"/>
    <row r="5954" customFormat="1" ht="13" x14ac:dyDescent="0.15"/>
    <row r="5955" customFormat="1" ht="13" x14ac:dyDescent="0.15"/>
    <row r="5956" customFormat="1" ht="13" x14ac:dyDescent="0.15"/>
    <row r="5957" customFormat="1" ht="13" x14ac:dyDescent="0.15"/>
    <row r="5958" customFormat="1" ht="13" x14ac:dyDescent="0.15"/>
    <row r="5959" customFormat="1" ht="13" x14ac:dyDescent="0.15"/>
    <row r="5960" customFormat="1" ht="13" x14ac:dyDescent="0.15"/>
    <row r="5961" customFormat="1" ht="13" x14ac:dyDescent="0.15"/>
    <row r="5962" customFormat="1" ht="13" x14ac:dyDescent="0.15"/>
    <row r="5963" customFormat="1" ht="13" x14ac:dyDescent="0.15"/>
    <row r="5964" customFormat="1" ht="13" x14ac:dyDescent="0.15"/>
    <row r="5965" customFormat="1" ht="13" x14ac:dyDescent="0.15"/>
    <row r="5966" customFormat="1" ht="13" x14ac:dyDescent="0.15"/>
    <row r="5967" customFormat="1" ht="13" x14ac:dyDescent="0.15"/>
    <row r="5968" customFormat="1" ht="13" x14ac:dyDescent="0.15"/>
    <row r="5969" customFormat="1" ht="13" x14ac:dyDescent="0.15"/>
    <row r="5970" customFormat="1" ht="13" x14ac:dyDescent="0.15"/>
    <row r="5971" customFormat="1" ht="13" x14ac:dyDescent="0.15"/>
    <row r="5972" customFormat="1" ht="13" x14ac:dyDescent="0.15"/>
    <row r="5973" customFormat="1" ht="13" x14ac:dyDescent="0.15"/>
    <row r="5974" customFormat="1" ht="13" x14ac:dyDescent="0.15"/>
    <row r="5975" customFormat="1" ht="13" x14ac:dyDescent="0.15"/>
    <row r="5976" customFormat="1" ht="13" x14ac:dyDescent="0.15"/>
    <row r="5977" customFormat="1" ht="13" x14ac:dyDescent="0.15"/>
    <row r="5978" customFormat="1" ht="13" x14ac:dyDescent="0.15"/>
    <row r="5979" customFormat="1" ht="13" x14ac:dyDescent="0.15"/>
    <row r="5980" customFormat="1" ht="13" x14ac:dyDescent="0.15"/>
    <row r="5981" customFormat="1" ht="13" x14ac:dyDescent="0.15"/>
    <row r="5982" customFormat="1" ht="13" x14ac:dyDescent="0.15"/>
    <row r="5983" customFormat="1" ht="13" x14ac:dyDescent="0.15"/>
    <row r="5984" customFormat="1" ht="13" x14ac:dyDescent="0.15"/>
    <row r="5985" customFormat="1" ht="13" x14ac:dyDescent="0.15"/>
    <row r="5986" customFormat="1" ht="13" x14ac:dyDescent="0.15"/>
    <row r="5987" customFormat="1" ht="13" x14ac:dyDescent="0.15"/>
    <row r="5988" customFormat="1" ht="13" x14ac:dyDescent="0.15"/>
    <row r="5989" customFormat="1" ht="13" x14ac:dyDescent="0.15"/>
    <row r="5990" customFormat="1" ht="13" x14ac:dyDescent="0.15"/>
    <row r="5991" customFormat="1" ht="13" x14ac:dyDescent="0.15"/>
    <row r="5992" customFormat="1" ht="13" x14ac:dyDescent="0.15"/>
    <row r="5993" customFormat="1" ht="13" x14ac:dyDescent="0.15"/>
    <row r="5994" customFormat="1" ht="13" x14ac:dyDescent="0.15"/>
    <row r="5995" customFormat="1" ht="13" x14ac:dyDescent="0.15"/>
    <row r="5996" customFormat="1" ht="13" x14ac:dyDescent="0.15"/>
    <row r="5997" customFormat="1" ht="13" x14ac:dyDescent="0.15"/>
    <row r="5998" customFormat="1" ht="13" x14ac:dyDescent="0.15"/>
    <row r="5999" customFormat="1" ht="13" x14ac:dyDescent="0.15"/>
    <row r="6000" customFormat="1" ht="13" x14ac:dyDescent="0.15"/>
    <row r="6001" customFormat="1" ht="13" x14ac:dyDescent="0.15"/>
    <row r="6002" customFormat="1" ht="13" x14ac:dyDescent="0.15"/>
    <row r="6003" customFormat="1" ht="13" x14ac:dyDescent="0.15"/>
    <row r="6004" customFormat="1" ht="13" x14ac:dyDescent="0.15"/>
    <row r="6005" customFormat="1" ht="13" x14ac:dyDescent="0.15"/>
    <row r="6006" customFormat="1" ht="13" x14ac:dyDescent="0.15"/>
    <row r="6007" customFormat="1" ht="13" x14ac:dyDescent="0.15"/>
    <row r="6008" customFormat="1" ht="13" x14ac:dyDescent="0.15"/>
    <row r="6009" customFormat="1" ht="13" x14ac:dyDescent="0.15"/>
    <row r="6010" customFormat="1" ht="13" x14ac:dyDescent="0.15"/>
    <row r="6011" customFormat="1" ht="13" x14ac:dyDescent="0.15"/>
    <row r="6012" customFormat="1" ht="13" x14ac:dyDescent="0.15"/>
    <row r="6013" customFormat="1" ht="13" x14ac:dyDescent="0.15"/>
    <row r="6014" customFormat="1" ht="13" x14ac:dyDescent="0.15"/>
    <row r="6015" customFormat="1" ht="13" x14ac:dyDescent="0.15"/>
    <row r="6016" customFormat="1" ht="13" x14ac:dyDescent="0.15"/>
    <row r="6017" customFormat="1" ht="13" x14ac:dyDescent="0.15"/>
    <row r="6018" customFormat="1" ht="13" x14ac:dyDescent="0.15"/>
    <row r="6019" customFormat="1" ht="13" x14ac:dyDescent="0.15"/>
    <row r="6020" customFormat="1" ht="13" x14ac:dyDescent="0.15"/>
    <row r="6021" customFormat="1" ht="13" x14ac:dyDescent="0.15"/>
    <row r="6022" customFormat="1" ht="13" x14ac:dyDescent="0.15"/>
    <row r="6023" customFormat="1" ht="13" x14ac:dyDescent="0.15"/>
    <row r="6024" customFormat="1" ht="13" x14ac:dyDescent="0.15"/>
    <row r="6025" customFormat="1" ht="13" x14ac:dyDescent="0.15"/>
    <row r="6026" customFormat="1" ht="13" x14ac:dyDescent="0.15"/>
    <row r="6027" customFormat="1" ht="13" x14ac:dyDescent="0.15"/>
    <row r="6028" customFormat="1" ht="13" x14ac:dyDescent="0.15"/>
    <row r="6029" customFormat="1" ht="13" x14ac:dyDescent="0.15"/>
    <row r="6030" customFormat="1" ht="13" x14ac:dyDescent="0.15"/>
    <row r="6031" customFormat="1" ht="13" x14ac:dyDescent="0.15"/>
    <row r="6032" customFormat="1" ht="13" x14ac:dyDescent="0.15"/>
    <row r="6033" customFormat="1" ht="13" x14ac:dyDescent="0.15"/>
    <row r="6034" customFormat="1" ht="13" x14ac:dyDescent="0.15"/>
    <row r="6035" customFormat="1" ht="13" x14ac:dyDescent="0.15"/>
    <row r="6036" customFormat="1" ht="13" x14ac:dyDescent="0.15"/>
    <row r="6037" customFormat="1" ht="13" x14ac:dyDescent="0.15"/>
    <row r="6038" customFormat="1" ht="13" x14ac:dyDescent="0.15"/>
    <row r="6039" customFormat="1" ht="13" x14ac:dyDescent="0.15"/>
    <row r="6040" customFormat="1" ht="13" x14ac:dyDescent="0.15"/>
    <row r="6041" customFormat="1" ht="13" x14ac:dyDescent="0.15"/>
    <row r="6042" customFormat="1" ht="13" x14ac:dyDescent="0.15"/>
    <row r="6043" customFormat="1" ht="13" x14ac:dyDescent="0.15"/>
    <row r="6044" customFormat="1" ht="13" x14ac:dyDescent="0.15"/>
    <row r="6045" customFormat="1" ht="13" x14ac:dyDescent="0.15"/>
    <row r="6046" customFormat="1" ht="13" x14ac:dyDescent="0.15"/>
    <row r="6047" customFormat="1" ht="13" x14ac:dyDescent="0.15"/>
    <row r="6048" customFormat="1" ht="13" x14ac:dyDescent="0.15"/>
    <row r="6049" customFormat="1" ht="13" x14ac:dyDescent="0.15"/>
    <row r="6050" customFormat="1" ht="13" x14ac:dyDescent="0.15"/>
    <row r="6051" customFormat="1" ht="13" x14ac:dyDescent="0.15"/>
    <row r="6052" customFormat="1" ht="13" x14ac:dyDescent="0.15"/>
    <row r="6053" customFormat="1" ht="13" x14ac:dyDescent="0.15"/>
    <row r="6054" customFormat="1" ht="13" x14ac:dyDescent="0.15"/>
    <row r="6055" customFormat="1" ht="13" x14ac:dyDescent="0.15"/>
    <row r="6056" customFormat="1" ht="13" x14ac:dyDescent="0.15"/>
    <row r="6057" customFormat="1" ht="13" x14ac:dyDescent="0.15"/>
    <row r="6058" customFormat="1" ht="13" x14ac:dyDescent="0.15"/>
    <row r="6059" customFormat="1" ht="13" x14ac:dyDescent="0.15"/>
    <row r="6060" customFormat="1" ht="13" x14ac:dyDescent="0.15"/>
    <row r="6061" customFormat="1" ht="13" x14ac:dyDescent="0.15"/>
    <row r="6062" customFormat="1" ht="13" x14ac:dyDescent="0.15"/>
    <row r="6063" customFormat="1" ht="13" x14ac:dyDescent="0.15"/>
    <row r="6064" customFormat="1" ht="13" x14ac:dyDescent="0.15"/>
    <row r="6065" customFormat="1" ht="13" x14ac:dyDescent="0.15"/>
    <row r="6066" customFormat="1" ht="13" x14ac:dyDescent="0.15"/>
    <row r="6067" customFormat="1" ht="13" x14ac:dyDescent="0.15"/>
    <row r="6068" customFormat="1" ht="13" x14ac:dyDescent="0.15"/>
    <row r="6069" customFormat="1" ht="13" x14ac:dyDescent="0.15"/>
    <row r="6070" customFormat="1" ht="13" x14ac:dyDescent="0.15"/>
    <row r="6071" customFormat="1" ht="13" x14ac:dyDescent="0.15"/>
    <row r="6072" customFormat="1" ht="13" x14ac:dyDescent="0.15"/>
    <row r="6073" customFormat="1" ht="13" x14ac:dyDescent="0.15"/>
    <row r="6074" customFormat="1" ht="13" x14ac:dyDescent="0.15"/>
    <row r="6075" customFormat="1" ht="13" x14ac:dyDescent="0.15"/>
    <row r="6076" customFormat="1" ht="13" x14ac:dyDescent="0.15"/>
    <row r="6077" customFormat="1" ht="13" x14ac:dyDescent="0.15"/>
    <row r="6078" customFormat="1" ht="13" x14ac:dyDescent="0.15"/>
    <row r="6079" customFormat="1" ht="13" x14ac:dyDescent="0.15"/>
    <row r="6080" customFormat="1" ht="13" x14ac:dyDescent="0.15"/>
    <row r="6081" customFormat="1" ht="13" x14ac:dyDescent="0.15"/>
    <row r="6082" customFormat="1" ht="13" x14ac:dyDescent="0.15"/>
    <row r="6083" customFormat="1" ht="13" x14ac:dyDescent="0.15"/>
    <row r="6084" customFormat="1" ht="13" x14ac:dyDescent="0.15"/>
    <row r="6085" customFormat="1" ht="13" x14ac:dyDescent="0.15"/>
    <row r="6086" customFormat="1" ht="13" x14ac:dyDescent="0.15"/>
    <row r="6087" customFormat="1" ht="13" x14ac:dyDescent="0.15"/>
    <row r="6088" customFormat="1" ht="13" x14ac:dyDescent="0.15"/>
    <row r="6089" customFormat="1" ht="13" x14ac:dyDescent="0.15"/>
    <row r="6090" customFormat="1" ht="13" x14ac:dyDescent="0.15"/>
    <row r="6091" customFormat="1" ht="13" x14ac:dyDescent="0.15"/>
    <row r="6092" customFormat="1" ht="13" x14ac:dyDescent="0.15"/>
    <row r="6093" customFormat="1" ht="13" x14ac:dyDescent="0.15"/>
    <row r="6094" customFormat="1" ht="13" x14ac:dyDescent="0.15"/>
    <row r="6095" customFormat="1" ht="13" x14ac:dyDescent="0.15"/>
    <row r="6096" customFormat="1" ht="13" x14ac:dyDescent="0.15"/>
    <row r="6097" customFormat="1" ht="13" x14ac:dyDescent="0.15"/>
    <row r="6098" customFormat="1" ht="13" x14ac:dyDescent="0.15"/>
    <row r="6099" customFormat="1" ht="13" x14ac:dyDescent="0.15"/>
    <row r="6100" customFormat="1" ht="13" x14ac:dyDescent="0.15"/>
    <row r="6101" customFormat="1" ht="13" x14ac:dyDescent="0.15"/>
    <row r="6102" customFormat="1" ht="13" x14ac:dyDescent="0.15"/>
    <row r="6103" customFormat="1" ht="13" x14ac:dyDescent="0.15"/>
    <row r="6104" customFormat="1" ht="13" x14ac:dyDescent="0.15"/>
    <row r="6105" customFormat="1" ht="13" x14ac:dyDescent="0.15"/>
    <row r="6106" customFormat="1" ht="13" x14ac:dyDescent="0.15"/>
    <row r="6107" customFormat="1" ht="13" x14ac:dyDescent="0.15"/>
    <row r="6108" customFormat="1" ht="13" x14ac:dyDescent="0.15"/>
    <row r="6109" customFormat="1" ht="13" x14ac:dyDescent="0.15"/>
    <row r="6110" customFormat="1" ht="13" x14ac:dyDescent="0.15"/>
    <row r="6111" customFormat="1" ht="13" x14ac:dyDescent="0.15"/>
    <row r="6112" customFormat="1" ht="13" x14ac:dyDescent="0.15"/>
    <row r="6113" customFormat="1" ht="13" x14ac:dyDescent="0.15"/>
    <row r="6114" customFormat="1" ht="13" x14ac:dyDescent="0.15"/>
    <row r="6115" customFormat="1" ht="13" x14ac:dyDescent="0.15"/>
    <row r="6116" customFormat="1" ht="13" x14ac:dyDescent="0.15"/>
    <row r="6117" customFormat="1" ht="13" x14ac:dyDescent="0.15"/>
    <row r="6118" customFormat="1" ht="13" x14ac:dyDescent="0.15"/>
    <row r="6119" customFormat="1" ht="13" x14ac:dyDescent="0.15"/>
    <row r="6120" customFormat="1" ht="13" x14ac:dyDescent="0.15"/>
    <row r="6121" customFormat="1" ht="13" x14ac:dyDescent="0.15"/>
    <row r="6122" customFormat="1" ht="13" x14ac:dyDescent="0.15"/>
    <row r="6123" customFormat="1" ht="13" x14ac:dyDescent="0.15"/>
    <row r="6124" customFormat="1" ht="13" x14ac:dyDescent="0.15"/>
    <row r="6125" customFormat="1" ht="13" x14ac:dyDescent="0.15"/>
    <row r="6126" customFormat="1" ht="13" x14ac:dyDescent="0.15"/>
    <row r="6127" customFormat="1" ht="13" x14ac:dyDescent="0.15"/>
    <row r="6128" customFormat="1" ht="13" x14ac:dyDescent="0.15"/>
    <row r="6129" customFormat="1" ht="13" x14ac:dyDescent="0.15"/>
    <row r="6130" customFormat="1" ht="13" x14ac:dyDescent="0.15"/>
    <row r="6131" customFormat="1" ht="13" x14ac:dyDescent="0.15"/>
    <row r="6132" customFormat="1" ht="13" x14ac:dyDescent="0.15"/>
    <row r="6133" customFormat="1" ht="13" x14ac:dyDescent="0.15"/>
    <row r="6134" customFormat="1" ht="13" x14ac:dyDescent="0.15"/>
    <row r="6135" customFormat="1" ht="13" x14ac:dyDescent="0.15"/>
    <row r="6136" customFormat="1" ht="13" x14ac:dyDescent="0.15"/>
    <row r="6137" customFormat="1" ht="13" x14ac:dyDescent="0.15"/>
    <row r="6138" customFormat="1" ht="13" x14ac:dyDescent="0.15"/>
    <row r="6139" customFormat="1" ht="13" x14ac:dyDescent="0.15"/>
    <row r="6140" customFormat="1" ht="13" x14ac:dyDescent="0.15"/>
    <row r="6141" customFormat="1" ht="13" x14ac:dyDescent="0.15"/>
    <row r="6142" customFormat="1" ht="13" x14ac:dyDescent="0.15"/>
    <row r="6143" customFormat="1" ht="13" x14ac:dyDescent="0.15"/>
    <row r="6144" customFormat="1" ht="13" x14ac:dyDescent="0.15"/>
    <row r="6145" customFormat="1" ht="13" x14ac:dyDescent="0.15"/>
    <row r="6146" customFormat="1" ht="13" x14ac:dyDescent="0.15"/>
    <row r="6147" customFormat="1" ht="13" x14ac:dyDescent="0.15"/>
    <row r="6148" customFormat="1" ht="13" x14ac:dyDescent="0.15"/>
    <row r="6149" customFormat="1" ht="13" x14ac:dyDescent="0.15"/>
    <row r="6150" customFormat="1" ht="13" x14ac:dyDescent="0.15"/>
    <row r="6151" customFormat="1" ht="13" x14ac:dyDescent="0.15"/>
    <row r="6152" customFormat="1" ht="13" x14ac:dyDescent="0.15"/>
    <row r="6153" customFormat="1" ht="13" x14ac:dyDescent="0.15"/>
    <row r="6154" customFormat="1" ht="13" x14ac:dyDescent="0.15"/>
    <row r="6155" customFormat="1" ht="13" x14ac:dyDescent="0.15"/>
    <row r="6156" customFormat="1" ht="13" x14ac:dyDescent="0.15"/>
    <row r="6157" customFormat="1" ht="13" x14ac:dyDescent="0.15"/>
    <row r="6158" customFormat="1" ht="13" x14ac:dyDescent="0.15"/>
    <row r="6159" customFormat="1" ht="13" x14ac:dyDescent="0.15"/>
    <row r="6160" customFormat="1" ht="13" x14ac:dyDescent="0.15"/>
    <row r="6161" customFormat="1" ht="13" x14ac:dyDescent="0.15"/>
    <row r="6162" customFormat="1" ht="13" x14ac:dyDescent="0.15"/>
    <row r="6163" customFormat="1" ht="13" x14ac:dyDescent="0.15"/>
    <row r="6164" customFormat="1" ht="13" x14ac:dyDescent="0.15"/>
    <row r="6165" customFormat="1" ht="13" x14ac:dyDescent="0.15"/>
    <row r="6166" customFormat="1" ht="13" x14ac:dyDescent="0.15"/>
    <row r="6167" customFormat="1" ht="13" x14ac:dyDescent="0.15"/>
    <row r="6168" customFormat="1" ht="13" x14ac:dyDescent="0.15"/>
    <row r="6169" customFormat="1" ht="13" x14ac:dyDescent="0.15"/>
    <row r="6170" customFormat="1" ht="13" x14ac:dyDescent="0.15"/>
    <row r="6171" customFormat="1" ht="13" x14ac:dyDescent="0.15"/>
    <row r="6172" customFormat="1" ht="13" x14ac:dyDescent="0.15"/>
    <row r="6173" customFormat="1" ht="13" x14ac:dyDescent="0.15"/>
    <row r="6174" customFormat="1" ht="13" x14ac:dyDescent="0.15"/>
    <row r="6175" customFormat="1" ht="13" x14ac:dyDescent="0.15"/>
    <row r="6176" customFormat="1" ht="13" x14ac:dyDescent="0.15"/>
    <row r="6177" customFormat="1" ht="13" x14ac:dyDescent="0.15"/>
    <row r="6178" customFormat="1" ht="13" x14ac:dyDescent="0.15"/>
    <row r="6179" customFormat="1" ht="13" x14ac:dyDescent="0.15"/>
    <row r="6180" customFormat="1" ht="13" x14ac:dyDescent="0.15"/>
    <row r="6181" customFormat="1" ht="13" x14ac:dyDescent="0.15"/>
    <row r="6182" customFormat="1" ht="13" x14ac:dyDescent="0.15"/>
    <row r="6183" customFormat="1" ht="13" x14ac:dyDescent="0.15"/>
    <row r="6184" customFormat="1" ht="13" x14ac:dyDescent="0.15"/>
    <row r="6185" customFormat="1" ht="13" x14ac:dyDescent="0.15"/>
    <row r="6186" customFormat="1" ht="13" x14ac:dyDescent="0.15"/>
    <row r="6187" customFormat="1" ht="13" x14ac:dyDescent="0.15"/>
    <row r="6188" customFormat="1" ht="13" x14ac:dyDescent="0.15"/>
    <row r="6189" customFormat="1" ht="13" x14ac:dyDescent="0.15"/>
    <row r="6190" customFormat="1" ht="13" x14ac:dyDescent="0.15"/>
    <row r="6191" customFormat="1" ht="13" x14ac:dyDescent="0.15"/>
    <row r="6192" customFormat="1" ht="13" x14ac:dyDescent="0.15"/>
    <row r="6193" customFormat="1" ht="13" x14ac:dyDescent="0.15"/>
    <row r="6194" customFormat="1" ht="13" x14ac:dyDescent="0.15"/>
    <row r="6195" customFormat="1" ht="13" x14ac:dyDescent="0.15"/>
    <row r="6196" customFormat="1" ht="13" x14ac:dyDescent="0.15"/>
    <row r="6197" customFormat="1" ht="13" x14ac:dyDescent="0.15"/>
    <row r="6198" customFormat="1" ht="13" x14ac:dyDescent="0.15"/>
    <row r="6199" customFormat="1" ht="13" x14ac:dyDescent="0.15"/>
    <row r="6200" customFormat="1" ht="13" x14ac:dyDescent="0.15"/>
    <row r="6201" customFormat="1" ht="13" x14ac:dyDescent="0.15"/>
    <row r="6202" customFormat="1" ht="13" x14ac:dyDescent="0.15"/>
    <row r="6203" customFormat="1" ht="13" x14ac:dyDescent="0.15"/>
    <row r="6204" customFormat="1" ht="13" x14ac:dyDescent="0.15"/>
    <row r="6205" customFormat="1" ht="13" x14ac:dyDescent="0.15"/>
    <row r="6206" customFormat="1" ht="13" x14ac:dyDescent="0.15"/>
    <row r="6207" customFormat="1" ht="13" x14ac:dyDescent="0.15"/>
    <row r="6208" customFormat="1" ht="13" x14ac:dyDescent="0.15"/>
    <row r="6209" customFormat="1" ht="13" x14ac:dyDescent="0.15"/>
    <row r="6210" customFormat="1" ht="13" x14ac:dyDescent="0.15"/>
    <row r="6211" customFormat="1" ht="13" x14ac:dyDescent="0.15"/>
    <row r="6212" customFormat="1" ht="13" x14ac:dyDescent="0.15"/>
    <row r="6213" customFormat="1" ht="13" x14ac:dyDescent="0.15"/>
    <row r="6214" customFormat="1" ht="13" x14ac:dyDescent="0.15"/>
    <row r="6215" customFormat="1" ht="13" x14ac:dyDescent="0.15"/>
    <row r="6216" customFormat="1" ht="13" x14ac:dyDescent="0.15"/>
    <row r="6217" customFormat="1" ht="13" x14ac:dyDescent="0.15"/>
    <row r="6218" customFormat="1" ht="13" x14ac:dyDescent="0.15"/>
    <row r="6219" customFormat="1" ht="13" x14ac:dyDescent="0.15"/>
    <row r="6220" customFormat="1" ht="13" x14ac:dyDescent="0.15"/>
    <row r="6221" customFormat="1" ht="13" x14ac:dyDescent="0.15"/>
    <row r="6222" customFormat="1" ht="13" x14ac:dyDescent="0.15"/>
    <row r="6223" customFormat="1" ht="13" x14ac:dyDescent="0.15"/>
    <row r="6224" customFormat="1" ht="13" x14ac:dyDescent="0.15"/>
    <row r="6225" customFormat="1" ht="13" x14ac:dyDescent="0.15"/>
    <row r="6226" customFormat="1" ht="13" x14ac:dyDescent="0.15"/>
    <row r="6227" customFormat="1" ht="13" x14ac:dyDescent="0.15"/>
    <row r="6228" customFormat="1" ht="13" x14ac:dyDescent="0.15"/>
    <row r="6229" customFormat="1" ht="13" x14ac:dyDescent="0.15"/>
    <row r="6230" customFormat="1" ht="13" x14ac:dyDescent="0.15"/>
    <row r="6231" customFormat="1" ht="13" x14ac:dyDescent="0.15"/>
    <row r="6232" customFormat="1" ht="13" x14ac:dyDescent="0.15"/>
    <row r="6233" customFormat="1" ht="13" x14ac:dyDescent="0.15"/>
    <row r="6234" customFormat="1" ht="13" x14ac:dyDescent="0.15"/>
    <row r="6235" customFormat="1" ht="13" x14ac:dyDescent="0.15"/>
    <row r="6236" customFormat="1" ht="13" x14ac:dyDescent="0.15"/>
    <row r="6237" customFormat="1" ht="13" x14ac:dyDescent="0.15"/>
    <row r="6238" customFormat="1" ht="13" x14ac:dyDescent="0.15"/>
    <row r="6239" customFormat="1" ht="13" x14ac:dyDescent="0.15"/>
    <row r="6240" customFormat="1" ht="13" x14ac:dyDescent="0.15"/>
    <row r="6241" customFormat="1" ht="13" x14ac:dyDescent="0.15"/>
    <row r="6242" customFormat="1" ht="13" x14ac:dyDescent="0.15"/>
    <row r="6243" customFormat="1" ht="13" x14ac:dyDescent="0.15"/>
    <row r="6244" customFormat="1" ht="13" x14ac:dyDescent="0.15"/>
    <row r="6245" customFormat="1" ht="13" x14ac:dyDescent="0.15"/>
    <row r="6246" customFormat="1" ht="13" x14ac:dyDescent="0.15"/>
    <row r="6247" customFormat="1" ht="13" x14ac:dyDescent="0.15"/>
    <row r="6248" customFormat="1" ht="13" x14ac:dyDescent="0.15"/>
    <row r="6249" customFormat="1" ht="13" x14ac:dyDescent="0.15"/>
    <row r="6250" customFormat="1" ht="13" x14ac:dyDescent="0.15"/>
    <row r="6251" customFormat="1" ht="13" x14ac:dyDescent="0.15"/>
    <row r="6252" customFormat="1" ht="13" x14ac:dyDescent="0.15"/>
    <row r="6253" customFormat="1" ht="13" x14ac:dyDescent="0.15"/>
    <row r="6254" customFormat="1" ht="13" x14ac:dyDescent="0.15"/>
    <row r="6255" customFormat="1" ht="13" x14ac:dyDescent="0.15"/>
    <row r="6256" customFormat="1" ht="13" x14ac:dyDescent="0.15"/>
    <row r="6257" customFormat="1" ht="13" x14ac:dyDescent="0.15"/>
    <row r="6258" customFormat="1" ht="13" x14ac:dyDescent="0.15"/>
    <row r="6259" customFormat="1" ht="13" x14ac:dyDescent="0.15"/>
    <row r="6260" customFormat="1" ht="13" x14ac:dyDescent="0.15"/>
    <row r="6261" customFormat="1" ht="13" x14ac:dyDescent="0.15"/>
    <row r="6262" customFormat="1" ht="13" x14ac:dyDescent="0.15"/>
    <row r="6263" customFormat="1" ht="13" x14ac:dyDescent="0.15"/>
    <row r="6264" customFormat="1" ht="13" x14ac:dyDescent="0.15"/>
    <row r="6265" customFormat="1" ht="13" x14ac:dyDescent="0.15"/>
    <row r="6266" customFormat="1" ht="13" x14ac:dyDescent="0.15"/>
    <row r="6267" customFormat="1" ht="13" x14ac:dyDescent="0.15"/>
    <row r="6268" customFormat="1" ht="13" x14ac:dyDescent="0.15"/>
    <row r="6269" customFormat="1" ht="13" x14ac:dyDescent="0.15"/>
    <row r="6270" customFormat="1" ht="13" x14ac:dyDescent="0.15"/>
    <row r="6271" customFormat="1" ht="13" x14ac:dyDescent="0.15"/>
    <row r="6272" customFormat="1" ht="13" x14ac:dyDescent="0.15"/>
    <row r="6273" customFormat="1" ht="13" x14ac:dyDescent="0.15"/>
    <row r="6274" customFormat="1" ht="13" x14ac:dyDescent="0.15"/>
    <row r="6275" customFormat="1" ht="13" x14ac:dyDescent="0.15"/>
    <row r="6276" customFormat="1" ht="13" x14ac:dyDescent="0.15"/>
    <row r="6277" customFormat="1" ht="13" x14ac:dyDescent="0.15"/>
    <row r="6278" customFormat="1" ht="13" x14ac:dyDescent="0.15"/>
    <row r="6279" customFormat="1" ht="13" x14ac:dyDescent="0.15"/>
    <row r="6280" customFormat="1" ht="13" x14ac:dyDescent="0.15"/>
    <row r="6281" customFormat="1" ht="13" x14ac:dyDescent="0.15"/>
    <row r="6282" customFormat="1" ht="13" x14ac:dyDescent="0.15"/>
    <row r="6283" customFormat="1" ht="13" x14ac:dyDescent="0.15"/>
    <row r="6284" customFormat="1" ht="13" x14ac:dyDescent="0.15"/>
    <row r="6285" customFormat="1" ht="13" x14ac:dyDescent="0.15"/>
    <row r="6286" customFormat="1" ht="13" x14ac:dyDescent="0.15"/>
    <row r="6287" customFormat="1" ht="13" x14ac:dyDescent="0.15"/>
    <row r="6288" customFormat="1" ht="13" x14ac:dyDescent="0.15"/>
    <row r="6289" customFormat="1" ht="13" x14ac:dyDescent="0.15"/>
    <row r="6290" customFormat="1" ht="13" x14ac:dyDescent="0.15"/>
    <row r="6291" customFormat="1" ht="13" x14ac:dyDescent="0.15"/>
    <row r="6292" customFormat="1" ht="13" x14ac:dyDescent="0.15"/>
    <row r="6293" customFormat="1" ht="13" x14ac:dyDescent="0.15"/>
    <row r="6294" customFormat="1" ht="13" x14ac:dyDescent="0.15"/>
    <row r="6295" customFormat="1" ht="13" x14ac:dyDescent="0.15"/>
    <row r="6296" customFormat="1" ht="13" x14ac:dyDescent="0.15"/>
    <row r="6297" customFormat="1" ht="13" x14ac:dyDescent="0.15"/>
    <row r="6298" customFormat="1" ht="13" x14ac:dyDescent="0.15"/>
    <row r="6299" customFormat="1" ht="13" x14ac:dyDescent="0.15"/>
    <row r="6300" customFormat="1" ht="13" x14ac:dyDescent="0.15"/>
    <row r="6301" customFormat="1" ht="13" x14ac:dyDescent="0.15"/>
    <row r="6302" customFormat="1" ht="13" x14ac:dyDescent="0.15"/>
    <row r="6303" customFormat="1" ht="13" x14ac:dyDescent="0.15"/>
    <row r="6304" customFormat="1" ht="13" x14ac:dyDescent="0.15"/>
    <row r="6305" customFormat="1" ht="13" x14ac:dyDescent="0.15"/>
    <row r="6306" customFormat="1" ht="13" x14ac:dyDescent="0.15"/>
    <row r="6307" customFormat="1" ht="13" x14ac:dyDescent="0.15"/>
    <row r="6308" customFormat="1" ht="13" x14ac:dyDescent="0.15"/>
    <row r="6309" customFormat="1" ht="13" x14ac:dyDescent="0.15"/>
    <row r="6310" customFormat="1" ht="13" x14ac:dyDescent="0.15"/>
    <row r="6311" customFormat="1" ht="13" x14ac:dyDescent="0.15"/>
    <row r="6312" customFormat="1" ht="13" x14ac:dyDescent="0.15"/>
    <row r="6313" customFormat="1" ht="13" x14ac:dyDescent="0.15"/>
    <row r="6314" customFormat="1" ht="13" x14ac:dyDescent="0.15"/>
    <row r="6315" customFormat="1" ht="13" x14ac:dyDescent="0.15"/>
    <row r="6316" customFormat="1" ht="13" x14ac:dyDescent="0.15"/>
    <row r="6317" customFormat="1" ht="13" x14ac:dyDescent="0.15"/>
    <row r="6318" customFormat="1" ht="13" x14ac:dyDescent="0.15"/>
    <row r="6319" customFormat="1" ht="13" x14ac:dyDescent="0.15"/>
    <row r="6320" customFormat="1" ht="13" x14ac:dyDescent="0.15"/>
    <row r="6321" customFormat="1" ht="13" x14ac:dyDescent="0.15"/>
    <row r="6322" customFormat="1" ht="13" x14ac:dyDescent="0.15"/>
    <row r="6323" customFormat="1" ht="13" x14ac:dyDescent="0.15"/>
    <row r="6324" customFormat="1" ht="13" x14ac:dyDescent="0.15"/>
    <row r="6325" customFormat="1" ht="13" x14ac:dyDescent="0.15"/>
    <row r="6326" customFormat="1" ht="13" x14ac:dyDescent="0.15"/>
    <row r="6327" customFormat="1" ht="13" x14ac:dyDescent="0.15"/>
    <row r="6328" customFormat="1" ht="13" x14ac:dyDescent="0.15"/>
    <row r="6329" customFormat="1" ht="13" x14ac:dyDescent="0.15"/>
    <row r="6330" customFormat="1" ht="13" x14ac:dyDescent="0.15"/>
    <row r="6331" customFormat="1" ht="13" x14ac:dyDescent="0.15"/>
    <row r="6332" customFormat="1" ht="13" x14ac:dyDescent="0.15"/>
    <row r="6333" customFormat="1" ht="13" x14ac:dyDescent="0.15"/>
    <row r="6334" customFormat="1" ht="13" x14ac:dyDescent="0.15"/>
    <row r="6335" customFormat="1" ht="13" x14ac:dyDescent="0.15"/>
    <row r="6336" customFormat="1" ht="13" x14ac:dyDescent="0.15"/>
    <row r="6337" customFormat="1" ht="13" x14ac:dyDescent="0.15"/>
    <row r="6338" customFormat="1" ht="13" x14ac:dyDescent="0.15"/>
    <row r="6339" customFormat="1" ht="13" x14ac:dyDescent="0.15"/>
    <row r="6340" customFormat="1" ht="13" x14ac:dyDescent="0.15"/>
    <row r="6341" customFormat="1" ht="13" x14ac:dyDescent="0.15"/>
    <row r="6342" customFormat="1" ht="13" x14ac:dyDescent="0.15"/>
    <row r="6343" customFormat="1" ht="13" x14ac:dyDescent="0.15"/>
    <row r="6344" customFormat="1" ht="13" x14ac:dyDescent="0.15"/>
    <row r="6345" customFormat="1" ht="13" x14ac:dyDescent="0.15"/>
    <row r="6346" customFormat="1" ht="13" x14ac:dyDescent="0.15"/>
    <row r="6347" customFormat="1" ht="13" x14ac:dyDescent="0.15"/>
    <row r="6348" customFormat="1" ht="13" x14ac:dyDescent="0.15"/>
    <row r="6349" customFormat="1" ht="13" x14ac:dyDescent="0.15"/>
    <row r="6350" customFormat="1" ht="13" x14ac:dyDescent="0.15"/>
    <row r="6351" customFormat="1" ht="13" x14ac:dyDescent="0.15"/>
    <row r="6352" customFormat="1" ht="13" x14ac:dyDescent="0.15"/>
    <row r="6353" customFormat="1" ht="13" x14ac:dyDescent="0.15"/>
    <row r="6354" customFormat="1" ht="13" x14ac:dyDescent="0.15"/>
    <row r="6355" customFormat="1" ht="13" x14ac:dyDescent="0.15"/>
    <row r="6356" customFormat="1" ht="13" x14ac:dyDescent="0.15"/>
    <row r="6357" customFormat="1" ht="13" x14ac:dyDescent="0.15"/>
    <row r="6358" customFormat="1" ht="13" x14ac:dyDescent="0.15"/>
    <row r="6359" customFormat="1" ht="13" x14ac:dyDescent="0.15"/>
    <row r="6360" customFormat="1" ht="13" x14ac:dyDescent="0.15"/>
    <row r="6361" customFormat="1" ht="13" x14ac:dyDescent="0.15"/>
    <row r="6362" customFormat="1" ht="13" x14ac:dyDescent="0.15"/>
    <row r="6363" customFormat="1" ht="13" x14ac:dyDescent="0.15"/>
    <row r="6364" customFormat="1" ht="13" x14ac:dyDescent="0.15"/>
    <row r="6365" customFormat="1" ht="13" x14ac:dyDescent="0.15"/>
    <row r="6366" customFormat="1" ht="13" x14ac:dyDescent="0.15"/>
    <row r="6367" customFormat="1" ht="13" x14ac:dyDescent="0.15"/>
    <row r="6368" customFormat="1" ht="13" x14ac:dyDescent="0.15"/>
    <row r="6369" customFormat="1" ht="13" x14ac:dyDescent="0.15"/>
    <row r="6370" customFormat="1" ht="13" x14ac:dyDescent="0.15"/>
    <row r="6371" customFormat="1" ht="13" x14ac:dyDescent="0.15"/>
    <row r="6372" customFormat="1" ht="13" x14ac:dyDescent="0.15"/>
    <row r="6373" customFormat="1" ht="13" x14ac:dyDescent="0.15"/>
    <row r="6374" customFormat="1" ht="13" x14ac:dyDescent="0.15"/>
    <row r="6375" customFormat="1" ht="13" x14ac:dyDescent="0.15"/>
    <row r="6376" customFormat="1" ht="13" x14ac:dyDescent="0.15"/>
    <row r="6377" customFormat="1" ht="13" x14ac:dyDescent="0.15"/>
    <row r="6378" customFormat="1" ht="13" x14ac:dyDescent="0.15"/>
    <row r="6379" customFormat="1" ht="13" x14ac:dyDescent="0.15"/>
    <row r="6380" customFormat="1" ht="13" x14ac:dyDescent="0.15"/>
    <row r="6381" customFormat="1" ht="13" x14ac:dyDescent="0.15"/>
    <row r="6382" customFormat="1" ht="13" x14ac:dyDescent="0.15"/>
    <row r="6383" customFormat="1" ht="13" x14ac:dyDescent="0.15"/>
    <row r="6384" customFormat="1" ht="13" x14ac:dyDescent="0.15"/>
    <row r="6385" customFormat="1" ht="13" x14ac:dyDescent="0.15"/>
    <row r="6386" customFormat="1" ht="13" x14ac:dyDescent="0.15"/>
    <row r="6387" customFormat="1" ht="13" x14ac:dyDescent="0.15"/>
    <row r="6388" customFormat="1" ht="13" x14ac:dyDescent="0.15"/>
    <row r="6389" customFormat="1" ht="13" x14ac:dyDescent="0.15"/>
    <row r="6390" customFormat="1" ht="13" x14ac:dyDescent="0.15"/>
    <row r="6391" customFormat="1" ht="13" x14ac:dyDescent="0.15"/>
    <row r="6392" customFormat="1" ht="13" x14ac:dyDescent="0.15"/>
    <row r="6393" customFormat="1" ht="13" x14ac:dyDescent="0.15"/>
    <row r="6394" customFormat="1" ht="13" x14ac:dyDescent="0.15"/>
    <row r="6395" customFormat="1" ht="13" x14ac:dyDescent="0.15"/>
    <row r="6396" customFormat="1" ht="13" x14ac:dyDescent="0.15"/>
    <row r="6397" customFormat="1" ht="13" x14ac:dyDescent="0.15"/>
    <row r="6398" customFormat="1" ht="13" x14ac:dyDescent="0.15"/>
    <row r="6399" customFormat="1" ht="13" x14ac:dyDescent="0.15"/>
    <row r="6400" customFormat="1" ht="13" x14ac:dyDescent="0.15"/>
    <row r="6401" customFormat="1" ht="13" x14ac:dyDescent="0.15"/>
    <row r="6402" customFormat="1" ht="13" x14ac:dyDescent="0.15"/>
    <row r="6403" customFormat="1" ht="13" x14ac:dyDescent="0.15"/>
    <row r="6404" customFormat="1" ht="13" x14ac:dyDescent="0.15"/>
    <row r="6405" customFormat="1" ht="13" x14ac:dyDescent="0.15"/>
    <row r="6406" customFormat="1" ht="13" x14ac:dyDescent="0.15"/>
    <row r="6407" customFormat="1" ht="13" x14ac:dyDescent="0.15"/>
    <row r="6408" customFormat="1" ht="13" x14ac:dyDescent="0.15"/>
    <row r="6409" customFormat="1" ht="13" x14ac:dyDescent="0.15"/>
    <row r="6410" customFormat="1" ht="13" x14ac:dyDescent="0.15"/>
    <row r="6411" customFormat="1" ht="13" x14ac:dyDescent="0.15"/>
    <row r="6412" customFormat="1" ht="13" x14ac:dyDescent="0.15"/>
    <row r="6413" customFormat="1" ht="13" x14ac:dyDescent="0.15"/>
    <row r="6414" customFormat="1" ht="13" x14ac:dyDescent="0.15"/>
    <row r="6415" customFormat="1" ht="13" x14ac:dyDescent="0.15"/>
    <row r="6416" customFormat="1" ht="13" x14ac:dyDescent="0.15"/>
    <row r="6417" customFormat="1" ht="13" x14ac:dyDescent="0.15"/>
    <row r="6418" customFormat="1" ht="13" x14ac:dyDescent="0.15"/>
    <row r="6419" customFormat="1" ht="13" x14ac:dyDescent="0.15"/>
    <row r="6420" customFormat="1" ht="13" x14ac:dyDescent="0.15"/>
    <row r="6421" customFormat="1" ht="13" x14ac:dyDescent="0.15"/>
    <row r="6422" customFormat="1" ht="13" x14ac:dyDescent="0.15"/>
    <row r="6423" customFormat="1" ht="13" x14ac:dyDescent="0.15"/>
    <row r="6424" customFormat="1" ht="13" x14ac:dyDescent="0.15"/>
    <row r="6425" customFormat="1" ht="13" x14ac:dyDescent="0.15"/>
    <row r="6426" customFormat="1" ht="13" x14ac:dyDescent="0.15"/>
    <row r="6427" customFormat="1" ht="13" x14ac:dyDescent="0.15"/>
    <row r="6428" customFormat="1" ht="13" x14ac:dyDescent="0.15"/>
    <row r="6429" customFormat="1" ht="13" x14ac:dyDescent="0.15"/>
    <row r="6430" customFormat="1" ht="13" x14ac:dyDescent="0.15"/>
    <row r="6431" customFormat="1" ht="13" x14ac:dyDescent="0.15"/>
    <row r="6432" customFormat="1" ht="13" x14ac:dyDescent="0.15"/>
    <row r="6433" customFormat="1" ht="13" x14ac:dyDescent="0.15"/>
    <row r="6434" customFormat="1" ht="13" x14ac:dyDescent="0.15"/>
    <row r="6435" customFormat="1" ht="13" x14ac:dyDescent="0.15"/>
    <row r="6436" customFormat="1" ht="13" x14ac:dyDescent="0.15"/>
    <row r="6437" customFormat="1" ht="13" x14ac:dyDescent="0.15"/>
    <row r="6438" customFormat="1" ht="13" x14ac:dyDescent="0.15"/>
    <row r="6439" customFormat="1" ht="13" x14ac:dyDescent="0.15"/>
    <row r="6440" customFormat="1" ht="13" x14ac:dyDescent="0.15"/>
    <row r="6441" customFormat="1" ht="13" x14ac:dyDescent="0.15"/>
    <row r="6442" customFormat="1" ht="13" x14ac:dyDescent="0.15"/>
    <row r="6443" customFormat="1" ht="13" x14ac:dyDescent="0.15"/>
    <row r="6444" customFormat="1" ht="13" x14ac:dyDescent="0.15"/>
    <row r="6445" customFormat="1" ht="13" x14ac:dyDescent="0.15"/>
    <row r="6446" customFormat="1" ht="13" x14ac:dyDescent="0.15"/>
    <row r="6447" customFormat="1" ht="13" x14ac:dyDescent="0.15"/>
    <row r="6448" customFormat="1" ht="13" x14ac:dyDescent="0.15"/>
    <row r="6449" customFormat="1" ht="13" x14ac:dyDescent="0.15"/>
    <row r="6450" customFormat="1" ht="13" x14ac:dyDescent="0.15"/>
    <row r="6451" customFormat="1" ht="13" x14ac:dyDescent="0.15"/>
    <row r="6452" customFormat="1" ht="13" x14ac:dyDescent="0.15"/>
    <row r="6453" customFormat="1" ht="13" x14ac:dyDescent="0.15"/>
    <row r="6454" customFormat="1" ht="13" x14ac:dyDescent="0.15"/>
    <row r="6455" customFormat="1" ht="13" x14ac:dyDescent="0.15"/>
    <row r="6456" customFormat="1" ht="13" x14ac:dyDescent="0.15"/>
    <row r="6457" customFormat="1" ht="13" x14ac:dyDescent="0.15"/>
    <row r="6458" customFormat="1" ht="13" x14ac:dyDescent="0.15"/>
    <row r="6459" customFormat="1" ht="13" x14ac:dyDescent="0.15"/>
    <row r="6460" customFormat="1" ht="13" x14ac:dyDescent="0.15"/>
    <row r="6461" customFormat="1" ht="13" x14ac:dyDescent="0.15"/>
    <row r="6462" customFormat="1" ht="13" x14ac:dyDescent="0.15"/>
    <row r="6463" customFormat="1" ht="13" x14ac:dyDescent="0.15"/>
    <row r="6464" customFormat="1" ht="13" x14ac:dyDescent="0.15"/>
    <row r="6465" customFormat="1" ht="13" x14ac:dyDescent="0.15"/>
    <row r="6466" customFormat="1" ht="13" x14ac:dyDescent="0.15"/>
    <row r="6467" customFormat="1" ht="13" x14ac:dyDescent="0.15"/>
    <row r="6468" customFormat="1" ht="13" x14ac:dyDescent="0.15"/>
    <row r="6469" customFormat="1" ht="13" x14ac:dyDescent="0.15"/>
    <row r="6470" customFormat="1" ht="13" x14ac:dyDescent="0.15"/>
    <row r="6471" customFormat="1" ht="13" x14ac:dyDescent="0.15"/>
    <row r="6472" customFormat="1" ht="13" x14ac:dyDescent="0.15"/>
    <row r="6473" customFormat="1" ht="13" x14ac:dyDescent="0.15"/>
    <row r="6474" customFormat="1" ht="13" x14ac:dyDescent="0.15"/>
    <row r="6475" customFormat="1" ht="13" x14ac:dyDescent="0.15"/>
    <row r="6476" customFormat="1" ht="13" x14ac:dyDescent="0.15"/>
    <row r="6477" customFormat="1" ht="13" x14ac:dyDescent="0.15"/>
    <row r="6478" customFormat="1" ht="13" x14ac:dyDescent="0.15"/>
    <row r="6479" customFormat="1" ht="13" x14ac:dyDescent="0.15"/>
    <row r="6480" customFormat="1" ht="13" x14ac:dyDescent="0.15"/>
    <row r="6481" customFormat="1" ht="13" x14ac:dyDescent="0.15"/>
    <row r="6482" customFormat="1" ht="13" x14ac:dyDescent="0.15"/>
    <row r="6483" customFormat="1" ht="13" x14ac:dyDescent="0.15"/>
    <row r="6484" customFormat="1" ht="13" x14ac:dyDescent="0.15"/>
    <row r="6485" customFormat="1" ht="13" x14ac:dyDescent="0.15"/>
    <row r="6486" customFormat="1" ht="13" x14ac:dyDescent="0.15"/>
    <row r="6487" customFormat="1" ht="13" x14ac:dyDescent="0.15"/>
    <row r="6488" customFormat="1" ht="13" x14ac:dyDescent="0.15"/>
    <row r="6489" customFormat="1" ht="13" x14ac:dyDescent="0.15"/>
    <row r="6490" customFormat="1" ht="13" x14ac:dyDescent="0.15"/>
    <row r="6491" customFormat="1" ht="13" x14ac:dyDescent="0.15"/>
    <row r="6492" customFormat="1" ht="13" x14ac:dyDescent="0.15"/>
    <row r="6493" customFormat="1" ht="13" x14ac:dyDescent="0.15"/>
    <row r="6494" customFormat="1" ht="13" x14ac:dyDescent="0.15"/>
    <row r="6495" customFormat="1" ht="13" x14ac:dyDescent="0.15"/>
    <row r="6496" customFormat="1" ht="13" x14ac:dyDescent="0.15"/>
    <row r="6497" customFormat="1" ht="13" x14ac:dyDescent="0.15"/>
    <row r="6498" customFormat="1" ht="13" x14ac:dyDescent="0.15"/>
    <row r="6499" customFormat="1" ht="13" x14ac:dyDescent="0.15"/>
    <row r="6500" customFormat="1" ht="13" x14ac:dyDescent="0.15"/>
    <row r="6501" customFormat="1" ht="13" x14ac:dyDescent="0.15"/>
    <row r="6502" customFormat="1" ht="13" x14ac:dyDescent="0.15"/>
    <row r="6503" customFormat="1" ht="13" x14ac:dyDescent="0.15"/>
    <row r="6504" customFormat="1" ht="13" x14ac:dyDescent="0.15"/>
    <row r="6505" customFormat="1" ht="13" x14ac:dyDescent="0.15"/>
    <row r="6506" customFormat="1" ht="13" x14ac:dyDescent="0.15"/>
    <row r="6507" customFormat="1" ht="13" x14ac:dyDescent="0.15"/>
    <row r="6508" customFormat="1" ht="13" x14ac:dyDescent="0.15"/>
    <row r="6509" customFormat="1" ht="13" x14ac:dyDescent="0.15"/>
    <row r="6510" customFormat="1" ht="13" x14ac:dyDescent="0.15"/>
    <row r="6511" customFormat="1" ht="13" x14ac:dyDescent="0.15"/>
    <row r="6512" customFormat="1" ht="13" x14ac:dyDescent="0.15"/>
    <row r="6513" customFormat="1" ht="13" x14ac:dyDescent="0.15"/>
    <row r="6514" customFormat="1" ht="13" x14ac:dyDescent="0.15"/>
    <row r="6515" customFormat="1" ht="13" x14ac:dyDescent="0.15"/>
    <row r="6516" customFormat="1" ht="13" x14ac:dyDescent="0.15"/>
    <row r="6517" customFormat="1" ht="13" x14ac:dyDescent="0.15"/>
    <row r="6518" customFormat="1" ht="13" x14ac:dyDescent="0.15"/>
    <row r="6519" customFormat="1" ht="13" x14ac:dyDescent="0.15"/>
    <row r="6520" customFormat="1" ht="13" x14ac:dyDescent="0.15"/>
    <row r="6521" customFormat="1" ht="13" x14ac:dyDescent="0.15"/>
    <row r="6522" customFormat="1" ht="13" x14ac:dyDescent="0.15"/>
    <row r="6523" customFormat="1" ht="13" x14ac:dyDescent="0.15"/>
    <row r="6524" customFormat="1" ht="13" x14ac:dyDescent="0.15"/>
    <row r="6525" customFormat="1" ht="13" x14ac:dyDescent="0.15"/>
    <row r="6526" customFormat="1" ht="13" x14ac:dyDescent="0.15"/>
    <row r="6527" customFormat="1" ht="13" x14ac:dyDescent="0.15"/>
    <row r="6528" customFormat="1" ht="13" x14ac:dyDescent="0.15"/>
    <row r="6529" customFormat="1" ht="13" x14ac:dyDescent="0.15"/>
    <row r="6530" customFormat="1" ht="13" x14ac:dyDescent="0.15"/>
    <row r="6531" customFormat="1" ht="13" x14ac:dyDescent="0.15"/>
    <row r="6532" customFormat="1" ht="13" x14ac:dyDescent="0.15"/>
    <row r="6533" customFormat="1" ht="13" x14ac:dyDescent="0.15"/>
    <row r="6534" customFormat="1" ht="13" x14ac:dyDescent="0.15"/>
    <row r="6535" customFormat="1" ht="13" x14ac:dyDescent="0.15"/>
    <row r="6536" customFormat="1" ht="13" x14ac:dyDescent="0.15"/>
    <row r="6537" customFormat="1" ht="13" x14ac:dyDescent="0.15"/>
    <row r="6538" customFormat="1" ht="13" x14ac:dyDescent="0.15"/>
    <row r="6539" customFormat="1" ht="13" x14ac:dyDescent="0.15"/>
    <row r="6540" customFormat="1" ht="13" x14ac:dyDescent="0.15"/>
    <row r="6541" customFormat="1" ht="13" x14ac:dyDescent="0.15"/>
    <row r="6542" customFormat="1" ht="13" x14ac:dyDescent="0.15"/>
    <row r="6543" customFormat="1" ht="13" x14ac:dyDescent="0.15"/>
    <row r="6544" customFormat="1" ht="13" x14ac:dyDescent="0.15"/>
    <row r="6545" customFormat="1" ht="13" x14ac:dyDescent="0.15"/>
    <row r="6546" customFormat="1" ht="13" x14ac:dyDescent="0.15"/>
    <row r="6547" customFormat="1" ht="13" x14ac:dyDescent="0.15"/>
    <row r="6548" customFormat="1" ht="13" x14ac:dyDescent="0.15"/>
    <row r="6549" customFormat="1" ht="13" x14ac:dyDescent="0.15"/>
    <row r="6550" customFormat="1" ht="13" x14ac:dyDescent="0.15"/>
    <row r="6551" customFormat="1" ht="13" x14ac:dyDescent="0.15"/>
    <row r="6552" customFormat="1" ht="13" x14ac:dyDescent="0.15"/>
    <row r="6553" customFormat="1" ht="13" x14ac:dyDescent="0.15"/>
    <row r="6554" customFormat="1" ht="13" x14ac:dyDescent="0.15"/>
    <row r="6555" customFormat="1" ht="13" x14ac:dyDescent="0.15"/>
    <row r="6556" customFormat="1" ht="13" x14ac:dyDescent="0.15"/>
    <row r="6557" customFormat="1" ht="13" x14ac:dyDescent="0.15"/>
    <row r="6558" customFormat="1" ht="13" x14ac:dyDescent="0.15"/>
    <row r="6559" customFormat="1" ht="13" x14ac:dyDescent="0.15"/>
    <row r="6560" customFormat="1" ht="13" x14ac:dyDescent="0.15"/>
    <row r="6561" customFormat="1" ht="13" x14ac:dyDescent="0.15"/>
    <row r="6562" customFormat="1" ht="13" x14ac:dyDescent="0.15"/>
    <row r="6563" customFormat="1" ht="13" x14ac:dyDescent="0.15"/>
    <row r="6564" customFormat="1" ht="13" x14ac:dyDescent="0.15"/>
    <row r="6565" customFormat="1" ht="13" x14ac:dyDescent="0.15"/>
    <row r="6566" customFormat="1" ht="13" x14ac:dyDescent="0.15"/>
    <row r="6567" customFormat="1" ht="13" x14ac:dyDescent="0.15"/>
    <row r="6568" customFormat="1" ht="13" x14ac:dyDescent="0.15"/>
    <row r="6569" customFormat="1" ht="13" x14ac:dyDescent="0.15"/>
    <row r="6570" customFormat="1" ht="13" x14ac:dyDescent="0.15"/>
    <row r="6571" customFormat="1" ht="13" x14ac:dyDescent="0.15"/>
    <row r="6572" customFormat="1" ht="13" x14ac:dyDescent="0.15"/>
    <row r="6573" customFormat="1" ht="13" x14ac:dyDescent="0.15"/>
    <row r="6574" customFormat="1" ht="13" x14ac:dyDescent="0.15"/>
    <row r="6575" customFormat="1" ht="13" x14ac:dyDescent="0.15"/>
    <row r="6576" customFormat="1" ht="13" x14ac:dyDescent="0.15"/>
    <row r="6577" customFormat="1" ht="13" x14ac:dyDescent="0.15"/>
    <row r="6578" customFormat="1" ht="13" x14ac:dyDescent="0.15"/>
    <row r="6579" customFormat="1" ht="13" x14ac:dyDescent="0.15"/>
    <row r="6580" customFormat="1" ht="13" x14ac:dyDescent="0.15"/>
    <row r="6581" customFormat="1" ht="13" x14ac:dyDescent="0.15"/>
    <row r="6582" customFormat="1" ht="13" x14ac:dyDescent="0.15"/>
    <row r="6583" customFormat="1" ht="13" x14ac:dyDescent="0.15"/>
    <row r="6584" customFormat="1" ht="13" x14ac:dyDescent="0.15"/>
    <row r="6585" customFormat="1" ht="13" x14ac:dyDescent="0.15"/>
    <row r="6586" customFormat="1" ht="13" x14ac:dyDescent="0.15"/>
    <row r="6587" customFormat="1" ht="13" x14ac:dyDescent="0.15"/>
    <row r="6588" customFormat="1" ht="13" x14ac:dyDescent="0.15"/>
    <row r="6589" customFormat="1" ht="13" x14ac:dyDescent="0.15"/>
    <row r="6590" customFormat="1" ht="13" x14ac:dyDescent="0.15"/>
    <row r="6591" customFormat="1" ht="13" x14ac:dyDescent="0.15"/>
    <row r="6592" customFormat="1" ht="13" x14ac:dyDescent="0.15"/>
    <row r="6593" customFormat="1" ht="13" x14ac:dyDescent="0.15"/>
    <row r="6594" customFormat="1" ht="13" x14ac:dyDescent="0.15"/>
    <row r="6595" customFormat="1" ht="13" x14ac:dyDescent="0.15"/>
    <row r="6596" customFormat="1" ht="13" x14ac:dyDescent="0.15"/>
    <row r="6597" customFormat="1" ht="13" x14ac:dyDescent="0.15"/>
    <row r="6598" customFormat="1" ht="13" x14ac:dyDescent="0.15"/>
    <row r="6599" customFormat="1" ht="13" x14ac:dyDescent="0.15"/>
    <row r="6600" customFormat="1" ht="13" x14ac:dyDescent="0.15"/>
    <row r="6601" customFormat="1" ht="13" x14ac:dyDescent="0.15"/>
    <row r="6602" customFormat="1" ht="13" x14ac:dyDescent="0.15"/>
    <row r="6603" customFormat="1" ht="13" x14ac:dyDescent="0.15"/>
    <row r="6604" customFormat="1" ht="13" x14ac:dyDescent="0.15"/>
    <row r="6605" customFormat="1" ht="13" x14ac:dyDescent="0.15"/>
    <row r="6606" customFormat="1" ht="13" x14ac:dyDescent="0.15"/>
    <row r="6607" customFormat="1" ht="13" x14ac:dyDescent="0.15"/>
    <row r="6608" customFormat="1" ht="13" x14ac:dyDescent="0.15"/>
    <row r="6609" customFormat="1" ht="13" x14ac:dyDescent="0.15"/>
    <row r="6610" customFormat="1" ht="13" x14ac:dyDescent="0.15"/>
    <row r="6611" customFormat="1" ht="13" x14ac:dyDescent="0.15"/>
    <row r="6612" customFormat="1" ht="13" x14ac:dyDescent="0.15"/>
    <row r="6613" customFormat="1" ht="13" x14ac:dyDescent="0.15"/>
    <row r="6614" customFormat="1" ht="13" x14ac:dyDescent="0.15"/>
    <row r="6615" customFormat="1" ht="13" x14ac:dyDescent="0.15"/>
    <row r="6616" customFormat="1" ht="13" x14ac:dyDescent="0.15"/>
    <row r="6617" customFormat="1" ht="13" x14ac:dyDescent="0.15"/>
    <row r="6618" customFormat="1" ht="13" x14ac:dyDescent="0.15"/>
    <row r="6619" customFormat="1" ht="13" x14ac:dyDescent="0.15"/>
    <row r="6620" customFormat="1" ht="13" x14ac:dyDescent="0.15"/>
    <row r="6621" customFormat="1" ht="13" x14ac:dyDescent="0.15"/>
    <row r="6622" customFormat="1" ht="13" x14ac:dyDescent="0.15"/>
    <row r="6623" customFormat="1" ht="13" x14ac:dyDescent="0.15"/>
    <row r="6624" customFormat="1" ht="13" x14ac:dyDescent="0.15"/>
    <row r="6625" customFormat="1" ht="13" x14ac:dyDescent="0.15"/>
    <row r="6626" customFormat="1" ht="13" x14ac:dyDescent="0.15"/>
    <row r="6627" customFormat="1" ht="13" x14ac:dyDescent="0.15"/>
    <row r="6628" customFormat="1" ht="13" x14ac:dyDescent="0.15"/>
    <row r="6629" customFormat="1" ht="13" x14ac:dyDescent="0.15"/>
    <row r="6630" customFormat="1" ht="13" x14ac:dyDescent="0.15"/>
    <row r="6631" customFormat="1" ht="13" x14ac:dyDescent="0.15"/>
    <row r="6632" customFormat="1" ht="13" x14ac:dyDescent="0.15"/>
    <row r="6633" customFormat="1" ht="13" x14ac:dyDescent="0.15"/>
    <row r="6634" customFormat="1" ht="13" x14ac:dyDescent="0.15"/>
    <row r="6635" customFormat="1" ht="13" x14ac:dyDescent="0.15"/>
    <row r="6636" customFormat="1" ht="13" x14ac:dyDescent="0.15"/>
    <row r="6637" customFormat="1" ht="13" x14ac:dyDescent="0.15"/>
    <row r="6638" customFormat="1" ht="13" x14ac:dyDescent="0.15"/>
    <row r="6639" customFormat="1" ht="13" x14ac:dyDescent="0.15"/>
    <row r="6640" customFormat="1" ht="13" x14ac:dyDescent="0.15"/>
    <row r="6641" customFormat="1" ht="13" x14ac:dyDescent="0.15"/>
    <row r="6642" customFormat="1" ht="13" x14ac:dyDescent="0.15"/>
    <row r="6643" customFormat="1" ht="13" x14ac:dyDescent="0.15"/>
    <row r="6644" customFormat="1" ht="13" x14ac:dyDescent="0.15"/>
    <row r="6645" customFormat="1" ht="13" x14ac:dyDescent="0.15"/>
    <row r="6646" customFormat="1" ht="13" x14ac:dyDescent="0.15"/>
    <row r="6647" customFormat="1" ht="13" x14ac:dyDescent="0.15"/>
    <row r="6648" customFormat="1" ht="13" x14ac:dyDescent="0.15"/>
    <row r="6649" customFormat="1" ht="13" x14ac:dyDescent="0.15"/>
    <row r="6650" customFormat="1" ht="13" x14ac:dyDescent="0.15"/>
    <row r="6651" customFormat="1" ht="13" x14ac:dyDescent="0.15"/>
    <row r="6652" customFormat="1" ht="13" x14ac:dyDescent="0.15"/>
    <row r="6653" customFormat="1" ht="13" x14ac:dyDescent="0.15"/>
    <row r="6654" customFormat="1" ht="13" x14ac:dyDescent="0.15"/>
    <row r="6655" customFormat="1" ht="13" x14ac:dyDescent="0.15"/>
    <row r="6656" customFormat="1" ht="13" x14ac:dyDescent="0.15"/>
    <row r="6657" customFormat="1" ht="13" x14ac:dyDescent="0.15"/>
    <row r="6658" customFormat="1" ht="13" x14ac:dyDescent="0.15"/>
    <row r="6659" customFormat="1" ht="13" x14ac:dyDescent="0.15"/>
    <row r="6660" customFormat="1" ht="13" x14ac:dyDescent="0.15"/>
    <row r="6661" customFormat="1" ht="13" x14ac:dyDescent="0.15"/>
    <row r="6662" customFormat="1" ht="13" x14ac:dyDescent="0.15"/>
    <row r="6663" customFormat="1" ht="13" x14ac:dyDescent="0.15"/>
    <row r="6664" customFormat="1" ht="13" x14ac:dyDescent="0.15"/>
    <row r="6665" customFormat="1" ht="13" x14ac:dyDescent="0.15"/>
    <row r="6666" customFormat="1" ht="13" x14ac:dyDescent="0.15"/>
    <row r="6667" customFormat="1" ht="13" x14ac:dyDescent="0.15"/>
    <row r="6668" customFormat="1" ht="13" x14ac:dyDescent="0.15"/>
    <row r="6669" customFormat="1" ht="13" x14ac:dyDescent="0.15"/>
    <row r="6670" customFormat="1" ht="13" x14ac:dyDescent="0.15"/>
    <row r="6671" customFormat="1" ht="13" x14ac:dyDescent="0.15"/>
    <row r="6672" customFormat="1" ht="13" x14ac:dyDescent="0.15"/>
    <row r="6673" customFormat="1" ht="13" x14ac:dyDescent="0.15"/>
    <row r="6674" customFormat="1" ht="13" x14ac:dyDescent="0.15"/>
    <row r="6675" customFormat="1" ht="13" x14ac:dyDescent="0.15"/>
    <row r="6676" customFormat="1" ht="13" x14ac:dyDescent="0.15"/>
    <row r="6677" customFormat="1" ht="13" x14ac:dyDescent="0.15"/>
    <row r="6678" customFormat="1" ht="13" x14ac:dyDescent="0.15"/>
    <row r="6679" customFormat="1" ht="13" x14ac:dyDescent="0.15"/>
    <row r="6680" customFormat="1" ht="13" x14ac:dyDescent="0.15"/>
    <row r="6681" customFormat="1" ht="13" x14ac:dyDescent="0.15"/>
    <row r="6682" customFormat="1" ht="13" x14ac:dyDescent="0.15"/>
    <row r="6683" customFormat="1" ht="13" x14ac:dyDescent="0.15"/>
    <row r="6684" customFormat="1" ht="13" x14ac:dyDescent="0.15"/>
    <row r="6685" customFormat="1" ht="13" x14ac:dyDescent="0.15"/>
    <row r="6686" customFormat="1" ht="13" x14ac:dyDescent="0.15"/>
    <row r="6687" customFormat="1" ht="13" x14ac:dyDescent="0.15"/>
    <row r="6688" customFormat="1" ht="13" x14ac:dyDescent="0.15"/>
    <row r="6689" customFormat="1" ht="13" x14ac:dyDescent="0.15"/>
    <row r="6690" customFormat="1" ht="13" x14ac:dyDescent="0.15"/>
    <row r="6691" customFormat="1" ht="13" x14ac:dyDescent="0.15"/>
    <row r="6692" customFormat="1" ht="13" x14ac:dyDescent="0.15"/>
    <row r="6693" customFormat="1" ht="13" x14ac:dyDescent="0.15"/>
    <row r="6694" customFormat="1" ht="13" x14ac:dyDescent="0.15"/>
    <row r="6695" customFormat="1" ht="13" x14ac:dyDescent="0.15"/>
    <row r="6696" customFormat="1" ht="13" x14ac:dyDescent="0.15"/>
    <row r="6697" customFormat="1" ht="13" x14ac:dyDescent="0.15"/>
    <row r="6698" customFormat="1" ht="13" x14ac:dyDescent="0.15"/>
    <row r="6699" customFormat="1" ht="13" x14ac:dyDescent="0.15"/>
    <row r="6700" customFormat="1" ht="13" x14ac:dyDescent="0.15"/>
    <row r="6701" customFormat="1" ht="13" x14ac:dyDescent="0.15"/>
    <row r="6702" customFormat="1" ht="13" x14ac:dyDescent="0.15"/>
    <row r="6703" customFormat="1" ht="13" x14ac:dyDescent="0.15"/>
    <row r="6704" customFormat="1" ht="13" x14ac:dyDescent="0.15"/>
    <row r="6705" customFormat="1" ht="13" x14ac:dyDescent="0.15"/>
    <row r="6706" customFormat="1" ht="13" x14ac:dyDescent="0.15"/>
    <row r="6707" customFormat="1" ht="13" x14ac:dyDescent="0.15"/>
    <row r="6708" customFormat="1" ht="13" x14ac:dyDescent="0.15"/>
    <row r="6709" customFormat="1" ht="13" x14ac:dyDescent="0.15"/>
    <row r="6710" customFormat="1" ht="13" x14ac:dyDescent="0.15"/>
    <row r="6711" customFormat="1" ht="13" x14ac:dyDescent="0.15"/>
    <row r="6712" customFormat="1" ht="13" x14ac:dyDescent="0.15"/>
    <row r="6713" customFormat="1" ht="13" x14ac:dyDescent="0.15"/>
    <row r="6714" customFormat="1" ht="13" x14ac:dyDescent="0.15"/>
    <row r="6715" customFormat="1" ht="13" x14ac:dyDescent="0.15"/>
    <row r="6716" customFormat="1" ht="13" x14ac:dyDescent="0.15"/>
    <row r="6717" customFormat="1" ht="13" x14ac:dyDescent="0.15"/>
    <row r="6718" customFormat="1" ht="13" x14ac:dyDescent="0.15"/>
    <row r="6719" customFormat="1" ht="13" x14ac:dyDescent="0.15"/>
    <row r="6720" customFormat="1" ht="13" x14ac:dyDescent="0.15"/>
    <row r="6721" customFormat="1" ht="13" x14ac:dyDescent="0.15"/>
    <row r="6722" customFormat="1" ht="13" x14ac:dyDescent="0.15"/>
    <row r="6723" customFormat="1" ht="13" x14ac:dyDescent="0.15"/>
    <row r="6724" customFormat="1" ht="13" x14ac:dyDescent="0.15"/>
    <row r="6725" customFormat="1" ht="13" x14ac:dyDescent="0.15"/>
    <row r="6726" customFormat="1" ht="13" x14ac:dyDescent="0.15"/>
    <row r="6727" customFormat="1" ht="13" x14ac:dyDescent="0.15"/>
    <row r="6728" customFormat="1" ht="13" x14ac:dyDescent="0.15"/>
    <row r="6729" customFormat="1" ht="13" x14ac:dyDescent="0.15"/>
    <row r="6730" customFormat="1" ht="13" x14ac:dyDescent="0.15"/>
    <row r="6731" customFormat="1" ht="13" x14ac:dyDescent="0.15"/>
    <row r="6732" customFormat="1" ht="13" x14ac:dyDescent="0.15"/>
    <row r="6733" customFormat="1" ht="13" x14ac:dyDescent="0.15"/>
    <row r="6734" customFormat="1" ht="13" x14ac:dyDescent="0.15"/>
    <row r="6735" customFormat="1" ht="13" x14ac:dyDescent="0.15"/>
    <row r="6736" customFormat="1" ht="13" x14ac:dyDescent="0.15"/>
    <row r="6737" customFormat="1" ht="13" x14ac:dyDescent="0.15"/>
    <row r="6738" customFormat="1" ht="13" x14ac:dyDescent="0.15"/>
    <row r="6739" customFormat="1" ht="13" x14ac:dyDescent="0.15"/>
    <row r="6740" customFormat="1" ht="13" x14ac:dyDescent="0.15"/>
    <row r="6741" customFormat="1" ht="13" x14ac:dyDescent="0.15"/>
    <row r="6742" customFormat="1" ht="13" x14ac:dyDescent="0.15"/>
    <row r="6743" customFormat="1" ht="13" x14ac:dyDescent="0.15"/>
    <row r="6744" customFormat="1" ht="13" x14ac:dyDescent="0.15"/>
    <row r="6745" customFormat="1" ht="13" x14ac:dyDescent="0.15"/>
    <row r="6746" customFormat="1" ht="13" x14ac:dyDescent="0.15"/>
    <row r="6747" customFormat="1" ht="13" x14ac:dyDescent="0.15"/>
    <row r="6748" customFormat="1" ht="13" x14ac:dyDescent="0.15"/>
    <row r="6749" customFormat="1" ht="13" x14ac:dyDescent="0.15"/>
    <row r="6750" customFormat="1" ht="13" x14ac:dyDescent="0.15"/>
    <row r="6751" customFormat="1" ht="13" x14ac:dyDescent="0.15"/>
    <row r="6752" customFormat="1" ht="13" x14ac:dyDescent="0.15"/>
    <row r="6753" customFormat="1" ht="13" x14ac:dyDescent="0.15"/>
    <row r="6754" customFormat="1" ht="13" x14ac:dyDescent="0.15"/>
    <row r="6755" customFormat="1" ht="13" x14ac:dyDescent="0.15"/>
    <row r="6756" customFormat="1" ht="13" x14ac:dyDescent="0.15"/>
    <row r="6757" customFormat="1" ht="13" x14ac:dyDescent="0.15"/>
    <row r="6758" customFormat="1" ht="13" x14ac:dyDescent="0.15"/>
    <row r="6759" customFormat="1" ht="13" x14ac:dyDescent="0.15"/>
    <row r="6760" customFormat="1" ht="13" x14ac:dyDescent="0.15"/>
    <row r="6761" customFormat="1" ht="13" x14ac:dyDescent="0.15"/>
    <row r="6762" customFormat="1" ht="13" x14ac:dyDescent="0.15"/>
    <row r="6763" customFormat="1" ht="13" x14ac:dyDescent="0.15"/>
    <row r="6764" customFormat="1" ht="13" x14ac:dyDescent="0.15"/>
    <row r="6765" customFormat="1" ht="13" x14ac:dyDescent="0.15"/>
    <row r="6766" customFormat="1" ht="13" x14ac:dyDescent="0.15"/>
    <row r="6767" customFormat="1" ht="13" x14ac:dyDescent="0.15"/>
    <row r="6768" customFormat="1" ht="13" x14ac:dyDescent="0.15"/>
    <row r="6769" customFormat="1" ht="13" x14ac:dyDescent="0.15"/>
    <row r="6770" customFormat="1" ht="13" x14ac:dyDescent="0.15"/>
    <row r="6771" customFormat="1" ht="13" x14ac:dyDescent="0.15"/>
    <row r="6772" customFormat="1" ht="13" x14ac:dyDescent="0.15"/>
    <row r="6773" customFormat="1" ht="13" x14ac:dyDescent="0.15"/>
    <row r="6774" customFormat="1" ht="13" x14ac:dyDescent="0.15"/>
    <row r="6775" customFormat="1" ht="13" x14ac:dyDescent="0.15"/>
    <row r="6776" customFormat="1" ht="13" x14ac:dyDescent="0.15"/>
    <row r="6777" customFormat="1" ht="13" x14ac:dyDescent="0.15"/>
    <row r="6778" customFormat="1" ht="13" x14ac:dyDescent="0.15"/>
    <row r="6779" customFormat="1" ht="13" x14ac:dyDescent="0.15"/>
    <row r="6780" customFormat="1" ht="13" x14ac:dyDescent="0.15"/>
    <row r="6781" customFormat="1" ht="13" x14ac:dyDescent="0.15"/>
    <row r="6782" customFormat="1" ht="13" x14ac:dyDescent="0.15"/>
    <row r="6783" customFormat="1" ht="13" x14ac:dyDescent="0.15"/>
    <row r="6784" customFormat="1" ht="13" x14ac:dyDescent="0.15"/>
    <row r="6785" customFormat="1" ht="13" x14ac:dyDescent="0.15"/>
    <row r="6786" customFormat="1" ht="13" x14ac:dyDescent="0.15"/>
    <row r="6787" customFormat="1" ht="13" x14ac:dyDescent="0.15"/>
    <row r="6788" customFormat="1" ht="13" x14ac:dyDescent="0.15"/>
    <row r="6789" customFormat="1" ht="13" x14ac:dyDescent="0.15"/>
    <row r="6790" customFormat="1" ht="13" x14ac:dyDescent="0.15"/>
    <row r="6791" customFormat="1" ht="13" x14ac:dyDescent="0.15"/>
    <row r="6792" customFormat="1" ht="13" x14ac:dyDescent="0.15"/>
    <row r="6793" customFormat="1" ht="13" x14ac:dyDescent="0.15"/>
    <row r="6794" customFormat="1" ht="13" x14ac:dyDescent="0.15"/>
    <row r="6795" customFormat="1" ht="13" x14ac:dyDescent="0.15"/>
    <row r="6796" customFormat="1" ht="13" x14ac:dyDescent="0.15"/>
    <row r="6797" customFormat="1" ht="13" x14ac:dyDescent="0.15"/>
    <row r="6798" customFormat="1" ht="13" x14ac:dyDescent="0.15"/>
    <row r="6799" customFormat="1" ht="13" x14ac:dyDescent="0.15"/>
    <row r="6800" customFormat="1" ht="13" x14ac:dyDescent="0.15"/>
    <row r="6801" customFormat="1" ht="13" x14ac:dyDescent="0.15"/>
    <row r="6802" customFormat="1" ht="13" x14ac:dyDescent="0.15"/>
    <row r="6803" customFormat="1" ht="13" x14ac:dyDescent="0.15"/>
    <row r="6804" customFormat="1" ht="13" x14ac:dyDescent="0.15"/>
    <row r="6805" customFormat="1" ht="13" x14ac:dyDescent="0.15"/>
    <row r="6806" customFormat="1" ht="13" x14ac:dyDescent="0.15"/>
    <row r="6807" customFormat="1" ht="13" x14ac:dyDescent="0.15"/>
    <row r="6808" customFormat="1" ht="13" x14ac:dyDescent="0.15"/>
    <row r="6809" customFormat="1" ht="13" x14ac:dyDescent="0.15"/>
    <row r="6810" customFormat="1" ht="13" x14ac:dyDescent="0.15"/>
    <row r="6811" customFormat="1" ht="13" x14ac:dyDescent="0.15"/>
    <row r="6812" customFormat="1" ht="13" x14ac:dyDescent="0.15"/>
    <row r="6813" customFormat="1" ht="13" x14ac:dyDescent="0.15"/>
    <row r="6814" customFormat="1" ht="13" x14ac:dyDescent="0.15"/>
    <row r="6815" customFormat="1" ht="13" x14ac:dyDescent="0.15"/>
    <row r="6816" customFormat="1" ht="13" x14ac:dyDescent="0.15"/>
    <row r="6817" customFormat="1" ht="13" x14ac:dyDescent="0.15"/>
    <row r="6818" customFormat="1" ht="13" x14ac:dyDescent="0.15"/>
    <row r="6819" customFormat="1" ht="13" x14ac:dyDescent="0.15"/>
    <row r="6820" customFormat="1" ht="13" x14ac:dyDescent="0.15"/>
    <row r="6821" customFormat="1" ht="13" x14ac:dyDescent="0.15"/>
    <row r="6822" customFormat="1" ht="13" x14ac:dyDescent="0.15"/>
    <row r="6823" customFormat="1" ht="13" x14ac:dyDescent="0.15"/>
    <row r="6824" customFormat="1" ht="13" x14ac:dyDescent="0.15"/>
    <row r="6825" customFormat="1" ht="13" x14ac:dyDescent="0.15"/>
    <row r="6826" customFormat="1" ht="13" x14ac:dyDescent="0.15"/>
    <row r="6827" customFormat="1" ht="13" x14ac:dyDescent="0.15"/>
    <row r="6828" customFormat="1" ht="13" x14ac:dyDescent="0.15"/>
    <row r="6829" customFormat="1" ht="13" x14ac:dyDescent="0.15"/>
    <row r="6830" customFormat="1" ht="13" x14ac:dyDescent="0.15"/>
    <row r="6831" customFormat="1" ht="13" x14ac:dyDescent="0.15"/>
    <row r="6832" customFormat="1" ht="13" x14ac:dyDescent="0.15"/>
    <row r="6833" customFormat="1" ht="13" x14ac:dyDescent="0.15"/>
    <row r="6834" customFormat="1" ht="13" x14ac:dyDescent="0.15"/>
    <row r="6835" customFormat="1" ht="13" x14ac:dyDescent="0.15"/>
    <row r="6836" customFormat="1" ht="13" x14ac:dyDescent="0.15"/>
    <row r="6837" customFormat="1" ht="13" x14ac:dyDescent="0.15"/>
    <row r="6838" customFormat="1" ht="13" x14ac:dyDescent="0.15"/>
    <row r="6839" customFormat="1" ht="13" x14ac:dyDescent="0.15"/>
    <row r="6840" customFormat="1" ht="13" x14ac:dyDescent="0.15"/>
    <row r="6841" customFormat="1" ht="13" x14ac:dyDescent="0.15"/>
    <row r="6842" customFormat="1" ht="13" x14ac:dyDescent="0.15"/>
    <row r="6843" customFormat="1" ht="13" x14ac:dyDescent="0.15"/>
    <row r="6844" customFormat="1" ht="13" x14ac:dyDescent="0.15"/>
    <row r="6845" customFormat="1" ht="13" x14ac:dyDescent="0.15"/>
    <row r="6846" customFormat="1" ht="13" x14ac:dyDescent="0.15"/>
    <row r="6847" customFormat="1" ht="13" x14ac:dyDescent="0.15"/>
    <row r="6848" customFormat="1" ht="13" x14ac:dyDescent="0.15"/>
    <row r="6849" customFormat="1" ht="13" x14ac:dyDescent="0.15"/>
    <row r="6850" customFormat="1" ht="13" x14ac:dyDescent="0.15"/>
    <row r="6851" customFormat="1" ht="13" x14ac:dyDescent="0.15"/>
    <row r="6852" customFormat="1" ht="13" x14ac:dyDescent="0.15"/>
    <row r="6853" customFormat="1" ht="13" x14ac:dyDescent="0.15"/>
    <row r="6854" customFormat="1" ht="13" x14ac:dyDescent="0.15"/>
    <row r="6855" customFormat="1" ht="13" x14ac:dyDescent="0.15"/>
    <row r="6856" customFormat="1" ht="13" x14ac:dyDescent="0.15"/>
    <row r="6857" customFormat="1" ht="13" x14ac:dyDescent="0.15"/>
    <row r="6858" customFormat="1" ht="13" x14ac:dyDescent="0.15"/>
    <row r="6859" customFormat="1" ht="13" x14ac:dyDescent="0.15"/>
    <row r="6860" customFormat="1" ht="13" x14ac:dyDescent="0.15"/>
    <row r="6861" customFormat="1" ht="13" x14ac:dyDescent="0.15"/>
    <row r="6862" customFormat="1" ht="13" x14ac:dyDescent="0.15"/>
    <row r="6863" customFormat="1" ht="13" x14ac:dyDescent="0.15"/>
    <row r="6864" customFormat="1" ht="13" x14ac:dyDescent="0.15"/>
    <row r="6865" customFormat="1" ht="13" x14ac:dyDescent="0.15"/>
    <row r="6866" customFormat="1" ht="13" x14ac:dyDescent="0.15"/>
    <row r="6867" customFormat="1" ht="13" x14ac:dyDescent="0.15"/>
    <row r="6868" customFormat="1" ht="13" x14ac:dyDescent="0.15"/>
    <row r="6869" customFormat="1" ht="13" x14ac:dyDescent="0.15"/>
    <row r="6870" customFormat="1" ht="13" x14ac:dyDescent="0.15"/>
    <row r="6871" customFormat="1" ht="13" x14ac:dyDescent="0.15"/>
    <row r="6872" customFormat="1" ht="13" x14ac:dyDescent="0.15"/>
    <row r="6873" customFormat="1" ht="13" x14ac:dyDescent="0.15"/>
    <row r="6874" customFormat="1" ht="13" x14ac:dyDescent="0.15"/>
    <row r="6875" customFormat="1" ht="13" x14ac:dyDescent="0.15"/>
    <row r="6876" customFormat="1" ht="13" x14ac:dyDescent="0.15"/>
    <row r="6877" customFormat="1" ht="13" x14ac:dyDescent="0.15"/>
    <row r="6878" customFormat="1" ht="13" x14ac:dyDescent="0.15"/>
    <row r="6879" customFormat="1" ht="13" x14ac:dyDescent="0.15"/>
    <row r="6880" customFormat="1" ht="13" x14ac:dyDescent="0.15"/>
    <row r="6881" customFormat="1" ht="13" x14ac:dyDescent="0.15"/>
    <row r="6882" customFormat="1" ht="13" x14ac:dyDescent="0.15"/>
    <row r="6883" customFormat="1" ht="13" x14ac:dyDescent="0.15"/>
    <row r="6884" customFormat="1" ht="13" x14ac:dyDescent="0.15"/>
    <row r="6885" customFormat="1" ht="13" x14ac:dyDescent="0.15"/>
    <row r="6886" customFormat="1" ht="13" x14ac:dyDescent="0.15"/>
    <row r="6887" customFormat="1" ht="13" x14ac:dyDescent="0.15"/>
    <row r="6888" customFormat="1" ht="13" x14ac:dyDescent="0.15"/>
    <row r="6889" customFormat="1" ht="13" x14ac:dyDescent="0.15"/>
    <row r="6890" customFormat="1" ht="13" x14ac:dyDescent="0.15"/>
    <row r="6891" customFormat="1" ht="13" x14ac:dyDescent="0.15"/>
    <row r="6892" customFormat="1" ht="13" x14ac:dyDescent="0.15"/>
    <row r="6893" customFormat="1" ht="13" x14ac:dyDescent="0.15"/>
    <row r="6894" customFormat="1" ht="13" x14ac:dyDescent="0.15"/>
    <row r="6895" customFormat="1" ht="13" x14ac:dyDescent="0.15"/>
    <row r="6896" customFormat="1" ht="13" x14ac:dyDescent="0.15"/>
    <row r="6897" customFormat="1" ht="13" x14ac:dyDescent="0.15"/>
    <row r="6898" customFormat="1" ht="13" x14ac:dyDescent="0.15"/>
    <row r="6899" customFormat="1" ht="13" x14ac:dyDescent="0.15"/>
    <row r="6900" customFormat="1" ht="13" x14ac:dyDescent="0.15"/>
    <row r="6901" customFormat="1" ht="13" x14ac:dyDescent="0.15"/>
    <row r="6902" customFormat="1" ht="13" x14ac:dyDescent="0.15"/>
    <row r="6903" customFormat="1" ht="13" x14ac:dyDescent="0.15"/>
    <row r="6904" customFormat="1" ht="13" x14ac:dyDescent="0.15"/>
    <row r="6905" customFormat="1" ht="13" x14ac:dyDescent="0.15"/>
    <row r="6906" customFormat="1" ht="13" x14ac:dyDescent="0.15"/>
    <row r="6907" customFormat="1" ht="13" x14ac:dyDescent="0.15"/>
    <row r="6908" customFormat="1" ht="13" x14ac:dyDescent="0.15"/>
    <row r="6909" customFormat="1" ht="13" x14ac:dyDescent="0.15"/>
    <row r="6910" customFormat="1" ht="13" x14ac:dyDescent="0.15"/>
    <row r="6911" customFormat="1" ht="13" x14ac:dyDescent="0.15"/>
    <row r="6912" customFormat="1" ht="13" x14ac:dyDescent="0.15"/>
    <row r="6913" customFormat="1" ht="13" x14ac:dyDescent="0.15"/>
    <row r="6914" customFormat="1" ht="13" x14ac:dyDescent="0.15"/>
    <row r="6915" customFormat="1" ht="13" x14ac:dyDescent="0.15"/>
    <row r="6916" customFormat="1" ht="13" x14ac:dyDescent="0.15"/>
    <row r="6917" customFormat="1" ht="13" x14ac:dyDescent="0.15"/>
    <row r="6918" customFormat="1" ht="13" x14ac:dyDescent="0.15"/>
    <row r="6919" customFormat="1" ht="13" x14ac:dyDescent="0.15"/>
    <row r="6920" customFormat="1" ht="13" x14ac:dyDescent="0.15"/>
    <row r="6921" customFormat="1" ht="13" x14ac:dyDescent="0.15"/>
    <row r="6922" customFormat="1" ht="13" x14ac:dyDescent="0.15"/>
    <row r="6923" customFormat="1" ht="13" x14ac:dyDescent="0.15"/>
    <row r="6924" customFormat="1" ht="13" x14ac:dyDescent="0.15"/>
    <row r="6925" customFormat="1" ht="13" x14ac:dyDescent="0.15"/>
    <row r="6926" customFormat="1" ht="13" x14ac:dyDescent="0.15"/>
    <row r="6927" customFormat="1" ht="13" x14ac:dyDescent="0.15"/>
    <row r="6928" customFormat="1" ht="13" x14ac:dyDescent="0.15"/>
    <row r="6929" customFormat="1" ht="13" x14ac:dyDescent="0.15"/>
    <row r="6930" customFormat="1" ht="13" x14ac:dyDescent="0.15"/>
    <row r="6931" customFormat="1" ht="13" x14ac:dyDescent="0.15"/>
    <row r="6932" customFormat="1" ht="13" x14ac:dyDescent="0.15"/>
    <row r="6933" customFormat="1" ht="13" x14ac:dyDescent="0.15"/>
    <row r="6934" customFormat="1" ht="13" x14ac:dyDescent="0.15"/>
    <row r="6935" customFormat="1" ht="13" x14ac:dyDescent="0.15"/>
    <row r="6936" customFormat="1" ht="13" x14ac:dyDescent="0.15"/>
    <row r="6937" customFormat="1" ht="13" x14ac:dyDescent="0.15"/>
    <row r="6938" customFormat="1" ht="13" x14ac:dyDescent="0.15"/>
    <row r="6939" customFormat="1" ht="13" x14ac:dyDescent="0.15"/>
    <row r="6940" customFormat="1" ht="13" x14ac:dyDescent="0.15"/>
    <row r="6941" customFormat="1" ht="13" x14ac:dyDescent="0.15"/>
    <row r="6942" customFormat="1" ht="13" x14ac:dyDescent="0.15"/>
    <row r="6943" customFormat="1" ht="13" x14ac:dyDescent="0.15"/>
    <row r="6944" customFormat="1" ht="13" x14ac:dyDescent="0.15"/>
    <row r="6945" customFormat="1" ht="13" x14ac:dyDescent="0.15"/>
    <row r="6946" customFormat="1" ht="13" x14ac:dyDescent="0.15"/>
    <row r="6947" customFormat="1" ht="13" x14ac:dyDescent="0.15"/>
    <row r="6948" customFormat="1" ht="13" x14ac:dyDescent="0.15"/>
    <row r="6949" customFormat="1" ht="13" x14ac:dyDescent="0.15"/>
    <row r="6950" customFormat="1" ht="13" x14ac:dyDescent="0.15"/>
    <row r="6951" customFormat="1" ht="13" x14ac:dyDescent="0.15"/>
    <row r="6952" customFormat="1" ht="13" x14ac:dyDescent="0.15"/>
    <row r="6953" customFormat="1" ht="13" x14ac:dyDescent="0.15"/>
    <row r="6954" customFormat="1" ht="13" x14ac:dyDescent="0.15"/>
    <row r="6955" customFormat="1" ht="13" x14ac:dyDescent="0.15"/>
    <row r="6956" customFormat="1" ht="13" x14ac:dyDescent="0.15"/>
    <row r="6957" customFormat="1" ht="13" x14ac:dyDescent="0.15"/>
    <row r="6958" customFormat="1" ht="13" x14ac:dyDescent="0.15"/>
    <row r="6959" customFormat="1" ht="13" x14ac:dyDescent="0.15"/>
    <row r="6960" customFormat="1" ht="13" x14ac:dyDescent="0.15"/>
    <row r="6961" customFormat="1" ht="13" x14ac:dyDescent="0.15"/>
    <row r="6962" customFormat="1" ht="13" x14ac:dyDescent="0.15"/>
    <row r="6963" customFormat="1" ht="13" x14ac:dyDescent="0.15"/>
    <row r="6964" customFormat="1" ht="13" x14ac:dyDescent="0.15"/>
    <row r="6965" customFormat="1" ht="13" x14ac:dyDescent="0.15"/>
    <row r="6966" customFormat="1" ht="13" x14ac:dyDescent="0.15"/>
    <row r="6967" customFormat="1" ht="13" x14ac:dyDescent="0.15"/>
    <row r="6968" customFormat="1" ht="13" x14ac:dyDescent="0.15"/>
    <row r="6969" customFormat="1" ht="13" x14ac:dyDescent="0.15"/>
    <row r="6970" customFormat="1" ht="13" x14ac:dyDescent="0.15"/>
    <row r="6971" customFormat="1" ht="13" x14ac:dyDescent="0.15"/>
    <row r="6972" customFormat="1" ht="13" x14ac:dyDescent="0.15"/>
    <row r="6973" customFormat="1" ht="13" x14ac:dyDescent="0.15"/>
    <row r="6974" customFormat="1" ht="13" x14ac:dyDescent="0.15"/>
    <row r="6975" customFormat="1" ht="13" x14ac:dyDescent="0.15"/>
    <row r="6976" customFormat="1" ht="13" x14ac:dyDescent="0.15"/>
    <row r="6977" customFormat="1" ht="13" x14ac:dyDescent="0.15"/>
    <row r="6978" customFormat="1" ht="13" x14ac:dyDescent="0.15"/>
    <row r="6979" customFormat="1" ht="13" x14ac:dyDescent="0.15"/>
    <row r="6980" customFormat="1" ht="13" x14ac:dyDescent="0.15"/>
    <row r="6981" customFormat="1" ht="13" x14ac:dyDescent="0.15"/>
    <row r="6982" customFormat="1" ht="13" x14ac:dyDescent="0.15"/>
    <row r="6983" customFormat="1" ht="13" x14ac:dyDescent="0.15"/>
    <row r="6984" customFormat="1" ht="13" x14ac:dyDescent="0.15"/>
    <row r="6985" customFormat="1" ht="13" x14ac:dyDescent="0.15"/>
    <row r="6986" customFormat="1" ht="13" x14ac:dyDescent="0.15"/>
    <row r="6987" customFormat="1" ht="13" x14ac:dyDescent="0.15"/>
    <row r="6988" customFormat="1" ht="13" x14ac:dyDescent="0.15"/>
    <row r="6989" customFormat="1" ht="13" x14ac:dyDescent="0.15"/>
    <row r="6990" customFormat="1" ht="13" x14ac:dyDescent="0.15"/>
    <row r="6991" customFormat="1" ht="13" x14ac:dyDescent="0.15"/>
    <row r="6992" customFormat="1" ht="13" x14ac:dyDescent="0.15"/>
    <row r="6993" customFormat="1" ht="13" x14ac:dyDescent="0.15"/>
    <row r="6994" customFormat="1" ht="13" x14ac:dyDescent="0.15"/>
    <row r="6995" customFormat="1" ht="13" x14ac:dyDescent="0.15"/>
    <row r="6996" customFormat="1" ht="13" x14ac:dyDescent="0.15"/>
    <row r="6997" customFormat="1" ht="13" x14ac:dyDescent="0.15"/>
    <row r="6998" customFormat="1" ht="13" x14ac:dyDescent="0.15"/>
    <row r="6999" customFormat="1" ht="13" x14ac:dyDescent="0.15"/>
    <row r="7000" customFormat="1" ht="13" x14ac:dyDescent="0.15"/>
    <row r="7001" customFormat="1" ht="13" x14ac:dyDescent="0.15"/>
    <row r="7002" customFormat="1" ht="13" x14ac:dyDescent="0.15"/>
    <row r="7003" customFormat="1" ht="13" x14ac:dyDescent="0.15"/>
    <row r="7004" customFormat="1" ht="13" x14ac:dyDescent="0.15"/>
    <row r="7005" customFormat="1" ht="13" x14ac:dyDescent="0.15"/>
    <row r="7006" customFormat="1" ht="13" x14ac:dyDescent="0.15"/>
    <row r="7007" customFormat="1" ht="13" x14ac:dyDescent="0.15"/>
    <row r="7008" customFormat="1" ht="13" x14ac:dyDescent="0.15"/>
    <row r="7009" customFormat="1" ht="13" x14ac:dyDescent="0.15"/>
    <row r="7010" customFormat="1" ht="13" x14ac:dyDescent="0.15"/>
    <row r="7011" customFormat="1" ht="13" x14ac:dyDescent="0.15"/>
    <row r="7012" customFormat="1" ht="13" x14ac:dyDescent="0.15"/>
    <row r="7013" customFormat="1" ht="13" x14ac:dyDescent="0.15"/>
    <row r="7014" customFormat="1" ht="13" x14ac:dyDescent="0.15"/>
    <row r="7015" customFormat="1" ht="13" x14ac:dyDescent="0.15"/>
    <row r="7016" customFormat="1" ht="13" x14ac:dyDescent="0.15"/>
    <row r="7017" customFormat="1" ht="13" x14ac:dyDescent="0.15"/>
    <row r="7018" customFormat="1" ht="13" x14ac:dyDescent="0.15"/>
    <row r="7019" customFormat="1" ht="13" x14ac:dyDescent="0.15"/>
    <row r="7020" customFormat="1" ht="13" x14ac:dyDescent="0.15"/>
    <row r="7021" customFormat="1" ht="13" x14ac:dyDescent="0.15"/>
    <row r="7022" customFormat="1" ht="13" x14ac:dyDescent="0.15"/>
    <row r="7023" customFormat="1" ht="13" x14ac:dyDescent="0.15"/>
    <row r="7024" customFormat="1" ht="13" x14ac:dyDescent="0.15"/>
    <row r="7025" customFormat="1" ht="13" x14ac:dyDescent="0.15"/>
    <row r="7026" customFormat="1" ht="13" x14ac:dyDescent="0.15"/>
    <row r="7027" customFormat="1" ht="13" x14ac:dyDescent="0.15"/>
    <row r="7028" customFormat="1" ht="13" x14ac:dyDescent="0.15"/>
    <row r="7029" customFormat="1" ht="13" x14ac:dyDescent="0.15"/>
    <row r="7030" customFormat="1" ht="13" x14ac:dyDescent="0.15"/>
    <row r="7031" customFormat="1" ht="13" x14ac:dyDescent="0.15"/>
    <row r="7032" customFormat="1" ht="13" x14ac:dyDescent="0.15"/>
    <row r="7033" customFormat="1" ht="13" x14ac:dyDescent="0.15"/>
    <row r="7034" customFormat="1" ht="13" x14ac:dyDescent="0.15"/>
    <row r="7035" customFormat="1" ht="13" x14ac:dyDescent="0.15"/>
    <row r="7036" customFormat="1" ht="13" x14ac:dyDescent="0.15"/>
    <row r="7037" customFormat="1" ht="13" x14ac:dyDescent="0.15"/>
    <row r="7038" customFormat="1" ht="13" x14ac:dyDescent="0.15"/>
    <row r="7039" customFormat="1" ht="13" x14ac:dyDescent="0.15"/>
    <row r="7040" customFormat="1" ht="13" x14ac:dyDescent="0.15"/>
    <row r="7041" customFormat="1" ht="13" x14ac:dyDescent="0.15"/>
    <row r="7042" customFormat="1" ht="13" x14ac:dyDescent="0.15"/>
    <row r="7043" customFormat="1" ht="13" x14ac:dyDescent="0.15"/>
    <row r="7044" customFormat="1" ht="13" x14ac:dyDescent="0.15"/>
    <row r="7045" customFormat="1" ht="13" x14ac:dyDescent="0.15"/>
    <row r="7046" customFormat="1" ht="13" x14ac:dyDescent="0.15"/>
    <row r="7047" customFormat="1" ht="13" x14ac:dyDescent="0.15"/>
    <row r="7048" customFormat="1" ht="13" x14ac:dyDescent="0.15"/>
    <row r="7049" customFormat="1" ht="13" x14ac:dyDescent="0.15"/>
    <row r="7050" customFormat="1" ht="13" x14ac:dyDescent="0.15"/>
    <row r="7051" customFormat="1" ht="13" x14ac:dyDescent="0.15"/>
    <row r="7052" customFormat="1" ht="13" x14ac:dyDescent="0.15"/>
    <row r="7053" customFormat="1" ht="13" x14ac:dyDescent="0.15"/>
    <row r="7054" customFormat="1" ht="13" x14ac:dyDescent="0.15"/>
    <row r="7055" customFormat="1" ht="13" x14ac:dyDescent="0.15"/>
    <row r="7056" customFormat="1" ht="13" x14ac:dyDescent="0.15"/>
    <row r="7057" customFormat="1" ht="13" x14ac:dyDescent="0.15"/>
    <row r="7058" customFormat="1" ht="13" x14ac:dyDescent="0.15"/>
    <row r="7059" customFormat="1" ht="13" x14ac:dyDescent="0.15"/>
    <row r="7060" customFormat="1" ht="13" x14ac:dyDescent="0.15"/>
    <row r="7061" customFormat="1" ht="13" x14ac:dyDescent="0.15"/>
    <row r="7062" customFormat="1" ht="13" x14ac:dyDescent="0.15"/>
    <row r="7063" customFormat="1" ht="13" x14ac:dyDescent="0.15"/>
    <row r="7064" customFormat="1" ht="13" x14ac:dyDescent="0.15"/>
    <row r="7065" customFormat="1" ht="13" x14ac:dyDescent="0.15"/>
    <row r="7066" customFormat="1" ht="13" x14ac:dyDescent="0.15"/>
    <row r="7067" customFormat="1" ht="13" x14ac:dyDescent="0.15"/>
    <row r="7068" customFormat="1" ht="13" x14ac:dyDescent="0.15"/>
    <row r="7069" customFormat="1" ht="13" x14ac:dyDescent="0.15"/>
    <row r="7070" customFormat="1" ht="13" x14ac:dyDescent="0.15"/>
    <row r="7071" customFormat="1" ht="13" x14ac:dyDescent="0.15"/>
    <row r="7072" customFormat="1" ht="13" x14ac:dyDescent="0.15"/>
    <row r="7073" customFormat="1" ht="13" x14ac:dyDescent="0.15"/>
    <row r="7074" customFormat="1" ht="13" x14ac:dyDescent="0.15"/>
    <row r="7075" customFormat="1" ht="13" x14ac:dyDescent="0.15"/>
    <row r="7076" customFormat="1" ht="13" x14ac:dyDescent="0.15"/>
    <row r="7077" customFormat="1" ht="13" x14ac:dyDescent="0.15"/>
    <row r="7078" customFormat="1" ht="13" x14ac:dyDescent="0.15"/>
    <row r="7079" customFormat="1" ht="13" x14ac:dyDescent="0.15"/>
    <row r="7080" customFormat="1" ht="13" x14ac:dyDescent="0.15"/>
    <row r="7081" customFormat="1" ht="13" x14ac:dyDescent="0.15"/>
    <row r="7082" customFormat="1" ht="13" x14ac:dyDescent="0.15"/>
    <row r="7083" customFormat="1" ht="13" x14ac:dyDescent="0.15"/>
    <row r="7084" customFormat="1" ht="13" x14ac:dyDescent="0.15"/>
    <row r="7085" customFormat="1" ht="13" x14ac:dyDescent="0.15"/>
    <row r="7086" customFormat="1" ht="13" x14ac:dyDescent="0.15"/>
    <row r="7087" customFormat="1" ht="13" x14ac:dyDescent="0.15"/>
    <row r="7088" customFormat="1" ht="13" x14ac:dyDescent="0.15"/>
    <row r="7089" customFormat="1" ht="13" x14ac:dyDescent="0.15"/>
    <row r="7090" customFormat="1" ht="13" x14ac:dyDescent="0.15"/>
    <row r="7091" customFormat="1" ht="13" x14ac:dyDescent="0.15"/>
    <row r="7092" customFormat="1" ht="13" x14ac:dyDescent="0.15"/>
    <row r="7093" customFormat="1" ht="13" x14ac:dyDescent="0.15"/>
    <row r="7094" customFormat="1" ht="13" x14ac:dyDescent="0.15"/>
    <row r="7095" customFormat="1" ht="13" x14ac:dyDescent="0.15"/>
    <row r="7096" customFormat="1" ht="13" x14ac:dyDescent="0.15"/>
    <row r="7097" customFormat="1" ht="13" x14ac:dyDescent="0.15"/>
    <row r="7098" customFormat="1" ht="13" x14ac:dyDescent="0.15"/>
    <row r="7099" customFormat="1" ht="13" x14ac:dyDescent="0.15"/>
    <row r="7100" customFormat="1" ht="13" x14ac:dyDescent="0.15"/>
    <row r="7101" customFormat="1" ht="13" x14ac:dyDescent="0.15"/>
    <row r="7102" customFormat="1" ht="13" x14ac:dyDescent="0.15"/>
    <row r="7103" customFormat="1" ht="13" x14ac:dyDescent="0.15"/>
    <row r="7104" customFormat="1" ht="13" x14ac:dyDescent="0.15"/>
    <row r="7105" customFormat="1" ht="13" x14ac:dyDescent="0.15"/>
    <row r="7106" customFormat="1" ht="13" x14ac:dyDescent="0.15"/>
    <row r="7107" customFormat="1" ht="13" x14ac:dyDescent="0.15"/>
    <row r="7108" customFormat="1" ht="13" x14ac:dyDescent="0.15"/>
    <row r="7109" customFormat="1" ht="13" x14ac:dyDescent="0.15"/>
    <row r="7110" customFormat="1" ht="13" x14ac:dyDescent="0.15"/>
    <row r="7111" customFormat="1" ht="13" x14ac:dyDescent="0.15"/>
    <row r="7112" customFormat="1" ht="13" x14ac:dyDescent="0.15"/>
    <row r="7113" customFormat="1" ht="13" x14ac:dyDescent="0.15"/>
    <row r="7114" customFormat="1" ht="13" x14ac:dyDescent="0.15"/>
    <row r="7115" customFormat="1" ht="13" x14ac:dyDescent="0.15"/>
    <row r="7116" customFormat="1" ht="13" x14ac:dyDescent="0.15"/>
    <row r="7117" customFormat="1" ht="13" x14ac:dyDescent="0.15"/>
    <row r="7118" customFormat="1" ht="13" x14ac:dyDescent="0.15"/>
    <row r="7119" customFormat="1" ht="13" x14ac:dyDescent="0.15"/>
    <row r="7120" customFormat="1" ht="13" x14ac:dyDescent="0.15"/>
    <row r="7121" customFormat="1" ht="13" x14ac:dyDescent="0.15"/>
    <row r="7122" customFormat="1" ht="13" x14ac:dyDescent="0.15"/>
    <row r="7123" customFormat="1" ht="13" x14ac:dyDescent="0.15"/>
    <row r="7124" customFormat="1" ht="13" x14ac:dyDescent="0.15"/>
    <row r="7125" customFormat="1" ht="13" x14ac:dyDescent="0.15"/>
    <row r="7126" customFormat="1" ht="13" x14ac:dyDescent="0.15"/>
    <row r="7127" customFormat="1" ht="13" x14ac:dyDescent="0.15"/>
    <row r="7128" customFormat="1" ht="13" x14ac:dyDescent="0.15"/>
    <row r="7129" customFormat="1" ht="13" x14ac:dyDescent="0.15"/>
    <row r="7130" customFormat="1" ht="13" x14ac:dyDescent="0.15"/>
    <row r="7131" customFormat="1" ht="13" x14ac:dyDescent="0.15"/>
    <row r="7132" customFormat="1" ht="13" x14ac:dyDescent="0.15"/>
    <row r="7133" customFormat="1" ht="13" x14ac:dyDescent="0.15"/>
    <row r="7134" customFormat="1" ht="13" x14ac:dyDescent="0.15"/>
    <row r="7135" customFormat="1" ht="13" x14ac:dyDescent="0.15"/>
    <row r="7136" customFormat="1" ht="13" x14ac:dyDescent="0.15"/>
    <row r="7137" customFormat="1" ht="13" x14ac:dyDescent="0.15"/>
    <row r="7138" customFormat="1" ht="13" x14ac:dyDescent="0.15"/>
    <row r="7139" customFormat="1" ht="13" x14ac:dyDescent="0.15"/>
    <row r="7140" customFormat="1" ht="13" x14ac:dyDescent="0.15"/>
    <row r="7141" customFormat="1" ht="13" x14ac:dyDescent="0.15"/>
    <row r="7142" customFormat="1" ht="13" x14ac:dyDescent="0.15"/>
    <row r="7143" customFormat="1" ht="13" x14ac:dyDescent="0.15"/>
    <row r="7144" customFormat="1" ht="13" x14ac:dyDescent="0.15"/>
    <row r="7145" customFormat="1" ht="13" x14ac:dyDescent="0.15"/>
    <row r="7146" customFormat="1" ht="13" x14ac:dyDescent="0.15"/>
    <row r="7147" customFormat="1" ht="13" x14ac:dyDescent="0.15"/>
    <row r="7148" customFormat="1" ht="13" x14ac:dyDescent="0.15"/>
    <row r="7149" customFormat="1" ht="13" x14ac:dyDescent="0.15"/>
    <row r="7150" customFormat="1" ht="13" x14ac:dyDescent="0.15"/>
    <row r="7151" customFormat="1" ht="13" x14ac:dyDescent="0.15"/>
    <row r="7152" customFormat="1" ht="13" x14ac:dyDescent="0.15"/>
    <row r="7153" customFormat="1" ht="13" x14ac:dyDescent="0.15"/>
    <row r="7154" customFormat="1" ht="13" x14ac:dyDescent="0.15"/>
    <row r="7155" customFormat="1" ht="13" x14ac:dyDescent="0.15"/>
    <row r="7156" customFormat="1" ht="13" x14ac:dyDescent="0.15"/>
    <row r="7157" customFormat="1" ht="13" x14ac:dyDescent="0.15"/>
    <row r="7158" customFormat="1" ht="13" x14ac:dyDescent="0.15"/>
    <row r="7159" customFormat="1" ht="13" x14ac:dyDescent="0.15"/>
    <row r="7160" customFormat="1" ht="13" x14ac:dyDescent="0.15"/>
    <row r="7161" customFormat="1" ht="13" x14ac:dyDescent="0.15"/>
    <row r="7162" customFormat="1" ht="13" x14ac:dyDescent="0.15"/>
    <row r="7163" customFormat="1" ht="13" x14ac:dyDescent="0.15"/>
    <row r="7164" customFormat="1" ht="13" x14ac:dyDescent="0.15"/>
    <row r="7165" customFormat="1" ht="13" x14ac:dyDescent="0.15"/>
    <row r="7166" customFormat="1" ht="13" x14ac:dyDescent="0.15"/>
    <row r="7167" customFormat="1" ht="13" x14ac:dyDescent="0.15"/>
    <row r="7168" customFormat="1" ht="13" x14ac:dyDescent="0.15"/>
    <row r="7169" customFormat="1" ht="13" x14ac:dyDescent="0.15"/>
    <row r="7170" customFormat="1" ht="13" x14ac:dyDescent="0.15"/>
    <row r="7171" customFormat="1" ht="13" x14ac:dyDescent="0.15"/>
    <row r="7172" customFormat="1" ht="13" x14ac:dyDescent="0.15"/>
    <row r="7173" customFormat="1" ht="13" x14ac:dyDescent="0.15"/>
    <row r="7174" customFormat="1" ht="13" x14ac:dyDescent="0.15"/>
    <row r="7175" customFormat="1" ht="13" x14ac:dyDescent="0.15"/>
    <row r="7176" customFormat="1" ht="13" x14ac:dyDescent="0.15"/>
    <row r="7177" customFormat="1" ht="13" x14ac:dyDescent="0.15"/>
    <row r="7178" customFormat="1" ht="13" x14ac:dyDescent="0.15"/>
    <row r="7179" customFormat="1" ht="13" x14ac:dyDescent="0.15"/>
    <row r="7180" customFormat="1" ht="13" x14ac:dyDescent="0.15"/>
    <row r="7181" customFormat="1" ht="13" x14ac:dyDescent="0.15"/>
    <row r="7182" customFormat="1" ht="13" x14ac:dyDescent="0.15"/>
    <row r="7183" customFormat="1" ht="13" x14ac:dyDescent="0.15"/>
    <row r="7184" customFormat="1" ht="13" x14ac:dyDescent="0.15"/>
    <row r="7185" customFormat="1" ht="13" x14ac:dyDescent="0.15"/>
    <row r="7186" customFormat="1" ht="13" x14ac:dyDescent="0.15"/>
    <row r="7187" customFormat="1" ht="13" x14ac:dyDescent="0.15"/>
    <row r="7188" customFormat="1" ht="13" x14ac:dyDescent="0.15"/>
    <row r="7189" customFormat="1" ht="13" x14ac:dyDescent="0.15"/>
    <row r="7190" customFormat="1" ht="13" x14ac:dyDescent="0.15"/>
    <row r="7191" customFormat="1" ht="13" x14ac:dyDescent="0.15"/>
    <row r="7192" customFormat="1" ht="13" x14ac:dyDescent="0.15"/>
    <row r="7193" customFormat="1" ht="13" x14ac:dyDescent="0.15"/>
    <row r="7194" customFormat="1" ht="13" x14ac:dyDescent="0.15"/>
    <row r="7195" customFormat="1" ht="13" x14ac:dyDescent="0.15"/>
    <row r="7196" customFormat="1" ht="13" x14ac:dyDescent="0.15"/>
    <row r="7197" customFormat="1" ht="13" x14ac:dyDescent="0.15"/>
    <row r="7198" customFormat="1" ht="13" x14ac:dyDescent="0.15"/>
    <row r="7199" customFormat="1" ht="13" x14ac:dyDescent="0.15"/>
    <row r="7200" customFormat="1" ht="13" x14ac:dyDescent="0.15"/>
    <row r="7201" customFormat="1" ht="13" x14ac:dyDescent="0.15"/>
    <row r="7202" customFormat="1" ht="13" x14ac:dyDescent="0.15"/>
    <row r="7203" customFormat="1" ht="13" x14ac:dyDescent="0.15"/>
    <row r="7204" customFormat="1" ht="13" x14ac:dyDescent="0.15"/>
    <row r="7205" customFormat="1" ht="13" x14ac:dyDescent="0.15"/>
    <row r="7206" customFormat="1" ht="13" x14ac:dyDescent="0.15"/>
    <row r="7207" customFormat="1" ht="13" x14ac:dyDescent="0.15"/>
    <row r="7208" customFormat="1" ht="13" x14ac:dyDescent="0.15"/>
    <row r="7209" customFormat="1" ht="13" x14ac:dyDescent="0.15"/>
    <row r="7210" customFormat="1" ht="13" x14ac:dyDescent="0.15"/>
    <row r="7211" customFormat="1" ht="13" x14ac:dyDescent="0.15"/>
    <row r="7212" customFormat="1" ht="13" x14ac:dyDescent="0.15"/>
    <row r="7213" customFormat="1" ht="13" x14ac:dyDescent="0.15"/>
    <row r="7214" customFormat="1" ht="13" x14ac:dyDescent="0.15"/>
    <row r="7215" customFormat="1" ht="13" x14ac:dyDescent="0.15"/>
    <row r="7216" customFormat="1" ht="13" x14ac:dyDescent="0.15"/>
    <row r="7217" customFormat="1" ht="13" x14ac:dyDescent="0.15"/>
    <row r="7218" customFormat="1" ht="13" x14ac:dyDescent="0.15"/>
    <row r="7219" customFormat="1" ht="13" x14ac:dyDescent="0.15"/>
    <row r="7220" customFormat="1" ht="13" x14ac:dyDescent="0.15"/>
    <row r="7221" customFormat="1" ht="13" x14ac:dyDescent="0.15"/>
    <row r="7222" customFormat="1" ht="13" x14ac:dyDescent="0.15"/>
    <row r="7223" customFormat="1" ht="13" x14ac:dyDescent="0.15"/>
    <row r="7224" customFormat="1" ht="13" x14ac:dyDescent="0.15"/>
    <row r="7225" customFormat="1" ht="13" x14ac:dyDescent="0.15"/>
    <row r="7226" customFormat="1" ht="13" x14ac:dyDescent="0.15"/>
    <row r="7227" customFormat="1" ht="13" x14ac:dyDescent="0.15"/>
    <row r="7228" customFormat="1" ht="13" x14ac:dyDescent="0.15"/>
    <row r="7229" customFormat="1" ht="13" x14ac:dyDescent="0.15"/>
    <row r="7230" customFormat="1" ht="13" x14ac:dyDescent="0.15"/>
    <row r="7231" customFormat="1" ht="13" x14ac:dyDescent="0.15"/>
    <row r="7232" customFormat="1" ht="13" x14ac:dyDescent="0.15"/>
    <row r="7233" customFormat="1" ht="13" x14ac:dyDescent="0.15"/>
    <row r="7234" customFormat="1" ht="13" x14ac:dyDescent="0.15"/>
    <row r="7235" customFormat="1" ht="13" x14ac:dyDescent="0.15"/>
    <row r="7236" customFormat="1" ht="13" x14ac:dyDescent="0.15"/>
    <row r="7237" customFormat="1" ht="13" x14ac:dyDescent="0.15"/>
    <row r="7238" customFormat="1" ht="13" x14ac:dyDescent="0.15"/>
    <row r="7239" customFormat="1" ht="13" x14ac:dyDescent="0.15"/>
    <row r="7240" customFormat="1" ht="13" x14ac:dyDescent="0.15"/>
    <row r="7241" customFormat="1" ht="13" x14ac:dyDescent="0.15"/>
    <row r="7242" customFormat="1" ht="13" x14ac:dyDescent="0.15"/>
    <row r="7243" customFormat="1" ht="13" x14ac:dyDescent="0.15"/>
    <row r="7244" customFormat="1" ht="13" x14ac:dyDescent="0.15"/>
    <row r="7245" customFormat="1" ht="13" x14ac:dyDescent="0.15"/>
    <row r="7246" customFormat="1" ht="13" x14ac:dyDescent="0.15"/>
    <row r="7247" customFormat="1" ht="13" x14ac:dyDescent="0.15"/>
    <row r="7248" customFormat="1" ht="13" x14ac:dyDescent="0.15"/>
    <row r="7249" customFormat="1" ht="13" x14ac:dyDescent="0.15"/>
    <row r="7250" customFormat="1" ht="13" x14ac:dyDescent="0.15"/>
    <row r="7251" customFormat="1" ht="13" x14ac:dyDescent="0.15"/>
    <row r="7252" customFormat="1" ht="13" x14ac:dyDescent="0.15"/>
    <row r="7253" customFormat="1" ht="13" x14ac:dyDescent="0.15"/>
    <row r="7254" customFormat="1" ht="13" x14ac:dyDescent="0.15"/>
    <row r="7255" customFormat="1" ht="13" x14ac:dyDescent="0.15"/>
    <row r="7256" customFormat="1" ht="13" x14ac:dyDescent="0.15"/>
    <row r="7257" customFormat="1" ht="13" x14ac:dyDescent="0.15"/>
    <row r="7258" customFormat="1" ht="13" x14ac:dyDescent="0.15"/>
    <row r="7259" customFormat="1" ht="13" x14ac:dyDescent="0.15"/>
    <row r="7260" customFormat="1" ht="13" x14ac:dyDescent="0.15"/>
    <row r="7261" customFormat="1" ht="13" x14ac:dyDescent="0.15"/>
    <row r="7262" customFormat="1" ht="13" x14ac:dyDescent="0.15"/>
    <row r="7263" customFormat="1" ht="13" x14ac:dyDescent="0.15"/>
    <row r="7264" customFormat="1" ht="13" x14ac:dyDescent="0.15"/>
    <row r="7265" customFormat="1" ht="13" x14ac:dyDescent="0.15"/>
    <row r="7266" customFormat="1" ht="13" x14ac:dyDescent="0.15"/>
    <row r="7267" customFormat="1" ht="13" x14ac:dyDescent="0.15"/>
    <row r="7268" customFormat="1" ht="13" x14ac:dyDescent="0.15"/>
    <row r="7269" customFormat="1" ht="13" x14ac:dyDescent="0.15"/>
    <row r="7270" customFormat="1" ht="13" x14ac:dyDescent="0.15"/>
    <row r="7271" customFormat="1" ht="13" x14ac:dyDescent="0.15"/>
    <row r="7272" customFormat="1" ht="13" x14ac:dyDescent="0.15"/>
    <row r="7273" customFormat="1" ht="13" x14ac:dyDescent="0.15"/>
    <row r="7274" customFormat="1" ht="13" x14ac:dyDescent="0.15"/>
    <row r="7275" customFormat="1" ht="13" x14ac:dyDescent="0.15"/>
    <row r="7276" customFormat="1" ht="13" x14ac:dyDescent="0.15"/>
    <row r="7277" customFormat="1" ht="13" x14ac:dyDescent="0.15"/>
    <row r="7278" customFormat="1" ht="13" x14ac:dyDescent="0.15"/>
    <row r="7279" customFormat="1" ht="13" x14ac:dyDescent="0.15"/>
    <row r="7280" customFormat="1" ht="13" x14ac:dyDescent="0.15"/>
    <row r="7281" customFormat="1" ht="13" x14ac:dyDescent="0.15"/>
    <row r="7282" customFormat="1" ht="13" x14ac:dyDescent="0.15"/>
    <row r="7283" customFormat="1" ht="13" x14ac:dyDescent="0.15"/>
    <row r="7284" customFormat="1" ht="13" x14ac:dyDescent="0.15"/>
    <row r="7285" customFormat="1" ht="13" x14ac:dyDescent="0.15"/>
    <row r="7286" customFormat="1" ht="13" x14ac:dyDescent="0.15"/>
    <row r="7287" customFormat="1" ht="13" x14ac:dyDescent="0.15"/>
    <row r="7288" customFormat="1" ht="13" x14ac:dyDescent="0.15"/>
    <row r="7289" customFormat="1" ht="13" x14ac:dyDescent="0.15"/>
    <row r="7290" customFormat="1" ht="13" x14ac:dyDescent="0.15"/>
    <row r="7291" customFormat="1" ht="13" x14ac:dyDescent="0.15"/>
    <row r="7292" customFormat="1" ht="13" x14ac:dyDescent="0.15"/>
    <row r="7293" customFormat="1" ht="13" x14ac:dyDescent="0.15"/>
    <row r="7294" customFormat="1" ht="13" x14ac:dyDescent="0.15"/>
    <row r="7295" customFormat="1" ht="13" x14ac:dyDescent="0.15"/>
    <row r="7296" customFormat="1" ht="13" x14ac:dyDescent="0.15"/>
    <row r="7297" customFormat="1" ht="13" x14ac:dyDescent="0.15"/>
    <row r="7298" customFormat="1" ht="13" x14ac:dyDescent="0.15"/>
    <row r="7299" customFormat="1" ht="13" x14ac:dyDescent="0.15"/>
    <row r="7300" customFormat="1" ht="13" x14ac:dyDescent="0.15"/>
    <row r="7301" customFormat="1" ht="13" x14ac:dyDescent="0.15"/>
    <row r="7302" customFormat="1" ht="13" x14ac:dyDescent="0.15"/>
    <row r="7303" customFormat="1" ht="13" x14ac:dyDescent="0.15"/>
    <row r="7304" customFormat="1" ht="13" x14ac:dyDescent="0.15"/>
    <row r="7305" customFormat="1" ht="13" x14ac:dyDescent="0.15"/>
    <row r="7306" customFormat="1" ht="13" x14ac:dyDescent="0.15"/>
    <row r="7307" customFormat="1" ht="13" x14ac:dyDescent="0.15"/>
    <row r="7308" customFormat="1" ht="13" x14ac:dyDescent="0.15"/>
    <row r="7309" customFormat="1" ht="13" x14ac:dyDescent="0.15"/>
    <row r="7310" customFormat="1" ht="13" x14ac:dyDescent="0.15"/>
    <row r="7311" customFormat="1" ht="13" x14ac:dyDescent="0.15"/>
    <row r="7312" customFormat="1" ht="13" x14ac:dyDescent="0.15"/>
    <row r="7313" customFormat="1" ht="13" x14ac:dyDescent="0.15"/>
    <row r="7314" customFormat="1" ht="13" x14ac:dyDescent="0.15"/>
    <row r="7315" customFormat="1" ht="13" x14ac:dyDescent="0.15"/>
    <row r="7316" customFormat="1" ht="13" x14ac:dyDescent="0.15"/>
    <row r="7317" customFormat="1" ht="13" x14ac:dyDescent="0.15"/>
    <row r="7318" customFormat="1" ht="13" x14ac:dyDescent="0.15"/>
    <row r="7319" customFormat="1" ht="13" x14ac:dyDescent="0.15"/>
    <row r="7320" customFormat="1" ht="13" x14ac:dyDescent="0.15"/>
    <row r="7321" customFormat="1" ht="13" x14ac:dyDescent="0.15"/>
    <row r="7322" customFormat="1" ht="13" x14ac:dyDescent="0.15"/>
    <row r="7323" customFormat="1" ht="13" x14ac:dyDescent="0.15"/>
    <row r="7324" customFormat="1" ht="13" x14ac:dyDescent="0.15"/>
    <row r="7325" customFormat="1" ht="13" x14ac:dyDescent="0.15"/>
    <row r="7326" customFormat="1" ht="13" x14ac:dyDescent="0.15"/>
    <row r="7327" customFormat="1" ht="13" x14ac:dyDescent="0.15"/>
    <row r="7328" customFormat="1" ht="13" x14ac:dyDescent="0.15"/>
    <row r="7329" customFormat="1" ht="13" x14ac:dyDescent="0.15"/>
    <row r="7330" customFormat="1" ht="13" x14ac:dyDescent="0.15"/>
    <row r="7331" customFormat="1" ht="13" x14ac:dyDescent="0.15"/>
    <row r="7332" customFormat="1" ht="13" x14ac:dyDescent="0.15"/>
    <row r="7333" customFormat="1" ht="13" x14ac:dyDescent="0.15"/>
    <row r="7334" customFormat="1" ht="13" x14ac:dyDescent="0.15"/>
    <row r="7335" customFormat="1" ht="13" x14ac:dyDescent="0.15"/>
    <row r="7336" customFormat="1" ht="13" x14ac:dyDescent="0.15"/>
    <row r="7337" customFormat="1" ht="13" x14ac:dyDescent="0.15"/>
    <row r="7338" customFormat="1" ht="13" x14ac:dyDescent="0.15"/>
    <row r="7339" customFormat="1" ht="13" x14ac:dyDescent="0.15"/>
    <row r="7340" customFormat="1" ht="13" x14ac:dyDescent="0.15"/>
    <row r="7341" customFormat="1" ht="13" x14ac:dyDescent="0.15"/>
    <row r="7342" customFormat="1" ht="13" x14ac:dyDescent="0.15"/>
    <row r="7343" customFormat="1" ht="13" x14ac:dyDescent="0.15"/>
    <row r="7344" customFormat="1" ht="13" x14ac:dyDescent="0.15"/>
    <row r="7345" customFormat="1" ht="13" x14ac:dyDescent="0.15"/>
    <row r="7346" customFormat="1" ht="13" x14ac:dyDescent="0.15"/>
    <row r="7347" customFormat="1" ht="13" x14ac:dyDescent="0.15"/>
    <row r="7348" customFormat="1" ht="13" x14ac:dyDescent="0.15"/>
    <row r="7349" customFormat="1" ht="13" x14ac:dyDescent="0.15"/>
    <row r="7350" customFormat="1" ht="13" x14ac:dyDescent="0.15"/>
    <row r="7351" customFormat="1" ht="13" x14ac:dyDescent="0.15"/>
    <row r="7352" customFormat="1" ht="13" x14ac:dyDescent="0.15"/>
    <row r="7353" customFormat="1" ht="13" x14ac:dyDescent="0.15"/>
    <row r="7354" customFormat="1" ht="13" x14ac:dyDescent="0.15"/>
    <row r="7355" customFormat="1" ht="13" x14ac:dyDescent="0.15"/>
    <row r="7356" customFormat="1" ht="13" x14ac:dyDescent="0.15"/>
    <row r="7357" customFormat="1" ht="13" x14ac:dyDescent="0.15"/>
    <row r="7358" customFormat="1" ht="13" x14ac:dyDescent="0.15"/>
    <row r="7359" customFormat="1" ht="13" x14ac:dyDescent="0.15"/>
    <row r="7360" customFormat="1" ht="13" x14ac:dyDescent="0.15"/>
    <row r="7361" customFormat="1" ht="13" x14ac:dyDescent="0.15"/>
    <row r="7362" customFormat="1" ht="13" x14ac:dyDescent="0.15"/>
    <row r="7363" customFormat="1" ht="13" x14ac:dyDescent="0.15"/>
    <row r="7364" customFormat="1" ht="13" x14ac:dyDescent="0.15"/>
    <row r="7365" customFormat="1" ht="13" x14ac:dyDescent="0.15"/>
    <row r="7366" customFormat="1" ht="13" x14ac:dyDescent="0.15"/>
    <row r="7367" customFormat="1" ht="13" x14ac:dyDescent="0.15"/>
    <row r="7368" customFormat="1" ht="13" x14ac:dyDescent="0.15"/>
    <row r="7369" customFormat="1" ht="13" x14ac:dyDescent="0.15"/>
    <row r="7370" customFormat="1" ht="13" x14ac:dyDescent="0.15"/>
    <row r="7371" customFormat="1" ht="13" x14ac:dyDescent="0.15"/>
    <row r="7372" customFormat="1" ht="13" x14ac:dyDescent="0.15"/>
    <row r="7373" customFormat="1" ht="13" x14ac:dyDescent="0.15"/>
    <row r="7374" customFormat="1" ht="13" x14ac:dyDescent="0.15"/>
    <row r="7375" customFormat="1" ht="13" x14ac:dyDescent="0.15"/>
    <row r="7376" customFormat="1" ht="13" x14ac:dyDescent="0.15"/>
    <row r="7377" customFormat="1" ht="13" x14ac:dyDescent="0.15"/>
    <row r="7378" customFormat="1" ht="13" x14ac:dyDescent="0.15"/>
    <row r="7379" customFormat="1" ht="13" x14ac:dyDescent="0.15"/>
    <row r="7380" customFormat="1" ht="13" x14ac:dyDescent="0.15"/>
    <row r="7381" customFormat="1" ht="13" x14ac:dyDescent="0.15"/>
    <row r="7382" customFormat="1" ht="13" x14ac:dyDescent="0.15"/>
    <row r="7383" customFormat="1" ht="13" x14ac:dyDescent="0.15"/>
    <row r="7384" customFormat="1" ht="13" x14ac:dyDescent="0.15"/>
    <row r="7385" customFormat="1" ht="13" x14ac:dyDescent="0.15"/>
    <row r="7386" customFormat="1" ht="13" x14ac:dyDescent="0.15"/>
    <row r="7387" customFormat="1" ht="13" x14ac:dyDescent="0.15"/>
    <row r="7388" customFormat="1" ht="13" x14ac:dyDescent="0.15"/>
    <row r="7389" customFormat="1" ht="13" x14ac:dyDescent="0.15"/>
    <row r="7390" customFormat="1" ht="13" x14ac:dyDescent="0.15"/>
    <row r="7391" customFormat="1" ht="13" x14ac:dyDescent="0.15"/>
    <row r="7392" customFormat="1" ht="13" x14ac:dyDescent="0.15"/>
    <row r="7393" customFormat="1" ht="13" x14ac:dyDescent="0.15"/>
    <row r="7394" customFormat="1" ht="13" x14ac:dyDescent="0.15"/>
    <row r="7395" customFormat="1" ht="13" x14ac:dyDescent="0.15"/>
    <row r="7396" customFormat="1" ht="13" x14ac:dyDescent="0.15"/>
    <row r="7397" customFormat="1" ht="13" x14ac:dyDescent="0.15"/>
    <row r="7398" customFormat="1" ht="13" x14ac:dyDescent="0.15"/>
    <row r="7399" customFormat="1" ht="13" x14ac:dyDescent="0.15"/>
    <row r="7400" customFormat="1" ht="13" x14ac:dyDescent="0.15"/>
    <row r="7401" customFormat="1" ht="13" x14ac:dyDescent="0.15"/>
    <row r="7402" customFormat="1" ht="13" x14ac:dyDescent="0.15"/>
    <row r="7403" customFormat="1" ht="13" x14ac:dyDescent="0.15"/>
    <row r="7404" customFormat="1" ht="13" x14ac:dyDescent="0.15"/>
    <row r="7405" customFormat="1" ht="13" x14ac:dyDescent="0.15"/>
    <row r="7406" customFormat="1" ht="13" x14ac:dyDescent="0.15"/>
    <row r="7407" customFormat="1" ht="13" x14ac:dyDescent="0.15"/>
    <row r="7408" customFormat="1" ht="13" x14ac:dyDescent="0.15"/>
    <row r="7409" customFormat="1" ht="13" x14ac:dyDescent="0.15"/>
    <row r="7410" customFormat="1" ht="13" x14ac:dyDescent="0.15"/>
    <row r="7411" customFormat="1" ht="13" x14ac:dyDescent="0.15"/>
    <row r="7412" customFormat="1" ht="13" x14ac:dyDescent="0.15"/>
    <row r="7413" customFormat="1" ht="13" x14ac:dyDescent="0.15"/>
    <row r="7414" customFormat="1" ht="13" x14ac:dyDescent="0.15"/>
    <row r="7415" customFormat="1" ht="13" x14ac:dyDescent="0.15"/>
    <row r="7416" customFormat="1" ht="13" x14ac:dyDescent="0.15"/>
    <row r="7417" customFormat="1" ht="13" x14ac:dyDescent="0.15"/>
    <row r="7418" customFormat="1" ht="13" x14ac:dyDescent="0.15"/>
    <row r="7419" customFormat="1" ht="13" x14ac:dyDescent="0.15"/>
    <row r="7420" customFormat="1" ht="13" x14ac:dyDescent="0.15"/>
    <row r="7421" customFormat="1" ht="13" x14ac:dyDescent="0.15"/>
    <row r="7422" customFormat="1" ht="13" x14ac:dyDescent="0.15"/>
    <row r="7423" customFormat="1" ht="13" x14ac:dyDescent="0.15"/>
    <row r="7424" customFormat="1" ht="13" x14ac:dyDescent="0.15"/>
    <row r="7425" customFormat="1" ht="13" x14ac:dyDescent="0.15"/>
    <row r="7426" customFormat="1" ht="13" x14ac:dyDescent="0.15"/>
    <row r="7427" customFormat="1" ht="13" x14ac:dyDescent="0.15"/>
    <row r="7428" customFormat="1" ht="13" x14ac:dyDescent="0.15"/>
    <row r="7429" customFormat="1" ht="13" x14ac:dyDescent="0.15"/>
    <row r="7430" customFormat="1" ht="13" x14ac:dyDescent="0.15"/>
    <row r="7431" customFormat="1" ht="13" x14ac:dyDescent="0.15"/>
    <row r="7432" customFormat="1" ht="13" x14ac:dyDescent="0.15"/>
    <row r="7433" customFormat="1" ht="13" x14ac:dyDescent="0.15"/>
    <row r="7434" customFormat="1" ht="13" x14ac:dyDescent="0.15"/>
    <row r="7435" customFormat="1" ht="13" x14ac:dyDescent="0.15"/>
    <row r="7436" customFormat="1" ht="13" x14ac:dyDescent="0.15"/>
    <row r="7437" customFormat="1" ht="13" x14ac:dyDescent="0.15"/>
    <row r="7438" customFormat="1" ht="13" x14ac:dyDescent="0.15"/>
    <row r="7439" customFormat="1" ht="13" x14ac:dyDescent="0.15"/>
    <row r="7440" customFormat="1" ht="13" x14ac:dyDescent="0.15"/>
    <row r="7441" customFormat="1" ht="13" x14ac:dyDescent="0.15"/>
    <row r="7442" customFormat="1" ht="13" x14ac:dyDescent="0.15"/>
    <row r="7443" customFormat="1" ht="13" x14ac:dyDescent="0.15"/>
    <row r="7444" customFormat="1" ht="13" x14ac:dyDescent="0.15"/>
    <row r="7445" customFormat="1" ht="13" x14ac:dyDescent="0.15"/>
    <row r="7446" customFormat="1" ht="13" x14ac:dyDescent="0.15"/>
    <row r="7447" customFormat="1" ht="13" x14ac:dyDescent="0.15"/>
    <row r="7448" customFormat="1" ht="13" x14ac:dyDescent="0.15"/>
    <row r="7449" customFormat="1" ht="13" x14ac:dyDescent="0.15"/>
    <row r="7450" customFormat="1" ht="13" x14ac:dyDescent="0.15"/>
    <row r="7451" customFormat="1" ht="13" x14ac:dyDescent="0.15"/>
    <row r="7452" customFormat="1" ht="13" x14ac:dyDescent="0.15"/>
    <row r="7453" customFormat="1" ht="13" x14ac:dyDescent="0.15"/>
    <row r="7454" customFormat="1" ht="13" x14ac:dyDescent="0.15"/>
    <row r="7455" customFormat="1" ht="13" x14ac:dyDescent="0.15"/>
    <row r="7456" customFormat="1" ht="13" x14ac:dyDescent="0.15"/>
    <row r="7457" customFormat="1" ht="13" x14ac:dyDescent="0.15"/>
    <row r="7458" customFormat="1" ht="13" x14ac:dyDescent="0.15"/>
    <row r="7459" customFormat="1" ht="13" x14ac:dyDescent="0.15"/>
    <row r="7460" customFormat="1" ht="13" x14ac:dyDescent="0.15"/>
    <row r="7461" customFormat="1" ht="13" x14ac:dyDescent="0.15"/>
    <row r="7462" customFormat="1" ht="13" x14ac:dyDescent="0.15"/>
    <row r="7463" customFormat="1" ht="13" x14ac:dyDescent="0.15"/>
    <row r="7464" customFormat="1" ht="13" x14ac:dyDescent="0.15"/>
    <row r="7465" customFormat="1" ht="13" x14ac:dyDescent="0.15"/>
    <row r="7466" customFormat="1" ht="13" x14ac:dyDescent="0.15"/>
    <row r="7467" customFormat="1" ht="13" x14ac:dyDescent="0.15"/>
    <row r="7468" customFormat="1" ht="13" x14ac:dyDescent="0.15"/>
    <row r="7469" customFormat="1" ht="13" x14ac:dyDescent="0.15"/>
    <row r="7470" customFormat="1" ht="13" x14ac:dyDescent="0.15"/>
    <row r="7471" customFormat="1" ht="13" x14ac:dyDescent="0.15"/>
    <row r="7472" customFormat="1" ht="13" x14ac:dyDescent="0.15"/>
    <row r="7473" customFormat="1" ht="13" x14ac:dyDescent="0.15"/>
    <row r="7474" customFormat="1" ht="13" x14ac:dyDescent="0.15"/>
    <row r="7475" customFormat="1" ht="13" x14ac:dyDescent="0.15"/>
    <row r="7476" customFormat="1" ht="13" x14ac:dyDescent="0.15"/>
    <row r="7477" customFormat="1" ht="13" x14ac:dyDescent="0.15"/>
    <row r="7478" customFormat="1" ht="13" x14ac:dyDescent="0.15"/>
    <row r="7479" customFormat="1" ht="13" x14ac:dyDescent="0.15"/>
    <row r="7480" customFormat="1" ht="13" x14ac:dyDescent="0.15"/>
    <row r="7481" customFormat="1" ht="13" x14ac:dyDescent="0.15"/>
    <row r="7482" customFormat="1" ht="13" x14ac:dyDescent="0.15"/>
    <row r="7483" customFormat="1" ht="13" x14ac:dyDescent="0.15"/>
    <row r="7484" customFormat="1" ht="13" x14ac:dyDescent="0.15"/>
    <row r="7485" customFormat="1" ht="13" x14ac:dyDescent="0.15"/>
    <row r="7486" customFormat="1" ht="13" x14ac:dyDescent="0.15"/>
    <row r="7487" customFormat="1" ht="13" x14ac:dyDescent="0.15"/>
    <row r="7488" customFormat="1" ht="13" x14ac:dyDescent="0.15"/>
    <row r="7489" customFormat="1" ht="13" x14ac:dyDescent="0.15"/>
    <row r="7490" customFormat="1" ht="13" x14ac:dyDescent="0.15"/>
    <row r="7491" customFormat="1" ht="13" x14ac:dyDescent="0.15"/>
    <row r="7492" customFormat="1" ht="13" x14ac:dyDescent="0.15"/>
    <row r="7493" customFormat="1" ht="13" x14ac:dyDescent="0.15"/>
    <row r="7494" customFormat="1" ht="13" x14ac:dyDescent="0.15"/>
    <row r="7495" customFormat="1" ht="13" x14ac:dyDescent="0.15"/>
    <row r="7496" customFormat="1" ht="13" x14ac:dyDescent="0.15"/>
    <row r="7497" customFormat="1" ht="13" x14ac:dyDescent="0.15"/>
    <row r="7498" customFormat="1" ht="13" x14ac:dyDescent="0.15"/>
    <row r="7499" customFormat="1" ht="13" x14ac:dyDescent="0.15"/>
    <row r="7500" customFormat="1" ht="13" x14ac:dyDescent="0.15"/>
    <row r="7501" customFormat="1" ht="13" x14ac:dyDescent="0.15"/>
    <row r="7502" customFormat="1" ht="13" x14ac:dyDescent="0.15"/>
    <row r="7503" customFormat="1" ht="13" x14ac:dyDescent="0.15"/>
    <row r="7504" customFormat="1" ht="13" x14ac:dyDescent="0.15"/>
    <row r="7505" customFormat="1" ht="13" x14ac:dyDescent="0.15"/>
    <row r="7506" customFormat="1" ht="13" x14ac:dyDescent="0.15"/>
    <row r="7507" customFormat="1" ht="13" x14ac:dyDescent="0.15"/>
    <row r="7508" customFormat="1" ht="13" x14ac:dyDescent="0.15"/>
    <row r="7509" customFormat="1" ht="13" x14ac:dyDescent="0.15"/>
    <row r="7510" customFormat="1" ht="13" x14ac:dyDescent="0.15"/>
    <row r="7511" customFormat="1" ht="13" x14ac:dyDescent="0.15"/>
    <row r="7512" customFormat="1" ht="13" x14ac:dyDescent="0.15"/>
    <row r="7513" customFormat="1" ht="13" x14ac:dyDescent="0.15"/>
    <row r="7514" customFormat="1" ht="13" x14ac:dyDescent="0.15"/>
    <row r="7515" customFormat="1" ht="13" x14ac:dyDescent="0.15"/>
    <row r="7516" customFormat="1" ht="13" x14ac:dyDescent="0.15"/>
    <row r="7517" customFormat="1" ht="13" x14ac:dyDescent="0.15"/>
    <row r="7518" customFormat="1" ht="13" x14ac:dyDescent="0.15"/>
    <row r="7519" customFormat="1" ht="13" x14ac:dyDescent="0.15"/>
    <row r="7520" customFormat="1" ht="13" x14ac:dyDescent="0.15"/>
    <row r="7521" customFormat="1" ht="13" x14ac:dyDescent="0.15"/>
    <row r="7522" customFormat="1" ht="13" x14ac:dyDescent="0.15"/>
    <row r="7523" customFormat="1" ht="13" x14ac:dyDescent="0.15"/>
    <row r="7524" customFormat="1" ht="13" x14ac:dyDescent="0.15"/>
    <row r="7525" customFormat="1" ht="13" x14ac:dyDescent="0.15"/>
    <row r="7526" customFormat="1" ht="13" x14ac:dyDescent="0.15"/>
    <row r="7527" customFormat="1" ht="13" x14ac:dyDescent="0.15"/>
    <row r="7528" customFormat="1" ht="13" x14ac:dyDescent="0.15"/>
    <row r="7529" customFormat="1" ht="13" x14ac:dyDescent="0.15"/>
    <row r="7530" customFormat="1" ht="13" x14ac:dyDescent="0.15"/>
    <row r="7531" customFormat="1" ht="13" x14ac:dyDescent="0.15"/>
    <row r="7532" customFormat="1" ht="13" x14ac:dyDescent="0.15"/>
    <row r="7533" customFormat="1" ht="13" x14ac:dyDescent="0.15"/>
    <row r="7534" customFormat="1" ht="13" x14ac:dyDescent="0.15"/>
    <row r="7535" customFormat="1" ht="13" x14ac:dyDescent="0.15"/>
    <row r="7536" customFormat="1" ht="13" x14ac:dyDescent="0.15"/>
    <row r="7537" customFormat="1" ht="13" x14ac:dyDescent="0.15"/>
    <row r="7538" customFormat="1" ht="13" x14ac:dyDescent="0.15"/>
    <row r="7539" customFormat="1" ht="13" x14ac:dyDescent="0.15"/>
    <row r="7540" customFormat="1" ht="13" x14ac:dyDescent="0.15"/>
    <row r="7541" customFormat="1" ht="13" x14ac:dyDescent="0.15"/>
    <row r="7542" customFormat="1" ht="13" x14ac:dyDescent="0.15"/>
    <row r="7543" customFormat="1" ht="13" x14ac:dyDescent="0.15"/>
    <row r="7544" customFormat="1" ht="13" x14ac:dyDescent="0.15"/>
    <row r="7545" customFormat="1" ht="13" x14ac:dyDescent="0.15"/>
    <row r="7546" customFormat="1" ht="13" x14ac:dyDescent="0.15"/>
    <row r="7547" customFormat="1" ht="13" x14ac:dyDescent="0.15"/>
    <row r="7548" customFormat="1" ht="13" x14ac:dyDescent="0.15"/>
    <row r="7549" customFormat="1" ht="13" x14ac:dyDescent="0.15"/>
    <row r="7550" customFormat="1" ht="13" x14ac:dyDescent="0.15"/>
    <row r="7551" customFormat="1" ht="13" x14ac:dyDescent="0.15"/>
    <row r="7552" customFormat="1" ht="13" x14ac:dyDescent="0.15"/>
    <row r="7553" customFormat="1" ht="13" x14ac:dyDescent="0.15"/>
    <row r="7554" customFormat="1" ht="13" x14ac:dyDescent="0.15"/>
    <row r="7555" customFormat="1" ht="13" x14ac:dyDescent="0.15"/>
    <row r="7556" customFormat="1" ht="13" x14ac:dyDescent="0.15"/>
    <row r="7557" customFormat="1" ht="13" x14ac:dyDescent="0.15"/>
    <row r="7558" customFormat="1" ht="13" x14ac:dyDescent="0.15"/>
    <row r="7559" customFormat="1" ht="13" x14ac:dyDescent="0.15"/>
    <row r="7560" customFormat="1" ht="13" x14ac:dyDescent="0.15"/>
    <row r="7561" customFormat="1" ht="13" x14ac:dyDescent="0.15"/>
    <row r="7562" customFormat="1" ht="13" x14ac:dyDescent="0.15"/>
    <row r="7563" customFormat="1" ht="13" x14ac:dyDescent="0.15"/>
    <row r="7564" customFormat="1" ht="13" x14ac:dyDescent="0.15"/>
    <row r="7565" customFormat="1" ht="13" x14ac:dyDescent="0.15"/>
    <row r="7566" customFormat="1" ht="13" x14ac:dyDescent="0.15"/>
    <row r="7567" customFormat="1" ht="13" x14ac:dyDescent="0.15"/>
    <row r="7568" customFormat="1" ht="13" x14ac:dyDescent="0.15"/>
    <row r="7569" customFormat="1" ht="13" x14ac:dyDescent="0.15"/>
    <row r="7570" customFormat="1" ht="13" x14ac:dyDescent="0.15"/>
    <row r="7571" customFormat="1" ht="13" x14ac:dyDescent="0.15"/>
    <row r="7572" customFormat="1" ht="13" x14ac:dyDescent="0.15"/>
    <row r="7573" customFormat="1" ht="13" x14ac:dyDescent="0.15"/>
    <row r="7574" customFormat="1" ht="13" x14ac:dyDescent="0.15"/>
    <row r="7575" customFormat="1" ht="13" x14ac:dyDescent="0.15"/>
    <row r="7576" customFormat="1" ht="13" x14ac:dyDescent="0.15"/>
    <row r="7577" customFormat="1" ht="13" x14ac:dyDescent="0.15"/>
    <row r="7578" customFormat="1" ht="13" x14ac:dyDescent="0.15"/>
    <row r="7579" customFormat="1" ht="13" x14ac:dyDescent="0.15"/>
    <row r="7580" customFormat="1" ht="13" x14ac:dyDescent="0.15"/>
    <row r="7581" customFormat="1" ht="13" x14ac:dyDescent="0.15"/>
    <row r="7582" customFormat="1" ht="13" x14ac:dyDescent="0.15"/>
    <row r="7583" customFormat="1" ht="13" x14ac:dyDescent="0.15"/>
    <row r="7584" customFormat="1" ht="13" x14ac:dyDescent="0.15"/>
    <row r="7585" customFormat="1" ht="13" x14ac:dyDescent="0.15"/>
    <row r="7586" customFormat="1" ht="13" x14ac:dyDescent="0.15"/>
    <row r="7587" customFormat="1" ht="13" x14ac:dyDescent="0.15"/>
    <row r="7588" customFormat="1" ht="13" x14ac:dyDescent="0.15"/>
    <row r="7589" customFormat="1" ht="13" x14ac:dyDescent="0.15"/>
    <row r="7590" customFormat="1" ht="13" x14ac:dyDescent="0.15"/>
    <row r="7591" customFormat="1" ht="13" x14ac:dyDescent="0.15"/>
    <row r="7592" customFormat="1" ht="13" x14ac:dyDescent="0.15"/>
    <row r="7593" customFormat="1" ht="13" x14ac:dyDescent="0.15"/>
    <row r="7594" customFormat="1" ht="13" x14ac:dyDescent="0.15"/>
    <row r="7595" customFormat="1" ht="13" x14ac:dyDescent="0.15"/>
    <row r="7596" customFormat="1" ht="13" x14ac:dyDescent="0.15"/>
    <row r="7597" customFormat="1" ht="13" x14ac:dyDescent="0.15"/>
    <row r="7598" customFormat="1" ht="13" x14ac:dyDescent="0.15"/>
    <row r="7599" customFormat="1" ht="13" x14ac:dyDescent="0.15"/>
    <row r="7600" customFormat="1" ht="13" x14ac:dyDescent="0.15"/>
    <row r="7601" customFormat="1" ht="13" x14ac:dyDescent="0.15"/>
    <row r="7602" customFormat="1" ht="13" x14ac:dyDescent="0.15"/>
    <row r="7603" customFormat="1" ht="13" x14ac:dyDescent="0.15"/>
    <row r="7604" customFormat="1" ht="13" x14ac:dyDescent="0.15"/>
    <row r="7605" customFormat="1" ht="13" x14ac:dyDescent="0.15"/>
    <row r="7606" customFormat="1" ht="13" x14ac:dyDescent="0.15"/>
    <row r="7607" customFormat="1" ht="13" x14ac:dyDescent="0.15"/>
    <row r="7608" customFormat="1" ht="13" x14ac:dyDescent="0.15"/>
    <row r="7609" customFormat="1" ht="13" x14ac:dyDescent="0.15"/>
    <row r="7610" customFormat="1" ht="13" x14ac:dyDescent="0.15"/>
    <row r="7611" customFormat="1" ht="13" x14ac:dyDescent="0.15"/>
    <row r="7612" customFormat="1" ht="13" x14ac:dyDescent="0.15"/>
    <row r="7613" customFormat="1" ht="13" x14ac:dyDescent="0.15"/>
    <row r="7614" customFormat="1" ht="13" x14ac:dyDescent="0.15"/>
    <row r="7615" customFormat="1" ht="13" x14ac:dyDescent="0.15"/>
    <row r="7616" customFormat="1" ht="13" x14ac:dyDescent="0.15"/>
    <row r="7617" customFormat="1" ht="13" x14ac:dyDescent="0.15"/>
    <row r="7618" customFormat="1" ht="13" x14ac:dyDescent="0.15"/>
    <row r="7619" customFormat="1" ht="13" x14ac:dyDescent="0.15"/>
    <row r="7620" customFormat="1" ht="13" x14ac:dyDescent="0.15"/>
    <row r="7621" customFormat="1" ht="13" x14ac:dyDescent="0.15"/>
    <row r="7622" customFormat="1" ht="13" x14ac:dyDescent="0.15"/>
    <row r="7623" customFormat="1" ht="13" x14ac:dyDescent="0.15"/>
    <row r="7624" customFormat="1" ht="13" x14ac:dyDescent="0.15"/>
    <row r="7625" customFormat="1" ht="13" x14ac:dyDescent="0.15"/>
    <row r="7626" customFormat="1" ht="13" x14ac:dyDescent="0.15"/>
    <row r="7627" customFormat="1" ht="13" x14ac:dyDescent="0.15"/>
    <row r="7628" customFormat="1" ht="13" x14ac:dyDescent="0.15"/>
    <row r="7629" customFormat="1" ht="13" x14ac:dyDescent="0.15"/>
    <row r="7630" customFormat="1" ht="13" x14ac:dyDescent="0.15"/>
    <row r="7631" customFormat="1" ht="13" x14ac:dyDescent="0.15"/>
    <row r="7632" customFormat="1" ht="13" x14ac:dyDescent="0.15"/>
    <row r="7633" customFormat="1" ht="13" x14ac:dyDescent="0.15"/>
    <row r="7634" customFormat="1" ht="13" x14ac:dyDescent="0.15"/>
    <row r="7635" customFormat="1" ht="13" x14ac:dyDescent="0.15"/>
    <row r="7636" customFormat="1" ht="13" x14ac:dyDescent="0.15"/>
    <row r="7637" customFormat="1" ht="13" x14ac:dyDescent="0.15"/>
    <row r="7638" customFormat="1" ht="13" x14ac:dyDescent="0.15"/>
    <row r="7639" customFormat="1" ht="13" x14ac:dyDescent="0.15"/>
    <row r="7640" customFormat="1" ht="13" x14ac:dyDescent="0.15"/>
    <row r="7641" customFormat="1" ht="13" x14ac:dyDescent="0.15"/>
    <row r="7642" customFormat="1" ht="13" x14ac:dyDescent="0.15"/>
    <row r="7643" customFormat="1" ht="13" x14ac:dyDescent="0.15"/>
    <row r="7644" customFormat="1" ht="13" x14ac:dyDescent="0.15"/>
    <row r="7645" customFormat="1" ht="13" x14ac:dyDescent="0.15"/>
    <row r="7646" customFormat="1" ht="13" x14ac:dyDescent="0.15"/>
    <row r="7647" customFormat="1" ht="13" x14ac:dyDescent="0.15"/>
    <row r="7648" customFormat="1" ht="13" x14ac:dyDescent="0.15"/>
    <row r="7649" customFormat="1" ht="13" x14ac:dyDescent="0.15"/>
    <row r="7650" customFormat="1" ht="13" x14ac:dyDescent="0.15"/>
    <row r="7651" customFormat="1" ht="13" x14ac:dyDescent="0.15"/>
    <row r="7652" customFormat="1" ht="13" x14ac:dyDescent="0.15"/>
    <row r="7653" customFormat="1" ht="13" x14ac:dyDescent="0.15"/>
    <row r="7654" customFormat="1" ht="13" x14ac:dyDescent="0.15"/>
    <row r="7655" customFormat="1" ht="13" x14ac:dyDescent="0.15"/>
    <row r="7656" customFormat="1" ht="13" x14ac:dyDescent="0.15"/>
    <row r="7657" customFormat="1" ht="13" x14ac:dyDescent="0.15"/>
    <row r="7658" customFormat="1" ht="13" x14ac:dyDescent="0.15"/>
    <row r="7659" customFormat="1" ht="13" x14ac:dyDescent="0.15"/>
    <row r="7660" customFormat="1" ht="13" x14ac:dyDescent="0.15"/>
    <row r="7661" customFormat="1" ht="13" x14ac:dyDescent="0.15"/>
    <row r="7662" customFormat="1" ht="13" x14ac:dyDescent="0.15"/>
    <row r="7663" customFormat="1" ht="13" x14ac:dyDescent="0.15"/>
    <row r="7664" customFormat="1" ht="13" x14ac:dyDescent="0.15"/>
    <row r="7665" customFormat="1" ht="13" x14ac:dyDescent="0.15"/>
    <row r="7666" customFormat="1" ht="13" x14ac:dyDescent="0.15"/>
    <row r="7667" customFormat="1" ht="13" x14ac:dyDescent="0.15"/>
    <row r="7668" customFormat="1" ht="13" x14ac:dyDescent="0.15"/>
    <row r="7669" customFormat="1" ht="13" x14ac:dyDescent="0.15"/>
    <row r="7670" customFormat="1" ht="13" x14ac:dyDescent="0.15"/>
    <row r="7671" customFormat="1" ht="13" x14ac:dyDescent="0.15"/>
    <row r="7672" customFormat="1" ht="13" x14ac:dyDescent="0.15"/>
    <row r="7673" customFormat="1" ht="13" x14ac:dyDescent="0.15"/>
    <row r="7674" customFormat="1" ht="13" x14ac:dyDescent="0.15"/>
    <row r="7675" customFormat="1" ht="13" x14ac:dyDescent="0.15"/>
    <row r="7676" customFormat="1" ht="13" x14ac:dyDescent="0.15"/>
    <row r="7677" customFormat="1" ht="13" x14ac:dyDescent="0.15"/>
    <row r="7678" customFormat="1" ht="13" x14ac:dyDescent="0.15"/>
    <row r="7679" customFormat="1" ht="13" x14ac:dyDescent="0.15"/>
    <row r="7680" customFormat="1" ht="13" x14ac:dyDescent="0.15"/>
    <row r="7681" customFormat="1" ht="13" x14ac:dyDescent="0.15"/>
    <row r="7682" customFormat="1" ht="13" x14ac:dyDescent="0.15"/>
    <row r="7683" customFormat="1" ht="13" x14ac:dyDescent="0.15"/>
    <row r="7684" customFormat="1" ht="13" x14ac:dyDescent="0.15"/>
    <row r="7685" customFormat="1" ht="13" x14ac:dyDescent="0.15"/>
    <row r="7686" customFormat="1" ht="13" x14ac:dyDescent="0.15"/>
    <row r="7687" customFormat="1" ht="13" x14ac:dyDescent="0.15"/>
    <row r="7688" customFormat="1" ht="13" x14ac:dyDescent="0.15"/>
    <row r="7689" customFormat="1" ht="13" x14ac:dyDescent="0.15"/>
    <row r="7690" customFormat="1" ht="13" x14ac:dyDescent="0.15"/>
    <row r="7691" customFormat="1" ht="13" x14ac:dyDescent="0.15"/>
    <row r="7692" customFormat="1" ht="13" x14ac:dyDescent="0.15"/>
    <row r="7693" customFormat="1" ht="13" x14ac:dyDescent="0.15"/>
    <row r="7694" customFormat="1" ht="13" x14ac:dyDescent="0.15"/>
    <row r="7695" customFormat="1" ht="13" x14ac:dyDescent="0.15"/>
    <row r="7696" customFormat="1" ht="13" x14ac:dyDescent="0.15"/>
    <row r="7697" customFormat="1" ht="13" x14ac:dyDescent="0.15"/>
    <row r="7698" customFormat="1" ht="13" x14ac:dyDescent="0.15"/>
    <row r="7699" customFormat="1" ht="13" x14ac:dyDescent="0.15"/>
    <row r="7700" customFormat="1" ht="13" x14ac:dyDescent="0.15"/>
    <row r="7701" customFormat="1" ht="13" x14ac:dyDescent="0.15"/>
    <row r="7702" customFormat="1" ht="13" x14ac:dyDescent="0.15"/>
    <row r="7703" customFormat="1" ht="13" x14ac:dyDescent="0.15"/>
    <row r="7704" customFormat="1" ht="13" x14ac:dyDescent="0.15"/>
    <row r="7705" customFormat="1" ht="13" x14ac:dyDescent="0.15"/>
    <row r="7706" customFormat="1" ht="13" x14ac:dyDescent="0.15"/>
    <row r="7707" customFormat="1" ht="13" x14ac:dyDescent="0.15"/>
    <row r="7708" customFormat="1" ht="13" x14ac:dyDescent="0.15"/>
    <row r="7709" customFormat="1" ht="13" x14ac:dyDescent="0.15"/>
    <row r="7710" customFormat="1" ht="13" x14ac:dyDescent="0.15"/>
    <row r="7711" customFormat="1" ht="13" x14ac:dyDescent="0.15"/>
    <row r="7712" customFormat="1" ht="13" x14ac:dyDescent="0.15"/>
    <row r="7713" customFormat="1" ht="13" x14ac:dyDescent="0.15"/>
    <row r="7714" customFormat="1" ht="13" x14ac:dyDescent="0.15"/>
    <row r="7715" customFormat="1" ht="13" x14ac:dyDescent="0.15"/>
    <row r="7716" customFormat="1" ht="13" x14ac:dyDescent="0.15"/>
    <row r="7717" customFormat="1" ht="13" x14ac:dyDescent="0.15"/>
    <row r="7718" customFormat="1" ht="13" x14ac:dyDescent="0.15"/>
    <row r="7719" customFormat="1" ht="13" x14ac:dyDescent="0.15"/>
    <row r="7720" customFormat="1" ht="13" x14ac:dyDescent="0.15"/>
    <row r="7721" customFormat="1" ht="13" x14ac:dyDescent="0.15"/>
    <row r="7722" customFormat="1" ht="13" x14ac:dyDescent="0.15"/>
    <row r="7723" customFormat="1" ht="13" x14ac:dyDescent="0.15"/>
    <row r="7724" customFormat="1" ht="13" x14ac:dyDescent="0.15"/>
    <row r="7725" customFormat="1" ht="13" x14ac:dyDescent="0.15"/>
    <row r="7726" customFormat="1" ht="13" x14ac:dyDescent="0.15"/>
    <row r="7727" customFormat="1" ht="13" x14ac:dyDescent="0.15"/>
    <row r="7728" customFormat="1" ht="13" x14ac:dyDescent="0.15"/>
    <row r="7729" customFormat="1" ht="13" x14ac:dyDescent="0.15"/>
    <row r="7730" customFormat="1" ht="13" x14ac:dyDescent="0.15"/>
    <row r="7731" customFormat="1" ht="13" x14ac:dyDescent="0.15"/>
    <row r="7732" customFormat="1" ht="13" x14ac:dyDescent="0.15"/>
    <row r="7733" customFormat="1" ht="13" x14ac:dyDescent="0.15"/>
    <row r="7734" customFormat="1" ht="13" x14ac:dyDescent="0.15"/>
    <row r="7735" customFormat="1" ht="13" x14ac:dyDescent="0.15"/>
    <row r="7736" customFormat="1" ht="13" x14ac:dyDescent="0.15"/>
    <row r="7737" customFormat="1" ht="13" x14ac:dyDescent="0.15"/>
    <row r="7738" customFormat="1" ht="13" x14ac:dyDescent="0.15"/>
    <row r="7739" customFormat="1" ht="13" x14ac:dyDescent="0.15"/>
    <row r="7740" customFormat="1" ht="13" x14ac:dyDescent="0.15"/>
    <row r="7741" customFormat="1" ht="13" x14ac:dyDescent="0.15"/>
    <row r="7742" customFormat="1" ht="13" x14ac:dyDescent="0.15"/>
    <row r="7743" customFormat="1" ht="13" x14ac:dyDescent="0.15"/>
    <row r="7744" customFormat="1" ht="13" x14ac:dyDescent="0.15"/>
    <row r="7745" customFormat="1" ht="13" x14ac:dyDescent="0.15"/>
    <row r="7746" customFormat="1" ht="13" x14ac:dyDescent="0.15"/>
    <row r="7747" customFormat="1" ht="13" x14ac:dyDescent="0.15"/>
    <row r="7748" customFormat="1" ht="13" x14ac:dyDescent="0.15"/>
    <row r="7749" customFormat="1" ht="13" x14ac:dyDescent="0.15"/>
    <row r="7750" customFormat="1" ht="13" x14ac:dyDescent="0.15"/>
    <row r="7751" customFormat="1" ht="13" x14ac:dyDescent="0.15"/>
    <row r="7752" customFormat="1" ht="13" x14ac:dyDescent="0.15"/>
    <row r="7753" customFormat="1" ht="13" x14ac:dyDescent="0.15"/>
    <row r="7754" customFormat="1" ht="13" x14ac:dyDescent="0.15"/>
    <row r="7755" customFormat="1" ht="13" x14ac:dyDescent="0.15"/>
    <row r="7756" customFormat="1" ht="13" x14ac:dyDescent="0.15"/>
    <row r="7757" customFormat="1" ht="13" x14ac:dyDescent="0.15"/>
    <row r="7758" customFormat="1" ht="13" x14ac:dyDescent="0.15"/>
    <row r="7759" customFormat="1" ht="13" x14ac:dyDescent="0.15"/>
    <row r="7760" customFormat="1" ht="13" x14ac:dyDescent="0.15"/>
    <row r="7761" customFormat="1" ht="13" x14ac:dyDescent="0.15"/>
    <row r="7762" customFormat="1" ht="13" x14ac:dyDescent="0.15"/>
    <row r="7763" customFormat="1" ht="13" x14ac:dyDescent="0.15"/>
    <row r="7764" customFormat="1" ht="13" x14ac:dyDescent="0.15"/>
    <row r="7765" customFormat="1" ht="13" x14ac:dyDescent="0.15"/>
    <row r="7766" customFormat="1" ht="13" x14ac:dyDescent="0.15"/>
    <row r="7767" customFormat="1" ht="13" x14ac:dyDescent="0.15"/>
    <row r="7768" customFormat="1" ht="13" x14ac:dyDescent="0.15"/>
    <row r="7769" customFormat="1" ht="13" x14ac:dyDescent="0.15"/>
    <row r="7770" customFormat="1" ht="13" x14ac:dyDescent="0.15"/>
    <row r="7771" customFormat="1" ht="13" x14ac:dyDescent="0.15"/>
    <row r="7772" customFormat="1" ht="13" x14ac:dyDescent="0.15"/>
    <row r="7773" customFormat="1" ht="13" x14ac:dyDescent="0.15"/>
    <row r="7774" customFormat="1" ht="13" x14ac:dyDescent="0.15"/>
    <row r="7775" customFormat="1" ht="13" x14ac:dyDescent="0.15"/>
    <row r="7776" customFormat="1" ht="13" x14ac:dyDescent="0.15"/>
    <row r="7777" customFormat="1" ht="13" x14ac:dyDescent="0.15"/>
    <row r="7778" customFormat="1" ht="13" x14ac:dyDescent="0.15"/>
    <row r="7779" customFormat="1" ht="13" x14ac:dyDescent="0.15"/>
    <row r="7780" customFormat="1" ht="13" x14ac:dyDescent="0.15"/>
    <row r="7781" customFormat="1" ht="13" x14ac:dyDescent="0.15"/>
    <row r="7782" customFormat="1" ht="13" x14ac:dyDescent="0.15"/>
    <row r="7783" customFormat="1" ht="13" x14ac:dyDescent="0.15"/>
    <row r="7784" customFormat="1" ht="13" x14ac:dyDescent="0.15"/>
    <row r="7785" customFormat="1" ht="13" x14ac:dyDescent="0.15"/>
    <row r="7786" customFormat="1" ht="13" x14ac:dyDescent="0.15"/>
    <row r="7787" customFormat="1" ht="13" x14ac:dyDescent="0.15"/>
    <row r="7788" customFormat="1" ht="13" x14ac:dyDescent="0.15"/>
    <row r="7789" customFormat="1" ht="13" x14ac:dyDescent="0.15"/>
    <row r="7790" customFormat="1" ht="13" x14ac:dyDescent="0.15"/>
    <row r="7791" customFormat="1" ht="13" x14ac:dyDescent="0.15"/>
    <row r="7792" customFormat="1" ht="13" x14ac:dyDescent="0.15"/>
    <row r="7793" customFormat="1" ht="13" x14ac:dyDescent="0.15"/>
    <row r="7794" customFormat="1" ht="13" x14ac:dyDescent="0.15"/>
    <row r="7795" customFormat="1" ht="13" x14ac:dyDescent="0.15"/>
    <row r="7796" customFormat="1" ht="13" x14ac:dyDescent="0.15"/>
    <row r="7797" customFormat="1" ht="13" x14ac:dyDescent="0.15"/>
    <row r="7798" customFormat="1" ht="13" x14ac:dyDescent="0.15"/>
    <row r="7799" customFormat="1" ht="13" x14ac:dyDescent="0.15"/>
    <row r="7800" customFormat="1" ht="13" x14ac:dyDescent="0.15"/>
    <row r="7801" customFormat="1" ht="13" x14ac:dyDescent="0.15"/>
    <row r="7802" customFormat="1" ht="13" x14ac:dyDescent="0.15"/>
    <row r="7803" customFormat="1" ht="13" x14ac:dyDescent="0.15"/>
    <row r="7804" customFormat="1" ht="13" x14ac:dyDescent="0.15"/>
    <row r="7805" customFormat="1" ht="13" x14ac:dyDescent="0.15"/>
    <row r="7806" customFormat="1" ht="13" x14ac:dyDescent="0.15"/>
    <row r="7807" customFormat="1" ht="13" x14ac:dyDescent="0.15"/>
    <row r="7808" customFormat="1" ht="13" x14ac:dyDescent="0.15"/>
    <row r="7809" customFormat="1" ht="13" x14ac:dyDescent="0.15"/>
    <row r="7810" customFormat="1" ht="13" x14ac:dyDescent="0.15"/>
    <row r="7811" customFormat="1" ht="13" x14ac:dyDescent="0.15"/>
    <row r="7812" customFormat="1" ht="13" x14ac:dyDescent="0.15"/>
    <row r="7813" customFormat="1" ht="13" x14ac:dyDescent="0.15"/>
    <row r="7814" customFormat="1" ht="13" x14ac:dyDescent="0.15"/>
    <row r="7815" customFormat="1" ht="13" x14ac:dyDescent="0.15"/>
    <row r="7816" customFormat="1" ht="13" x14ac:dyDescent="0.15"/>
    <row r="7817" customFormat="1" ht="13" x14ac:dyDescent="0.15"/>
    <row r="7818" customFormat="1" ht="13" x14ac:dyDescent="0.15"/>
    <row r="7819" customFormat="1" ht="13" x14ac:dyDescent="0.15"/>
    <row r="7820" customFormat="1" ht="13" x14ac:dyDescent="0.15"/>
    <row r="7821" customFormat="1" ht="13" x14ac:dyDescent="0.15"/>
    <row r="7822" customFormat="1" ht="13" x14ac:dyDescent="0.15"/>
    <row r="7823" customFormat="1" ht="13" x14ac:dyDescent="0.15"/>
    <row r="7824" customFormat="1" ht="13" x14ac:dyDescent="0.15"/>
    <row r="7825" customFormat="1" ht="13" x14ac:dyDescent="0.15"/>
    <row r="7826" customFormat="1" ht="13" x14ac:dyDescent="0.15"/>
    <row r="7827" customFormat="1" ht="13" x14ac:dyDescent="0.15"/>
    <row r="7828" customFormat="1" ht="13" x14ac:dyDescent="0.15"/>
    <row r="7829" customFormat="1" ht="13" x14ac:dyDescent="0.15"/>
    <row r="7830" customFormat="1" ht="13" x14ac:dyDescent="0.15"/>
    <row r="7831" customFormat="1" ht="13" x14ac:dyDescent="0.15"/>
    <row r="7832" customFormat="1" ht="13" x14ac:dyDescent="0.15"/>
    <row r="7833" customFormat="1" ht="13" x14ac:dyDescent="0.15"/>
    <row r="7834" customFormat="1" ht="13" x14ac:dyDescent="0.15"/>
    <row r="7835" customFormat="1" ht="13" x14ac:dyDescent="0.15"/>
    <row r="7836" customFormat="1" ht="13" x14ac:dyDescent="0.15"/>
    <row r="7837" customFormat="1" ht="13" x14ac:dyDescent="0.15"/>
    <row r="7838" customFormat="1" ht="13" x14ac:dyDescent="0.15"/>
    <row r="7839" customFormat="1" ht="13" x14ac:dyDescent="0.15"/>
    <row r="7840" customFormat="1" ht="13" x14ac:dyDescent="0.15"/>
    <row r="7841" customFormat="1" ht="13" x14ac:dyDescent="0.15"/>
    <row r="7842" customFormat="1" ht="13" x14ac:dyDescent="0.15"/>
    <row r="7843" customFormat="1" ht="13" x14ac:dyDescent="0.15"/>
    <row r="7844" customFormat="1" ht="13" x14ac:dyDescent="0.15"/>
    <row r="7845" customFormat="1" ht="13" x14ac:dyDescent="0.15"/>
    <row r="7846" customFormat="1" ht="13" x14ac:dyDescent="0.15"/>
    <row r="7847" customFormat="1" ht="13" x14ac:dyDescent="0.15"/>
    <row r="7848" customFormat="1" ht="13" x14ac:dyDescent="0.15"/>
    <row r="7849" customFormat="1" ht="13" x14ac:dyDescent="0.15"/>
    <row r="7850" customFormat="1" ht="13" x14ac:dyDescent="0.15"/>
    <row r="7851" customFormat="1" ht="13" x14ac:dyDescent="0.15"/>
    <row r="7852" customFormat="1" ht="13" x14ac:dyDescent="0.15"/>
    <row r="7853" customFormat="1" ht="13" x14ac:dyDescent="0.15"/>
    <row r="7854" customFormat="1" ht="13" x14ac:dyDescent="0.15"/>
    <row r="7855" customFormat="1" ht="13" x14ac:dyDescent="0.15"/>
    <row r="7856" customFormat="1" ht="13" x14ac:dyDescent="0.15"/>
    <row r="7857" customFormat="1" ht="13" x14ac:dyDescent="0.15"/>
    <row r="7858" customFormat="1" ht="13" x14ac:dyDescent="0.15"/>
    <row r="7859" customFormat="1" ht="13" x14ac:dyDescent="0.15"/>
    <row r="7860" customFormat="1" ht="13" x14ac:dyDescent="0.15"/>
    <row r="7861" customFormat="1" ht="13" x14ac:dyDescent="0.15"/>
    <row r="7862" customFormat="1" ht="13" x14ac:dyDescent="0.15"/>
    <row r="7863" customFormat="1" ht="13" x14ac:dyDescent="0.15"/>
    <row r="7864" customFormat="1" ht="13" x14ac:dyDescent="0.15"/>
    <row r="7865" customFormat="1" ht="13" x14ac:dyDescent="0.15"/>
    <row r="7866" customFormat="1" ht="13" x14ac:dyDescent="0.15"/>
    <row r="7867" customFormat="1" ht="13" x14ac:dyDescent="0.15"/>
    <row r="7868" customFormat="1" ht="13" x14ac:dyDescent="0.15"/>
    <row r="7869" customFormat="1" ht="13" x14ac:dyDescent="0.15"/>
    <row r="7870" customFormat="1" ht="13" x14ac:dyDescent="0.15"/>
    <row r="7871" customFormat="1" ht="13" x14ac:dyDescent="0.15"/>
    <row r="7872" customFormat="1" ht="13" x14ac:dyDescent="0.15"/>
    <row r="7873" customFormat="1" ht="13" x14ac:dyDescent="0.15"/>
    <row r="7874" customFormat="1" ht="13" x14ac:dyDescent="0.15"/>
    <row r="7875" customFormat="1" ht="13" x14ac:dyDescent="0.15"/>
    <row r="7876" customFormat="1" ht="13" x14ac:dyDescent="0.15"/>
    <row r="7877" customFormat="1" ht="13" x14ac:dyDescent="0.15"/>
    <row r="7878" customFormat="1" ht="13" x14ac:dyDescent="0.15"/>
    <row r="7879" customFormat="1" ht="13" x14ac:dyDescent="0.15"/>
    <row r="7880" customFormat="1" ht="13" x14ac:dyDescent="0.15"/>
    <row r="7881" customFormat="1" ht="13" x14ac:dyDescent="0.15"/>
    <row r="7882" customFormat="1" ht="13" x14ac:dyDescent="0.15"/>
    <row r="7883" customFormat="1" ht="13" x14ac:dyDescent="0.15"/>
    <row r="7884" customFormat="1" ht="13" x14ac:dyDescent="0.15"/>
    <row r="7885" customFormat="1" ht="13" x14ac:dyDescent="0.15"/>
    <row r="7886" customFormat="1" ht="13" x14ac:dyDescent="0.15"/>
    <row r="7887" customFormat="1" ht="13" x14ac:dyDescent="0.15"/>
    <row r="7888" customFormat="1" ht="13" x14ac:dyDescent="0.15"/>
    <row r="7889" customFormat="1" ht="13" x14ac:dyDescent="0.15"/>
    <row r="7890" customFormat="1" ht="13" x14ac:dyDescent="0.15"/>
    <row r="7891" customFormat="1" ht="13" x14ac:dyDescent="0.15"/>
    <row r="7892" customFormat="1" ht="13" x14ac:dyDescent="0.15"/>
    <row r="7893" customFormat="1" ht="13" x14ac:dyDescent="0.15"/>
    <row r="7894" customFormat="1" ht="13" x14ac:dyDescent="0.15"/>
    <row r="7895" customFormat="1" ht="13" x14ac:dyDescent="0.15"/>
    <row r="7896" customFormat="1" ht="13" x14ac:dyDescent="0.15"/>
    <row r="7897" customFormat="1" ht="13" x14ac:dyDescent="0.15"/>
    <row r="7898" customFormat="1" ht="13" x14ac:dyDescent="0.15"/>
    <row r="7899" customFormat="1" ht="13" x14ac:dyDescent="0.15"/>
    <row r="7900" customFormat="1" ht="13" x14ac:dyDescent="0.15"/>
    <row r="7901" customFormat="1" ht="13" x14ac:dyDescent="0.15"/>
    <row r="7902" customFormat="1" ht="13" x14ac:dyDescent="0.15"/>
    <row r="7903" customFormat="1" ht="13" x14ac:dyDescent="0.15"/>
    <row r="7904" customFormat="1" ht="13" x14ac:dyDescent="0.15"/>
    <row r="7905" customFormat="1" ht="13" x14ac:dyDescent="0.15"/>
    <row r="7906" customFormat="1" ht="13" x14ac:dyDescent="0.15"/>
    <row r="7907" customFormat="1" ht="13" x14ac:dyDescent="0.15"/>
    <row r="7908" customFormat="1" ht="13" x14ac:dyDescent="0.15"/>
    <row r="7909" customFormat="1" ht="13" x14ac:dyDescent="0.15"/>
    <row r="7910" customFormat="1" ht="13" x14ac:dyDescent="0.15"/>
    <row r="7911" customFormat="1" ht="13" x14ac:dyDescent="0.15"/>
    <row r="7912" customFormat="1" ht="13" x14ac:dyDescent="0.15"/>
    <row r="7913" customFormat="1" ht="13" x14ac:dyDescent="0.15"/>
    <row r="7914" customFormat="1" ht="13" x14ac:dyDescent="0.15"/>
    <row r="7915" customFormat="1" ht="13" x14ac:dyDescent="0.15"/>
    <row r="7916" customFormat="1" ht="13" x14ac:dyDescent="0.15"/>
    <row r="7917" customFormat="1" ht="13" x14ac:dyDescent="0.15"/>
    <row r="7918" customFormat="1" ht="13" x14ac:dyDescent="0.15"/>
    <row r="7919" customFormat="1" ht="13" x14ac:dyDescent="0.15"/>
    <row r="7920" customFormat="1" ht="13" x14ac:dyDescent="0.15"/>
    <row r="7921" customFormat="1" ht="13" x14ac:dyDescent="0.15"/>
    <row r="7922" customFormat="1" ht="13" x14ac:dyDescent="0.15"/>
    <row r="7923" customFormat="1" ht="13" x14ac:dyDescent="0.15"/>
    <row r="7924" customFormat="1" ht="13" x14ac:dyDescent="0.15"/>
    <row r="7925" customFormat="1" ht="13" x14ac:dyDescent="0.15"/>
    <row r="7926" customFormat="1" ht="13" x14ac:dyDescent="0.15"/>
    <row r="7927" customFormat="1" ht="13" x14ac:dyDescent="0.15"/>
    <row r="7928" customFormat="1" ht="13" x14ac:dyDescent="0.15"/>
    <row r="7929" customFormat="1" ht="13" x14ac:dyDescent="0.15"/>
    <row r="7930" customFormat="1" ht="13" x14ac:dyDescent="0.15"/>
    <row r="7931" customFormat="1" ht="13" x14ac:dyDescent="0.15"/>
    <row r="7932" customFormat="1" ht="13" x14ac:dyDescent="0.15"/>
    <row r="7933" customFormat="1" ht="13" x14ac:dyDescent="0.15"/>
    <row r="7934" customFormat="1" ht="13" x14ac:dyDescent="0.15"/>
    <row r="7935" customFormat="1" ht="13" x14ac:dyDescent="0.15"/>
    <row r="7936" customFormat="1" ht="13" x14ac:dyDescent="0.15"/>
    <row r="7937" customFormat="1" ht="13" x14ac:dyDescent="0.15"/>
    <row r="7938" customFormat="1" ht="13" x14ac:dyDescent="0.15"/>
    <row r="7939" customFormat="1" ht="13" x14ac:dyDescent="0.15"/>
    <row r="7940" customFormat="1" ht="13" x14ac:dyDescent="0.15"/>
    <row r="7941" customFormat="1" ht="13" x14ac:dyDescent="0.15"/>
    <row r="7942" customFormat="1" ht="13" x14ac:dyDescent="0.15"/>
    <row r="7943" customFormat="1" ht="13" x14ac:dyDescent="0.15"/>
    <row r="7944" customFormat="1" ht="13" x14ac:dyDescent="0.15"/>
    <row r="7945" customFormat="1" ht="13" x14ac:dyDescent="0.15"/>
    <row r="7946" customFormat="1" ht="13" x14ac:dyDescent="0.15"/>
    <row r="7947" customFormat="1" ht="13" x14ac:dyDescent="0.15"/>
    <row r="7948" customFormat="1" ht="13" x14ac:dyDescent="0.15"/>
    <row r="7949" customFormat="1" ht="13" x14ac:dyDescent="0.15"/>
    <row r="7950" customFormat="1" ht="13" x14ac:dyDescent="0.15"/>
    <row r="7951" customFormat="1" ht="13" x14ac:dyDescent="0.15"/>
    <row r="7952" customFormat="1" ht="13" x14ac:dyDescent="0.15"/>
    <row r="7953" customFormat="1" ht="13" x14ac:dyDescent="0.15"/>
    <row r="7954" customFormat="1" ht="13" x14ac:dyDescent="0.15"/>
    <row r="7955" customFormat="1" ht="13" x14ac:dyDescent="0.15"/>
    <row r="7956" customFormat="1" ht="13" x14ac:dyDescent="0.15"/>
    <row r="7957" customFormat="1" ht="13" x14ac:dyDescent="0.15"/>
    <row r="7958" customFormat="1" ht="13" x14ac:dyDescent="0.15"/>
    <row r="7959" customFormat="1" ht="13" x14ac:dyDescent="0.15"/>
    <row r="7960" customFormat="1" ht="13" x14ac:dyDescent="0.15"/>
    <row r="7961" customFormat="1" ht="13" x14ac:dyDescent="0.15"/>
    <row r="7962" customFormat="1" ht="13" x14ac:dyDescent="0.15"/>
    <row r="7963" customFormat="1" ht="13" x14ac:dyDescent="0.15"/>
    <row r="7964" customFormat="1" ht="13" x14ac:dyDescent="0.15"/>
    <row r="7965" customFormat="1" ht="13" x14ac:dyDescent="0.15"/>
    <row r="7966" customFormat="1" ht="13" x14ac:dyDescent="0.15"/>
    <row r="7967" customFormat="1" ht="13" x14ac:dyDescent="0.15"/>
    <row r="7968" customFormat="1" ht="13" x14ac:dyDescent="0.15"/>
    <row r="7969" customFormat="1" ht="13" x14ac:dyDescent="0.15"/>
    <row r="7970" customFormat="1" ht="13" x14ac:dyDescent="0.15"/>
    <row r="7971" customFormat="1" ht="13" x14ac:dyDescent="0.15"/>
    <row r="7972" customFormat="1" ht="13" x14ac:dyDescent="0.15"/>
    <row r="7973" customFormat="1" ht="13" x14ac:dyDescent="0.15"/>
    <row r="7974" customFormat="1" ht="13" x14ac:dyDescent="0.15"/>
    <row r="7975" customFormat="1" ht="13" x14ac:dyDescent="0.15"/>
    <row r="7976" customFormat="1" ht="13" x14ac:dyDescent="0.15"/>
    <row r="7977" customFormat="1" ht="13" x14ac:dyDescent="0.15"/>
    <row r="7978" customFormat="1" ht="13" x14ac:dyDescent="0.15"/>
    <row r="7979" customFormat="1" ht="13" x14ac:dyDescent="0.15"/>
    <row r="7980" customFormat="1" ht="13" x14ac:dyDescent="0.15"/>
    <row r="7981" customFormat="1" ht="13" x14ac:dyDescent="0.15"/>
    <row r="7982" customFormat="1" ht="13" x14ac:dyDescent="0.15"/>
    <row r="7983" customFormat="1" ht="13" x14ac:dyDescent="0.15"/>
    <row r="7984" customFormat="1" ht="13" x14ac:dyDescent="0.15"/>
    <row r="7985" customFormat="1" ht="13" x14ac:dyDescent="0.15"/>
    <row r="7986" customFormat="1" ht="13" x14ac:dyDescent="0.15"/>
    <row r="7987" customFormat="1" ht="13" x14ac:dyDescent="0.15"/>
    <row r="7988" customFormat="1" ht="13" x14ac:dyDescent="0.15"/>
    <row r="7989" customFormat="1" ht="13" x14ac:dyDescent="0.15"/>
    <row r="7990" customFormat="1" ht="13" x14ac:dyDescent="0.15"/>
    <row r="7991" customFormat="1" ht="13" x14ac:dyDescent="0.15"/>
    <row r="7992" customFormat="1" ht="13" x14ac:dyDescent="0.15"/>
    <row r="7993" customFormat="1" ht="13" x14ac:dyDescent="0.15"/>
    <row r="7994" customFormat="1" ht="13" x14ac:dyDescent="0.15"/>
    <row r="7995" customFormat="1" ht="13" x14ac:dyDescent="0.15"/>
    <row r="7996" customFormat="1" ht="13" x14ac:dyDescent="0.15"/>
    <row r="7997" customFormat="1" ht="13" x14ac:dyDescent="0.15"/>
    <row r="7998" customFormat="1" ht="13" x14ac:dyDescent="0.15"/>
    <row r="7999" customFormat="1" ht="13" x14ac:dyDescent="0.15"/>
    <row r="8000" customFormat="1" ht="13" x14ac:dyDescent="0.15"/>
    <row r="8001" customFormat="1" ht="13" x14ac:dyDescent="0.15"/>
    <row r="8002" customFormat="1" ht="13" x14ac:dyDescent="0.15"/>
    <row r="8003" customFormat="1" ht="13" x14ac:dyDescent="0.15"/>
    <row r="8004" customFormat="1" ht="13" x14ac:dyDescent="0.15"/>
    <row r="8005" customFormat="1" ht="13" x14ac:dyDescent="0.15"/>
    <row r="8006" customFormat="1" ht="13" x14ac:dyDescent="0.15"/>
    <row r="8007" customFormat="1" ht="13" x14ac:dyDescent="0.15"/>
    <row r="8008" customFormat="1" ht="13" x14ac:dyDescent="0.15"/>
    <row r="8009" customFormat="1" ht="13" x14ac:dyDescent="0.15"/>
    <row r="8010" customFormat="1" ht="13" x14ac:dyDescent="0.15"/>
    <row r="8011" customFormat="1" ht="13" x14ac:dyDescent="0.15"/>
    <row r="8012" customFormat="1" ht="13" x14ac:dyDescent="0.15"/>
    <row r="8013" customFormat="1" ht="13" x14ac:dyDescent="0.15"/>
    <row r="8014" customFormat="1" ht="13" x14ac:dyDescent="0.15"/>
    <row r="8015" customFormat="1" ht="13" x14ac:dyDescent="0.15"/>
    <row r="8016" customFormat="1" ht="13" x14ac:dyDescent="0.15"/>
    <row r="8017" customFormat="1" ht="13" x14ac:dyDescent="0.15"/>
    <row r="8018" customFormat="1" ht="13" x14ac:dyDescent="0.15"/>
    <row r="8019" customFormat="1" ht="13" x14ac:dyDescent="0.15"/>
    <row r="8020" customFormat="1" ht="13" x14ac:dyDescent="0.15"/>
    <row r="8021" customFormat="1" ht="13" x14ac:dyDescent="0.15"/>
    <row r="8022" customFormat="1" ht="13" x14ac:dyDescent="0.15"/>
    <row r="8023" customFormat="1" ht="13" x14ac:dyDescent="0.15"/>
    <row r="8024" customFormat="1" ht="13" x14ac:dyDescent="0.15"/>
    <row r="8025" customFormat="1" ht="13" x14ac:dyDescent="0.15"/>
    <row r="8026" customFormat="1" ht="13" x14ac:dyDescent="0.15"/>
    <row r="8027" customFormat="1" ht="13" x14ac:dyDescent="0.15"/>
    <row r="8028" customFormat="1" ht="13" x14ac:dyDescent="0.15"/>
    <row r="8029" customFormat="1" ht="13" x14ac:dyDescent="0.15"/>
    <row r="8030" customFormat="1" ht="13" x14ac:dyDescent="0.15"/>
    <row r="8031" customFormat="1" ht="13" x14ac:dyDescent="0.15"/>
    <row r="8032" customFormat="1" ht="13" x14ac:dyDescent="0.15"/>
    <row r="8033" customFormat="1" ht="13" x14ac:dyDescent="0.15"/>
    <row r="8034" customFormat="1" ht="13" x14ac:dyDescent="0.15"/>
    <row r="8035" customFormat="1" ht="13" x14ac:dyDescent="0.15"/>
    <row r="8036" customFormat="1" ht="13" x14ac:dyDescent="0.15"/>
    <row r="8037" customFormat="1" ht="13" x14ac:dyDescent="0.15"/>
    <row r="8038" customFormat="1" ht="13" x14ac:dyDescent="0.15"/>
    <row r="8039" customFormat="1" ht="13" x14ac:dyDescent="0.15"/>
    <row r="8040" customFormat="1" ht="13" x14ac:dyDescent="0.15"/>
    <row r="8041" customFormat="1" ht="13" x14ac:dyDescent="0.15"/>
    <row r="8042" customFormat="1" ht="13" x14ac:dyDescent="0.15"/>
    <row r="8043" customFormat="1" ht="13" x14ac:dyDescent="0.15"/>
    <row r="8044" customFormat="1" ht="13" x14ac:dyDescent="0.15"/>
    <row r="8045" customFormat="1" ht="13" x14ac:dyDescent="0.15"/>
    <row r="8046" customFormat="1" ht="13" x14ac:dyDescent="0.15"/>
    <row r="8047" customFormat="1" ht="13" x14ac:dyDescent="0.15"/>
    <row r="8048" customFormat="1" ht="13" x14ac:dyDescent="0.15"/>
    <row r="8049" customFormat="1" ht="13" x14ac:dyDescent="0.15"/>
    <row r="8050" customFormat="1" ht="13" x14ac:dyDescent="0.15"/>
    <row r="8051" customFormat="1" ht="13" x14ac:dyDescent="0.15"/>
    <row r="8052" customFormat="1" ht="13" x14ac:dyDescent="0.15"/>
    <row r="8053" customFormat="1" ht="13" x14ac:dyDescent="0.15"/>
    <row r="8054" customFormat="1" ht="13" x14ac:dyDescent="0.15"/>
    <row r="8055" customFormat="1" ht="13" x14ac:dyDescent="0.15"/>
    <row r="8056" customFormat="1" ht="13" x14ac:dyDescent="0.15"/>
    <row r="8057" customFormat="1" ht="13" x14ac:dyDescent="0.15"/>
    <row r="8058" customFormat="1" ht="13" x14ac:dyDescent="0.15"/>
    <row r="8059" customFormat="1" ht="13" x14ac:dyDescent="0.15"/>
    <row r="8060" customFormat="1" ht="13" x14ac:dyDescent="0.15"/>
    <row r="8061" customFormat="1" ht="13" x14ac:dyDescent="0.15"/>
    <row r="8062" customFormat="1" ht="13" x14ac:dyDescent="0.15"/>
    <row r="8063" customFormat="1" ht="13" x14ac:dyDescent="0.15"/>
    <row r="8064" customFormat="1" ht="13" x14ac:dyDescent="0.15"/>
    <row r="8065" customFormat="1" ht="13" x14ac:dyDescent="0.15"/>
    <row r="8066" customFormat="1" ht="13" x14ac:dyDescent="0.15"/>
    <row r="8067" customFormat="1" ht="13" x14ac:dyDescent="0.15"/>
    <row r="8068" customFormat="1" ht="13" x14ac:dyDescent="0.15"/>
    <row r="8069" customFormat="1" ht="13" x14ac:dyDescent="0.15"/>
    <row r="8070" customFormat="1" ht="13" x14ac:dyDescent="0.15"/>
    <row r="8071" customFormat="1" ht="13" x14ac:dyDescent="0.15"/>
    <row r="8072" customFormat="1" ht="13" x14ac:dyDescent="0.15"/>
    <row r="8073" customFormat="1" ht="13" x14ac:dyDescent="0.15"/>
    <row r="8074" customFormat="1" ht="13" x14ac:dyDescent="0.15"/>
    <row r="8075" customFormat="1" ht="13" x14ac:dyDescent="0.15"/>
    <row r="8076" customFormat="1" ht="13" x14ac:dyDescent="0.15"/>
    <row r="8077" customFormat="1" ht="13" x14ac:dyDescent="0.15"/>
    <row r="8078" customFormat="1" ht="13" x14ac:dyDescent="0.15"/>
    <row r="8079" customFormat="1" ht="13" x14ac:dyDescent="0.15"/>
    <row r="8080" customFormat="1" ht="13" x14ac:dyDescent="0.15"/>
    <row r="8081" customFormat="1" ht="13" x14ac:dyDescent="0.15"/>
    <row r="8082" customFormat="1" ht="13" x14ac:dyDescent="0.15"/>
    <row r="8083" customFormat="1" ht="13" x14ac:dyDescent="0.15"/>
    <row r="8084" customFormat="1" ht="13" x14ac:dyDescent="0.15"/>
    <row r="8085" customFormat="1" ht="13" x14ac:dyDescent="0.15"/>
    <row r="8086" customFormat="1" ht="13" x14ac:dyDescent="0.15"/>
    <row r="8087" customFormat="1" ht="13" x14ac:dyDescent="0.15"/>
    <row r="8088" customFormat="1" ht="13" x14ac:dyDescent="0.15"/>
    <row r="8089" customFormat="1" ht="13" x14ac:dyDescent="0.15"/>
    <row r="8090" customFormat="1" ht="13" x14ac:dyDescent="0.15"/>
    <row r="8091" customFormat="1" ht="13" x14ac:dyDescent="0.15"/>
    <row r="8092" customFormat="1" ht="13" x14ac:dyDescent="0.15"/>
    <row r="8093" customFormat="1" ht="13" x14ac:dyDescent="0.15"/>
    <row r="8094" customFormat="1" ht="13" x14ac:dyDescent="0.15"/>
    <row r="8095" customFormat="1" ht="13" x14ac:dyDescent="0.15"/>
    <row r="8096" customFormat="1" ht="13" x14ac:dyDescent="0.15"/>
    <row r="8097" customFormat="1" ht="13" x14ac:dyDescent="0.15"/>
    <row r="8098" customFormat="1" ht="13" x14ac:dyDescent="0.15"/>
    <row r="8099" customFormat="1" ht="13" x14ac:dyDescent="0.15"/>
    <row r="8100" customFormat="1" ht="13" x14ac:dyDescent="0.15"/>
    <row r="8101" customFormat="1" ht="13" x14ac:dyDescent="0.15"/>
    <row r="8102" customFormat="1" ht="13" x14ac:dyDescent="0.15"/>
    <row r="8103" customFormat="1" ht="13" x14ac:dyDescent="0.15"/>
    <row r="8104" customFormat="1" ht="13" x14ac:dyDescent="0.15"/>
    <row r="8105" customFormat="1" ht="13" x14ac:dyDescent="0.15"/>
    <row r="8106" customFormat="1" ht="13" x14ac:dyDescent="0.15"/>
    <row r="8107" customFormat="1" ht="13" x14ac:dyDescent="0.15"/>
    <row r="8108" customFormat="1" ht="13" x14ac:dyDescent="0.15"/>
    <row r="8109" customFormat="1" ht="13" x14ac:dyDescent="0.15"/>
    <row r="8110" customFormat="1" ht="13" x14ac:dyDescent="0.15"/>
    <row r="8111" customFormat="1" ht="13" x14ac:dyDescent="0.15"/>
    <row r="8112" customFormat="1" ht="13" x14ac:dyDescent="0.15"/>
    <row r="8113" customFormat="1" ht="13" x14ac:dyDescent="0.15"/>
    <row r="8114" customFormat="1" ht="13" x14ac:dyDescent="0.15"/>
    <row r="8115" customFormat="1" ht="13" x14ac:dyDescent="0.15"/>
    <row r="8116" customFormat="1" ht="13" x14ac:dyDescent="0.15"/>
    <row r="8117" customFormat="1" ht="13" x14ac:dyDescent="0.15"/>
    <row r="8118" customFormat="1" ht="13" x14ac:dyDescent="0.15"/>
    <row r="8119" customFormat="1" ht="13" x14ac:dyDescent="0.15"/>
    <row r="8120" customFormat="1" ht="13" x14ac:dyDescent="0.15"/>
    <row r="8121" customFormat="1" ht="13" x14ac:dyDescent="0.15"/>
    <row r="8122" customFormat="1" ht="13" x14ac:dyDescent="0.15"/>
    <row r="8123" customFormat="1" ht="13" x14ac:dyDescent="0.15"/>
    <row r="8124" customFormat="1" ht="13" x14ac:dyDescent="0.15"/>
    <row r="8125" customFormat="1" ht="13" x14ac:dyDescent="0.15"/>
    <row r="8126" customFormat="1" ht="13" x14ac:dyDescent="0.15"/>
    <row r="8127" customFormat="1" ht="13" x14ac:dyDescent="0.15"/>
    <row r="8128" customFormat="1" ht="13" x14ac:dyDescent="0.15"/>
    <row r="8129" customFormat="1" ht="13" x14ac:dyDescent="0.15"/>
    <row r="8130" customFormat="1" ht="13" x14ac:dyDescent="0.15"/>
    <row r="8131" customFormat="1" ht="13" x14ac:dyDescent="0.15"/>
    <row r="8132" customFormat="1" ht="13" x14ac:dyDescent="0.15"/>
    <row r="8133" customFormat="1" ht="13" x14ac:dyDescent="0.15"/>
    <row r="8134" customFormat="1" ht="13" x14ac:dyDescent="0.15"/>
    <row r="8135" customFormat="1" ht="13" x14ac:dyDescent="0.15"/>
    <row r="8136" customFormat="1" ht="13" x14ac:dyDescent="0.15"/>
    <row r="8137" customFormat="1" ht="13" x14ac:dyDescent="0.15"/>
    <row r="8138" customFormat="1" ht="13" x14ac:dyDescent="0.15"/>
    <row r="8139" customFormat="1" ht="13" x14ac:dyDescent="0.15"/>
    <row r="8140" customFormat="1" ht="13" x14ac:dyDescent="0.15"/>
    <row r="8141" customFormat="1" ht="13" x14ac:dyDescent="0.15"/>
    <row r="8142" customFormat="1" ht="13" x14ac:dyDescent="0.15"/>
    <row r="8143" customFormat="1" ht="13" x14ac:dyDescent="0.15"/>
    <row r="8144" customFormat="1" ht="13" x14ac:dyDescent="0.15"/>
    <row r="8145" customFormat="1" ht="13" x14ac:dyDescent="0.15"/>
    <row r="8146" customFormat="1" ht="13" x14ac:dyDescent="0.15"/>
    <row r="8147" customFormat="1" ht="13" x14ac:dyDescent="0.15"/>
    <row r="8148" customFormat="1" ht="13" x14ac:dyDescent="0.15"/>
    <row r="8149" customFormat="1" ht="13" x14ac:dyDescent="0.15"/>
    <row r="8150" customFormat="1" ht="13" x14ac:dyDescent="0.15"/>
    <row r="8151" customFormat="1" ht="13" x14ac:dyDescent="0.15"/>
    <row r="8152" customFormat="1" ht="13" x14ac:dyDescent="0.15"/>
    <row r="8153" customFormat="1" ht="13" x14ac:dyDescent="0.15"/>
    <row r="8154" customFormat="1" ht="13" x14ac:dyDescent="0.15"/>
    <row r="8155" customFormat="1" ht="13" x14ac:dyDescent="0.15"/>
    <row r="8156" customFormat="1" ht="13" x14ac:dyDescent="0.15"/>
    <row r="8157" customFormat="1" ht="13" x14ac:dyDescent="0.15"/>
    <row r="8158" customFormat="1" ht="13" x14ac:dyDescent="0.15"/>
    <row r="8159" customFormat="1" ht="13" x14ac:dyDescent="0.15"/>
    <row r="8160" customFormat="1" ht="13" x14ac:dyDescent="0.15"/>
    <row r="8161" customFormat="1" ht="13" x14ac:dyDescent="0.15"/>
    <row r="8162" customFormat="1" ht="13" x14ac:dyDescent="0.15"/>
    <row r="8163" customFormat="1" ht="13" x14ac:dyDescent="0.15"/>
    <row r="8164" customFormat="1" ht="13" x14ac:dyDescent="0.15"/>
    <row r="8165" customFormat="1" ht="13" x14ac:dyDescent="0.15"/>
    <row r="8166" customFormat="1" ht="13" x14ac:dyDescent="0.15"/>
    <row r="8167" customFormat="1" ht="13" x14ac:dyDescent="0.15"/>
    <row r="8168" customFormat="1" ht="13" x14ac:dyDescent="0.15"/>
    <row r="8169" customFormat="1" ht="13" x14ac:dyDescent="0.15"/>
    <row r="8170" customFormat="1" ht="13" x14ac:dyDescent="0.15"/>
    <row r="8171" customFormat="1" ht="13" x14ac:dyDescent="0.15"/>
    <row r="8172" customFormat="1" ht="13" x14ac:dyDescent="0.15"/>
    <row r="8173" customFormat="1" ht="13" x14ac:dyDescent="0.15"/>
    <row r="8174" customFormat="1" ht="13" x14ac:dyDescent="0.15"/>
    <row r="8175" customFormat="1" ht="13" x14ac:dyDescent="0.15"/>
    <row r="8176" customFormat="1" ht="13" x14ac:dyDescent="0.15"/>
    <row r="8177" customFormat="1" ht="13" x14ac:dyDescent="0.15"/>
    <row r="8178" customFormat="1" ht="13" x14ac:dyDescent="0.15"/>
    <row r="8179" customFormat="1" ht="13" x14ac:dyDescent="0.15"/>
    <row r="8180" customFormat="1" ht="13" x14ac:dyDescent="0.15"/>
    <row r="8181" customFormat="1" ht="13" x14ac:dyDescent="0.15"/>
    <row r="8182" customFormat="1" ht="13" x14ac:dyDescent="0.15"/>
    <row r="8183" customFormat="1" ht="13" x14ac:dyDescent="0.15"/>
    <row r="8184" customFormat="1" ht="13" x14ac:dyDescent="0.15"/>
    <row r="8185" customFormat="1" ht="13" x14ac:dyDescent="0.15"/>
    <row r="8186" customFormat="1" ht="13" x14ac:dyDescent="0.15"/>
    <row r="8187" customFormat="1" ht="13" x14ac:dyDescent="0.15"/>
    <row r="8188" customFormat="1" ht="13" x14ac:dyDescent="0.15"/>
    <row r="8189" customFormat="1" ht="13" x14ac:dyDescent="0.15"/>
    <row r="8190" customFormat="1" ht="13" x14ac:dyDescent="0.15"/>
    <row r="8191" customFormat="1" ht="13" x14ac:dyDescent="0.15"/>
    <row r="8192" customFormat="1" ht="13" x14ac:dyDescent="0.15"/>
    <row r="8193" customFormat="1" ht="13" x14ac:dyDescent="0.15"/>
    <row r="8194" customFormat="1" ht="13" x14ac:dyDescent="0.15"/>
    <row r="8195" customFormat="1" ht="13" x14ac:dyDescent="0.15"/>
    <row r="8196" customFormat="1" ht="13" x14ac:dyDescent="0.15"/>
    <row r="8197" customFormat="1" ht="13" x14ac:dyDescent="0.15"/>
    <row r="8198" customFormat="1" ht="13" x14ac:dyDescent="0.15"/>
    <row r="8199" customFormat="1" ht="13" x14ac:dyDescent="0.15"/>
    <row r="8200" customFormat="1" ht="13" x14ac:dyDescent="0.15"/>
    <row r="8201" customFormat="1" ht="13" x14ac:dyDescent="0.15"/>
    <row r="8202" customFormat="1" ht="13" x14ac:dyDescent="0.15"/>
    <row r="8203" customFormat="1" ht="13" x14ac:dyDescent="0.15"/>
    <row r="8204" customFormat="1" ht="13" x14ac:dyDescent="0.15"/>
    <row r="8205" customFormat="1" ht="13" x14ac:dyDescent="0.15"/>
    <row r="8206" customFormat="1" ht="13" x14ac:dyDescent="0.15"/>
    <row r="8207" customFormat="1" ht="13" x14ac:dyDescent="0.15"/>
    <row r="8208" customFormat="1" ht="13" x14ac:dyDescent="0.15"/>
    <row r="8209" customFormat="1" ht="13" x14ac:dyDescent="0.15"/>
    <row r="8210" customFormat="1" ht="13" x14ac:dyDescent="0.15"/>
    <row r="8211" customFormat="1" ht="13" x14ac:dyDescent="0.15"/>
    <row r="8212" customFormat="1" ht="13" x14ac:dyDescent="0.15"/>
    <row r="8213" customFormat="1" ht="13" x14ac:dyDescent="0.15"/>
    <row r="8214" customFormat="1" ht="13" x14ac:dyDescent="0.15"/>
    <row r="8215" customFormat="1" ht="13" x14ac:dyDescent="0.15"/>
    <row r="8216" customFormat="1" ht="13" x14ac:dyDescent="0.15"/>
    <row r="8217" customFormat="1" ht="13" x14ac:dyDescent="0.15"/>
    <row r="8218" customFormat="1" ht="13" x14ac:dyDescent="0.15"/>
    <row r="8219" customFormat="1" ht="13" x14ac:dyDescent="0.15"/>
    <row r="8220" customFormat="1" ht="13" x14ac:dyDescent="0.15"/>
    <row r="8221" customFormat="1" ht="13" x14ac:dyDescent="0.15"/>
    <row r="8222" customFormat="1" ht="13" x14ac:dyDescent="0.15"/>
    <row r="8223" customFormat="1" ht="13" x14ac:dyDescent="0.15"/>
    <row r="8224" customFormat="1" ht="13" x14ac:dyDescent="0.15"/>
    <row r="8225" customFormat="1" ht="13" x14ac:dyDescent="0.15"/>
    <row r="8226" customFormat="1" ht="13" x14ac:dyDescent="0.15"/>
    <row r="8227" customFormat="1" ht="13" x14ac:dyDescent="0.15"/>
    <row r="8228" customFormat="1" ht="13" x14ac:dyDescent="0.15"/>
    <row r="8229" customFormat="1" ht="13" x14ac:dyDescent="0.15"/>
    <row r="8230" customFormat="1" ht="13" x14ac:dyDescent="0.15"/>
    <row r="8231" customFormat="1" ht="13" x14ac:dyDescent="0.15"/>
    <row r="8232" customFormat="1" ht="13" x14ac:dyDescent="0.15"/>
    <row r="8233" customFormat="1" ht="13" x14ac:dyDescent="0.15"/>
    <row r="8234" customFormat="1" ht="13" x14ac:dyDescent="0.15"/>
    <row r="8235" customFormat="1" ht="13" x14ac:dyDescent="0.15"/>
    <row r="8236" customFormat="1" ht="13" x14ac:dyDescent="0.15"/>
    <row r="8237" customFormat="1" ht="13" x14ac:dyDescent="0.15"/>
    <row r="8238" customFormat="1" ht="13" x14ac:dyDescent="0.15"/>
    <row r="8239" customFormat="1" ht="13" x14ac:dyDescent="0.15"/>
    <row r="8240" customFormat="1" ht="13" x14ac:dyDescent="0.15"/>
    <row r="8241" customFormat="1" ht="13" x14ac:dyDescent="0.15"/>
    <row r="8242" customFormat="1" ht="13" x14ac:dyDescent="0.15"/>
    <row r="8243" customFormat="1" ht="13" x14ac:dyDescent="0.15"/>
    <row r="8244" customFormat="1" ht="13" x14ac:dyDescent="0.15"/>
    <row r="8245" customFormat="1" ht="13" x14ac:dyDescent="0.15"/>
    <row r="8246" customFormat="1" ht="13" x14ac:dyDescent="0.15"/>
    <row r="8247" customFormat="1" ht="13" x14ac:dyDescent="0.15"/>
    <row r="8248" customFormat="1" ht="13" x14ac:dyDescent="0.15"/>
    <row r="8249" customFormat="1" ht="13" x14ac:dyDescent="0.15"/>
    <row r="8250" customFormat="1" ht="13" x14ac:dyDescent="0.15"/>
    <row r="8251" customFormat="1" ht="13" x14ac:dyDescent="0.15"/>
    <row r="8252" customFormat="1" ht="13" x14ac:dyDescent="0.15"/>
    <row r="8253" customFormat="1" ht="13" x14ac:dyDescent="0.15"/>
    <row r="8254" customFormat="1" ht="13" x14ac:dyDescent="0.15"/>
    <row r="8255" customFormat="1" ht="13" x14ac:dyDescent="0.15"/>
    <row r="8256" customFormat="1" ht="13" x14ac:dyDescent="0.15"/>
    <row r="8257" customFormat="1" ht="13" x14ac:dyDescent="0.15"/>
    <row r="8258" customFormat="1" ht="13" x14ac:dyDescent="0.15"/>
    <row r="8259" customFormat="1" ht="13" x14ac:dyDescent="0.15"/>
    <row r="8260" customFormat="1" ht="13" x14ac:dyDescent="0.15"/>
    <row r="8261" customFormat="1" ht="13" x14ac:dyDescent="0.15"/>
    <row r="8262" customFormat="1" ht="13" x14ac:dyDescent="0.15"/>
    <row r="8263" customFormat="1" ht="13" x14ac:dyDescent="0.15"/>
    <row r="8264" customFormat="1" ht="13" x14ac:dyDescent="0.15"/>
    <row r="8265" customFormat="1" ht="13" x14ac:dyDescent="0.15"/>
    <row r="8266" customFormat="1" ht="13" x14ac:dyDescent="0.15"/>
    <row r="8267" customFormat="1" ht="13" x14ac:dyDescent="0.15"/>
    <row r="8268" customFormat="1" ht="13" x14ac:dyDescent="0.15"/>
    <row r="8269" customFormat="1" ht="13" x14ac:dyDescent="0.15"/>
    <row r="8270" customFormat="1" ht="13" x14ac:dyDescent="0.15"/>
    <row r="8271" customFormat="1" ht="13" x14ac:dyDescent="0.15"/>
    <row r="8272" customFormat="1" ht="13" x14ac:dyDescent="0.15"/>
    <row r="8273" customFormat="1" ht="13" x14ac:dyDescent="0.15"/>
    <row r="8274" customFormat="1" ht="13" x14ac:dyDescent="0.15"/>
    <row r="8275" customFormat="1" ht="13" x14ac:dyDescent="0.15"/>
    <row r="8276" customFormat="1" ht="13" x14ac:dyDescent="0.15"/>
    <row r="8277" customFormat="1" ht="13" x14ac:dyDescent="0.15"/>
    <row r="8278" customFormat="1" ht="13" x14ac:dyDescent="0.15"/>
    <row r="8279" customFormat="1" ht="13" x14ac:dyDescent="0.15"/>
    <row r="8280" customFormat="1" ht="13" x14ac:dyDescent="0.15"/>
    <row r="8281" customFormat="1" ht="13" x14ac:dyDescent="0.15"/>
    <row r="8282" customFormat="1" ht="13" x14ac:dyDescent="0.15"/>
    <row r="8283" customFormat="1" ht="13" x14ac:dyDescent="0.15"/>
    <row r="8284" customFormat="1" ht="13" x14ac:dyDescent="0.15"/>
    <row r="8285" customFormat="1" ht="13" x14ac:dyDescent="0.15"/>
    <row r="8286" customFormat="1" ht="13" x14ac:dyDescent="0.15"/>
    <row r="8287" customFormat="1" ht="13" x14ac:dyDescent="0.15"/>
    <row r="8288" customFormat="1" ht="13" x14ac:dyDescent="0.15"/>
    <row r="8289" customFormat="1" ht="13" x14ac:dyDescent="0.15"/>
    <row r="8290" customFormat="1" ht="13" x14ac:dyDescent="0.15"/>
    <row r="8291" customFormat="1" ht="13" x14ac:dyDescent="0.15"/>
    <row r="8292" customFormat="1" ht="13" x14ac:dyDescent="0.15"/>
    <row r="8293" customFormat="1" ht="13" x14ac:dyDescent="0.15"/>
    <row r="8294" customFormat="1" ht="13" x14ac:dyDescent="0.15"/>
    <row r="8295" customFormat="1" ht="13" x14ac:dyDescent="0.15"/>
    <row r="8296" customFormat="1" ht="13" x14ac:dyDescent="0.15"/>
    <row r="8297" customFormat="1" ht="13" x14ac:dyDescent="0.15"/>
    <row r="8298" customFormat="1" ht="13" x14ac:dyDescent="0.15"/>
    <row r="8299" customFormat="1" ht="13" x14ac:dyDescent="0.15"/>
    <row r="8300" customFormat="1" ht="13" x14ac:dyDescent="0.15"/>
    <row r="8301" customFormat="1" ht="13" x14ac:dyDescent="0.15"/>
    <row r="8302" customFormat="1" ht="13" x14ac:dyDescent="0.15"/>
    <row r="8303" customFormat="1" ht="13" x14ac:dyDescent="0.15"/>
    <row r="8304" customFormat="1" ht="13" x14ac:dyDescent="0.15"/>
    <row r="8305" customFormat="1" ht="13" x14ac:dyDescent="0.15"/>
    <row r="8306" customFormat="1" ht="13" x14ac:dyDescent="0.15"/>
    <row r="8307" customFormat="1" ht="13" x14ac:dyDescent="0.15"/>
    <row r="8308" customFormat="1" ht="13" x14ac:dyDescent="0.15"/>
    <row r="8309" customFormat="1" ht="13" x14ac:dyDescent="0.15"/>
    <row r="8310" customFormat="1" ht="13" x14ac:dyDescent="0.15"/>
    <row r="8311" customFormat="1" ht="13" x14ac:dyDescent="0.15"/>
    <row r="8312" customFormat="1" ht="13" x14ac:dyDescent="0.15"/>
    <row r="8313" customFormat="1" ht="13" x14ac:dyDescent="0.15"/>
    <row r="8314" customFormat="1" ht="13" x14ac:dyDescent="0.15"/>
    <row r="8315" customFormat="1" ht="13" x14ac:dyDescent="0.15"/>
    <row r="8316" customFormat="1" ht="13" x14ac:dyDescent="0.15"/>
    <row r="8317" customFormat="1" ht="13" x14ac:dyDescent="0.15"/>
    <row r="8318" customFormat="1" ht="13" x14ac:dyDescent="0.15"/>
    <row r="8319" customFormat="1" ht="13" x14ac:dyDescent="0.15"/>
    <row r="8320" customFormat="1" ht="13" x14ac:dyDescent="0.15"/>
    <row r="8321" customFormat="1" ht="13" x14ac:dyDescent="0.15"/>
    <row r="8322" customFormat="1" ht="13" x14ac:dyDescent="0.15"/>
    <row r="8323" customFormat="1" ht="13" x14ac:dyDescent="0.15"/>
    <row r="8324" customFormat="1" ht="13" x14ac:dyDescent="0.15"/>
    <row r="8325" customFormat="1" ht="13" x14ac:dyDescent="0.15"/>
    <row r="8326" customFormat="1" ht="13" x14ac:dyDescent="0.15"/>
    <row r="8327" customFormat="1" ht="13" x14ac:dyDescent="0.15"/>
    <row r="8328" customFormat="1" ht="13" x14ac:dyDescent="0.15"/>
    <row r="8329" customFormat="1" ht="13" x14ac:dyDescent="0.15"/>
    <row r="8330" customFormat="1" ht="13" x14ac:dyDescent="0.15"/>
    <row r="8331" customFormat="1" ht="13" x14ac:dyDescent="0.15"/>
    <row r="8332" customFormat="1" ht="13" x14ac:dyDescent="0.15"/>
    <row r="8333" customFormat="1" ht="13" x14ac:dyDescent="0.15"/>
    <row r="8334" customFormat="1" ht="13" x14ac:dyDescent="0.15"/>
    <row r="8335" customFormat="1" ht="13" x14ac:dyDescent="0.15"/>
    <row r="8336" customFormat="1" ht="13" x14ac:dyDescent="0.15"/>
    <row r="8337" customFormat="1" ht="13" x14ac:dyDescent="0.15"/>
    <row r="8338" customFormat="1" ht="13" x14ac:dyDescent="0.15"/>
    <row r="8339" customFormat="1" ht="13" x14ac:dyDescent="0.15"/>
    <row r="8340" customFormat="1" ht="13" x14ac:dyDescent="0.15"/>
    <row r="8341" customFormat="1" ht="13" x14ac:dyDescent="0.15"/>
    <row r="8342" customFormat="1" ht="13" x14ac:dyDescent="0.15"/>
    <row r="8343" customFormat="1" ht="13" x14ac:dyDescent="0.15"/>
    <row r="8344" customFormat="1" ht="13" x14ac:dyDescent="0.15"/>
    <row r="8345" customFormat="1" ht="13" x14ac:dyDescent="0.15"/>
    <row r="8346" customFormat="1" ht="13" x14ac:dyDescent="0.15"/>
    <row r="8347" customFormat="1" ht="13" x14ac:dyDescent="0.15"/>
    <row r="8348" customFormat="1" ht="13" x14ac:dyDescent="0.15"/>
    <row r="8349" customFormat="1" ht="13" x14ac:dyDescent="0.15"/>
    <row r="8350" customFormat="1" ht="13" x14ac:dyDescent="0.15"/>
    <row r="8351" customFormat="1" ht="13" x14ac:dyDescent="0.15"/>
    <row r="8352" customFormat="1" ht="13" x14ac:dyDescent="0.15"/>
    <row r="8353" customFormat="1" ht="13" x14ac:dyDescent="0.15"/>
    <row r="8354" customFormat="1" ht="13" x14ac:dyDescent="0.15"/>
    <row r="8355" customFormat="1" ht="13" x14ac:dyDescent="0.15"/>
    <row r="8356" customFormat="1" ht="13" x14ac:dyDescent="0.15"/>
    <row r="8357" customFormat="1" ht="13" x14ac:dyDescent="0.15"/>
    <row r="8358" customFormat="1" ht="13" x14ac:dyDescent="0.15"/>
    <row r="8359" customFormat="1" ht="13" x14ac:dyDescent="0.15"/>
    <row r="8360" customFormat="1" ht="13" x14ac:dyDescent="0.15"/>
    <row r="8361" customFormat="1" ht="13" x14ac:dyDescent="0.15"/>
    <row r="8362" customFormat="1" ht="13" x14ac:dyDescent="0.15"/>
    <row r="8363" customFormat="1" ht="13" x14ac:dyDescent="0.15"/>
    <row r="8364" customFormat="1" ht="13" x14ac:dyDescent="0.15"/>
    <row r="8365" customFormat="1" ht="13" x14ac:dyDescent="0.15"/>
    <row r="8366" customFormat="1" ht="13" x14ac:dyDescent="0.15"/>
    <row r="8367" customFormat="1" ht="13" x14ac:dyDescent="0.15"/>
    <row r="8368" customFormat="1" ht="13" x14ac:dyDescent="0.15"/>
    <row r="8369" customFormat="1" ht="13" x14ac:dyDescent="0.15"/>
    <row r="8370" customFormat="1" ht="13" x14ac:dyDescent="0.15"/>
    <row r="8371" customFormat="1" ht="13" x14ac:dyDescent="0.15"/>
    <row r="8372" customFormat="1" ht="13" x14ac:dyDescent="0.15"/>
    <row r="8373" customFormat="1" ht="13" x14ac:dyDescent="0.15"/>
    <row r="8374" customFormat="1" ht="13" x14ac:dyDescent="0.15"/>
    <row r="8375" customFormat="1" ht="13" x14ac:dyDescent="0.15"/>
    <row r="8376" customFormat="1" ht="13" x14ac:dyDescent="0.15"/>
    <row r="8377" customFormat="1" ht="13" x14ac:dyDescent="0.15"/>
    <row r="8378" customFormat="1" ht="13" x14ac:dyDescent="0.15"/>
    <row r="8379" customFormat="1" ht="13" x14ac:dyDescent="0.15"/>
    <row r="8380" customFormat="1" ht="13" x14ac:dyDescent="0.15"/>
    <row r="8381" customFormat="1" ht="13" x14ac:dyDescent="0.15"/>
    <row r="8382" customFormat="1" ht="13" x14ac:dyDescent="0.15"/>
    <row r="8383" customFormat="1" ht="13" x14ac:dyDescent="0.15"/>
    <row r="8384" customFormat="1" ht="13" x14ac:dyDescent="0.15"/>
    <row r="8385" customFormat="1" ht="13" x14ac:dyDescent="0.15"/>
    <row r="8386" customFormat="1" ht="13" x14ac:dyDescent="0.15"/>
    <row r="8387" customFormat="1" ht="13" x14ac:dyDescent="0.15"/>
    <row r="8388" customFormat="1" ht="13" x14ac:dyDescent="0.15"/>
    <row r="8389" customFormat="1" ht="13" x14ac:dyDescent="0.15"/>
    <row r="8390" customFormat="1" ht="13" x14ac:dyDescent="0.15"/>
    <row r="8391" customFormat="1" ht="13" x14ac:dyDescent="0.15"/>
    <row r="8392" customFormat="1" ht="13" x14ac:dyDescent="0.15"/>
    <row r="8393" customFormat="1" ht="13" x14ac:dyDescent="0.15"/>
    <row r="8394" customFormat="1" ht="13" x14ac:dyDescent="0.15"/>
    <row r="8395" customFormat="1" ht="13" x14ac:dyDescent="0.15"/>
    <row r="8396" customFormat="1" ht="13" x14ac:dyDescent="0.15"/>
    <row r="8397" customFormat="1" ht="13" x14ac:dyDescent="0.15"/>
    <row r="8398" customFormat="1" ht="13" x14ac:dyDescent="0.15"/>
    <row r="8399" customFormat="1" ht="13" x14ac:dyDescent="0.15"/>
    <row r="8400" customFormat="1" ht="13" x14ac:dyDescent="0.15"/>
    <row r="8401" customFormat="1" ht="13" x14ac:dyDescent="0.15"/>
    <row r="8402" customFormat="1" ht="13" x14ac:dyDescent="0.15"/>
    <row r="8403" customFormat="1" ht="13" x14ac:dyDescent="0.15"/>
    <row r="8404" customFormat="1" ht="13" x14ac:dyDescent="0.15"/>
    <row r="8405" customFormat="1" ht="13" x14ac:dyDescent="0.15"/>
    <row r="8406" customFormat="1" ht="13" x14ac:dyDescent="0.15"/>
    <row r="8407" customFormat="1" ht="13" x14ac:dyDescent="0.15"/>
    <row r="8408" customFormat="1" ht="13" x14ac:dyDescent="0.15"/>
    <row r="8409" customFormat="1" ht="13" x14ac:dyDescent="0.15"/>
    <row r="8410" customFormat="1" ht="13" x14ac:dyDescent="0.15"/>
    <row r="8411" customFormat="1" ht="13" x14ac:dyDescent="0.15"/>
    <row r="8412" customFormat="1" ht="13" x14ac:dyDescent="0.15"/>
    <row r="8413" customFormat="1" ht="13" x14ac:dyDescent="0.15"/>
    <row r="8414" customFormat="1" ht="13" x14ac:dyDescent="0.15"/>
    <row r="8415" customFormat="1" ht="13" x14ac:dyDescent="0.15"/>
    <row r="8416" customFormat="1" ht="13" x14ac:dyDescent="0.15"/>
    <row r="8417" customFormat="1" ht="13" x14ac:dyDescent="0.15"/>
    <row r="8418" customFormat="1" ht="13" x14ac:dyDescent="0.15"/>
    <row r="8419" customFormat="1" ht="13" x14ac:dyDescent="0.15"/>
    <row r="8420" customFormat="1" ht="13" x14ac:dyDescent="0.15"/>
    <row r="8421" customFormat="1" ht="13" x14ac:dyDescent="0.15"/>
    <row r="8422" customFormat="1" ht="13" x14ac:dyDescent="0.15"/>
    <row r="8423" customFormat="1" ht="13" x14ac:dyDescent="0.15"/>
    <row r="8424" customFormat="1" ht="13" x14ac:dyDescent="0.15"/>
    <row r="8425" customFormat="1" ht="13" x14ac:dyDescent="0.15"/>
    <row r="8426" customFormat="1" ht="13" x14ac:dyDescent="0.15"/>
    <row r="8427" customFormat="1" ht="13" x14ac:dyDescent="0.15"/>
    <row r="8428" customFormat="1" ht="13" x14ac:dyDescent="0.15"/>
    <row r="8429" customFormat="1" ht="13" x14ac:dyDescent="0.15"/>
    <row r="8430" customFormat="1" ht="13" x14ac:dyDescent="0.15"/>
    <row r="8431" customFormat="1" ht="13" x14ac:dyDescent="0.15"/>
    <row r="8432" customFormat="1" ht="13" x14ac:dyDescent="0.15"/>
    <row r="8433" customFormat="1" ht="13" x14ac:dyDescent="0.15"/>
    <row r="8434" customFormat="1" ht="13" x14ac:dyDescent="0.15"/>
    <row r="8435" customFormat="1" ht="13" x14ac:dyDescent="0.15"/>
    <row r="8436" customFormat="1" ht="13" x14ac:dyDescent="0.15"/>
    <row r="8437" customFormat="1" ht="13" x14ac:dyDescent="0.15"/>
    <row r="8438" customFormat="1" ht="13" x14ac:dyDescent="0.15"/>
    <row r="8439" customFormat="1" ht="13" x14ac:dyDescent="0.15"/>
    <row r="8440" customFormat="1" ht="13" x14ac:dyDescent="0.15"/>
    <row r="8441" customFormat="1" ht="13" x14ac:dyDescent="0.15"/>
    <row r="8442" customFormat="1" ht="13" x14ac:dyDescent="0.15"/>
    <row r="8443" customFormat="1" ht="13" x14ac:dyDescent="0.15"/>
    <row r="8444" customFormat="1" ht="13" x14ac:dyDescent="0.15"/>
    <row r="8445" customFormat="1" ht="13" x14ac:dyDescent="0.15"/>
    <row r="8446" customFormat="1" ht="13" x14ac:dyDescent="0.15"/>
    <row r="8447" customFormat="1" ht="13" x14ac:dyDescent="0.15"/>
    <row r="8448" customFormat="1" ht="13" x14ac:dyDescent="0.15"/>
    <row r="8449" customFormat="1" ht="13" x14ac:dyDescent="0.15"/>
    <row r="8450" customFormat="1" ht="13" x14ac:dyDescent="0.15"/>
    <row r="8451" customFormat="1" ht="13" x14ac:dyDescent="0.15"/>
    <row r="8452" customFormat="1" ht="13" x14ac:dyDescent="0.15"/>
    <row r="8453" customFormat="1" ht="13" x14ac:dyDescent="0.15"/>
    <row r="8454" customFormat="1" ht="13" x14ac:dyDescent="0.15"/>
    <row r="8455" customFormat="1" ht="13" x14ac:dyDescent="0.15"/>
    <row r="8456" customFormat="1" ht="13" x14ac:dyDescent="0.15"/>
    <row r="8457" customFormat="1" ht="13" x14ac:dyDescent="0.15"/>
    <row r="8458" customFormat="1" ht="13" x14ac:dyDescent="0.15"/>
    <row r="8459" customFormat="1" ht="13" x14ac:dyDescent="0.15"/>
    <row r="8460" customFormat="1" ht="13" x14ac:dyDescent="0.15"/>
    <row r="8461" customFormat="1" ht="13" x14ac:dyDescent="0.15"/>
    <row r="8462" customFormat="1" ht="13" x14ac:dyDescent="0.15"/>
    <row r="8463" customFormat="1" ht="13" x14ac:dyDescent="0.15"/>
    <row r="8464" customFormat="1" ht="13" x14ac:dyDescent="0.15"/>
    <row r="8465" customFormat="1" ht="13" x14ac:dyDescent="0.15"/>
    <row r="8466" customFormat="1" ht="13" x14ac:dyDescent="0.15"/>
    <row r="8467" customFormat="1" ht="13" x14ac:dyDescent="0.15"/>
    <row r="8468" customFormat="1" ht="13" x14ac:dyDescent="0.15"/>
    <row r="8469" customFormat="1" ht="13" x14ac:dyDescent="0.15"/>
    <row r="8470" customFormat="1" ht="13" x14ac:dyDescent="0.15"/>
    <row r="8471" customFormat="1" ht="13" x14ac:dyDescent="0.15"/>
    <row r="8472" customFormat="1" ht="13" x14ac:dyDescent="0.15"/>
    <row r="8473" customFormat="1" ht="13" x14ac:dyDescent="0.15"/>
    <row r="8474" customFormat="1" ht="13" x14ac:dyDescent="0.15"/>
    <row r="8475" customFormat="1" ht="13" x14ac:dyDescent="0.15"/>
    <row r="8476" customFormat="1" ht="13" x14ac:dyDescent="0.15"/>
    <row r="8477" customFormat="1" ht="13" x14ac:dyDescent="0.15"/>
    <row r="8478" customFormat="1" ht="13" x14ac:dyDescent="0.15"/>
    <row r="8479" customFormat="1" ht="13" x14ac:dyDescent="0.15"/>
    <row r="8480" customFormat="1" ht="13" x14ac:dyDescent="0.15"/>
    <row r="8481" customFormat="1" ht="13" x14ac:dyDescent="0.15"/>
    <row r="8482" customFormat="1" ht="13" x14ac:dyDescent="0.15"/>
    <row r="8483" customFormat="1" ht="13" x14ac:dyDescent="0.15"/>
    <row r="8484" customFormat="1" ht="13" x14ac:dyDescent="0.15"/>
    <row r="8485" customFormat="1" ht="13" x14ac:dyDescent="0.15"/>
    <row r="8486" customFormat="1" ht="13" x14ac:dyDescent="0.15"/>
    <row r="8487" customFormat="1" ht="13" x14ac:dyDescent="0.15"/>
    <row r="8488" customFormat="1" ht="13" x14ac:dyDescent="0.15"/>
    <row r="8489" customFormat="1" ht="13" x14ac:dyDescent="0.15"/>
    <row r="8490" customFormat="1" ht="13" x14ac:dyDescent="0.15"/>
    <row r="8491" customFormat="1" ht="13" x14ac:dyDescent="0.15"/>
    <row r="8492" customFormat="1" ht="13" x14ac:dyDescent="0.15"/>
    <row r="8493" customFormat="1" ht="13" x14ac:dyDescent="0.15"/>
    <row r="8494" customFormat="1" ht="13" x14ac:dyDescent="0.15"/>
    <row r="8495" customFormat="1" ht="13" x14ac:dyDescent="0.15"/>
    <row r="8496" customFormat="1" ht="13" x14ac:dyDescent="0.15"/>
    <row r="8497" customFormat="1" ht="13" x14ac:dyDescent="0.15"/>
    <row r="8498" customFormat="1" ht="13" x14ac:dyDescent="0.15"/>
    <row r="8499" customFormat="1" ht="13" x14ac:dyDescent="0.15"/>
    <row r="8500" customFormat="1" ht="13" x14ac:dyDescent="0.15"/>
    <row r="8501" customFormat="1" ht="13" x14ac:dyDescent="0.15"/>
    <row r="8502" customFormat="1" ht="13" x14ac:dyDescent="0.15"/>
    <row r="8503" customFormat="1" ht="13" x14ac:dyDescent="0.15"/>
    <row r="8504" customFormat="1" ht="13" x14ac:dyDescent="0.15"/>
    <row r="8505" customFormat="1" ht="13" x14ac:dyDescent="0.15"/>
    <row r="8506" customFormat="1" ht="13" x14ac:dyDescent="0.15"/>
    <row r="8507" customFormat="1" ht="13" x14ac:dyDescent="0.15"/>
    <row r="8508" customFormat="1" ht="13" x14ac:dyDescent="0.15"/>
    <row r="8509" customFormat="1" ht="13" x14ac:dyDescent="0.15"/>
    <row r="8510" customFormat="1" ht="13" x14ac:dyDescent="0.15"/>
    <row r="8511" customFormat="1" ht="13" x14ac:dyDescent="0.15"/>
    <row r="8512" customFormat="1" ht="13" x14ac:dyDescent="0.15"/>
    <row r="8513" customFormat="1" ht="13" x14ac:dyDescent="0.15"/>
    <row r="8514" customFormat="1" ht="13" x14ac:dyDescent="0.15"/>
    <row r="8515" customFormat="1" ht="13" x14ac:dyDescent="0.15"/>
    <row r="8516" customFormat="1" ht="13" x14ac:dyDescent="0.15"/>
    <row r="8517" customFormat="1" ht="13" x14ac:dyDescent="0.15"/>
    <row r="8518" customFormat="1" ht="13" x14ac:dyDescent="0.15"/>
    <row r="8519" customFormat="1" ht="13" x14ac:dyDescent="0.15"/>
    <row r="8520" customFormat="1" ht="13" x14ac:dyDescent="0.15"/>
    <row r="8521" customFormat="1" ht="13" x14ac:dyDescent="0.15"/>
    <row r="8522" customFormat="1" ht="13" x14ac:dyDescent="0.15"/>
    <row r="8523" customFormat="1" ht="13" x14ac:dyDescent="0.15"/>
    <row r="8524" customFormat="1" ht="13" x14ac:dyDescent="0.15"/>
    <row r="8525" customFormat="1" ht="13" x14ac:dyDescent="0.15"/>
    <row r="8526" customFormat="1" ht="13" x14ac:dyDescent="0.15"/>
    <row r="8527" customFormat="1" ht="13" x14ac:dyDescent="0.15"/>
    <row r="8528" customFormat="1" ht="13" x14ac:dyDescent="0.15"/>
    <row r="8529" customFormat="1" ht="13" x14ac:dyDescent="0.15"/>
    <row r="8530" customFormat="1" ht="13" x14ac:dyDescent="0.15"/>
    <row r="8531" customFormat="1" ht="13" x14ac:dyDescent="0.15"/>
    <row r="8532" customFormat="1" ht="13" x14ac:dyDescent="0.15"/>
    <row r="8533" customFormat="1" ht="13" x14ac:dyDescent="0.15"/>
    <row r="8534" customFormat="1" ht="13" x14ac:dyDescent="0.15"/>
    <row r="8535" customFormat="1" ht="13" x14ac:dyDescent="0.15"/>
    <row r="8536" customFormat="1" ht="13" x14ac:dyDescent="0.15"/>
    <row r="8537" customFormat="1" ht="13" x14ac:dyDescent="0.15"/>
    <row r="8538" customFormat="1" ht="13" x14ac:dyDescent="0.15"/>
    <row r="8539" customFormat="1" ht="13" x14ac:dyDescent="0.15"/>
    <row r="8540" customFormat="1" ht="13" x14ac:dyDescent="0.15"/>
    <row r="8541" customFormat="1" ht="13" x14ac:dyDescent="0.15"/>
    <row r="8542" customFormat="1" ht="13" x14ac:dyDescent="0.15"/>
    <row r="8543" customFormat="1" ht="13" x14ac:dyDescent="0.15"/>
    <row r="8544" customFormat="1" ht="13" x14ac:dyDescent="0.15"/>
    <row r="8545" customFormat="1" ht="13" x14ac:dyDescent="0.15"/>
    <row r="8546" customFormat="1" ht="13" x14ac:dyDescent="0.15"/>
    <row r="8547" customFormat="1" ht="13" x14ac:dyDescent="0.15"/>
    <row r="8548" customFormat="1" ht="13" x14ac:dyDescent="0.15"/>
    <row r="8549" customFormat="1" ht="13" x14ac:dyDescent="0.15"/>
    <row r="8550" customFormat="1" ht="13" x14ac:dyDescent="0.15"/>
    <row r="8551" customFormat="1" ht="13" x14ac:dyDescent="0.15"/>
    <row r="8552" customFormat="1" ht="13" x14ac:dyDescent="0.15"/>
    <row r="8553" customFormat="1" ht="13" x14ac:dyDescent="0.15"/>
    <row r="8554" customFormat="1" ht="13" x14ac:dyDescent="0.15"/>
    <row r="8555" customFormat="1" ht="13" x14ac:dyDescent="0.15"/>
    <row r="8556" customFormat="1" ht="13" x14ac:dyDescent="0.15"/>
    <row r="8557" customFormat="1" ht="13" x14ac:dyDescent="0.15"/>
    <row r="8558" customFormat="1" ht="13" x14ac:dyDescent="0.15"/>
    <row r="8559" customFormat="1" ht="13" x14ac:dyDescent="0.15"/>
    <row r="8560" customFormat="1" ht="13" x14ac:dyDescent="0.15"/>
    <row r="8561" customFormat="1" ht="13" x14ac:dyDescent="0.15"/>
    <row r="8562" customFormat="1" ht="13" x14ac:dyDescent="0.15"/>
    <row r="8563" customFormat="1" ht="13" x14ac:dyDescent="0.15"/>
    <row r="8564" customFormat="1" ht="13" x14ac:dyDescent="0.15"/>
    <row r="8565" customFormat="1" ht="13" x14ac:dyDescent="0.15"/>
    <row r="8566" customFormat="1" ht="13" x14ac:dyDescent="0.15"/>
    <row r="8567" customFormat="1" ht="13" x14ac:dyDescent="0.15"/>
    <row r="8568" customFormat="1" ht="13" x14ac:dyDescent="0.15"/>
    <row r="8569" customFormat="1" ht="13" x14ac:dyDescent="0.15"/>
    <row r="8570" customFormat="1" ht="13" x14ac:dyDescent="0.15"/>
    <row r="8571" customFormat="1" ht="13" x14ac:dyDescent="0.15"/>
    <row r="8572" customFormat="1" ht="13" x14ac:dyDescent="0.15"/>
    <row r="8573" customFormat="1" ht="13" x14ac:dyDescent="0.15"/>
    <row r="8574" customFormat="1" ht="13" x14ac:dyDescent="0.15"/>
    <row r="8575" customFormat="1" ht="13" x14ac:dyDescent="0.15"/>
    <row r="8576" customFormat="1" ht="13" x14ac:dyDescent="0.15"/>
    <row r="8577" customFormat="1" ht="13" x14ac:dyDescent="0.15"/>
    <row r="8578" customFormat="1" ht="13" x14ac:dyDescent="0.15"/>
    <row r="8579" customFormat="1" ht="13" x14ac:dyDescent="0.15"/>
    <row r="8580" customFormat="1" ht="13" x14ac:dyDescent="0.15"/>
    <row r="8581" customFormat="1" ht="13" x14ac:dyDescent="0.15"/>
    <row r="8582" customFormat="1" ht="13" x14ac:dyDescent="0.15"/>
    <row r="8583" customFormat="1" ht="13" x14ac:dyDescent="0.15"/>
    <row r="8584" customFormat="1" ht="13" x14ac:dyDescent="0.15"/>
    <row r="8585" customFormat="1" ht="13" x14ac:dyDescent="0.15"/>
    <row r="8586" customFormat="1" ht="13" x14ac:dyDescent="0.15"/>
    <row r="8587" customFormat="1" ht="13" x14ac:dyDescent="0.15"/>
    <row r="8588" customFormat="1" ht="13" x14ac:dyDescent="0.15"/>
    <row r="8589" customFormat="1" ht="13" x14ac:dyDescent="0.15"/>
    <row r="8590" customFormat="1" ht="13" x14ac:dyDescent="0.15"/>
    <row r="8591" customFormat="1" ht="13" x14ac:dyDescent="0.15"/>
    <row r="8592" customFormat="1" ht="13" x14ac:dyDescent="0.15"/>
    <row r="8593" customFormat="1" ht="13" x14ac:dyDescent="0.15"/>
    <row r="8594" customFormat="1" ht="13" x14ac:dyDescent="0.15"/>
    <row r="8595" customFormat="1" ht="13" x14ac:dyDescent="0.15"/>
    <row r="8596" customFormat="1" ht="13" x14ac:dyDescent="0.15"/>
    <row r="8597" customFormat="1" ht="13" x14ac:dyDescent="0.15"/>
    <row r="8598" customFormat="1" ht="13" x14ac:dyDescent="0.15"/>
    <row r="8599" customFormat="1" ht="13" x14ac:dyDescent="0.15"/>
    <row r="8600" customFormat="1" ht="13" x14ac:dyDescent="0.15"/>
    <row r="8601" customFormat="1" ht="13" x14ac:dyDescent="0.15"/>
    <row r="8602" customFormat="1" ht="13" x14ac:dyDescent="0.15"/>
    <row r="8603" customFormat="1" ht="13" x14ac:dyDescent="0.15"/>
    <row r="8604" customFormat="1" ht="13" x14ac:dyDescent="0.15"/>
    <row r="8605" customFormat="1" ht="13" x14ac:dyDescent="0.15"/>
    <row r="8606" customFormat="1" ht="13" x14ac:dyDescent="0.15"/>
    <row r="8607" customFormat="1" ht="13" x14ac:dyDescent="0.15"/>
    <row r="8608" customFormat="1" ht="13" x14ac:dyDescent="0.15"/>
    <row r="8609" customFormat="1" ht="13" x14ac:dyDescent="0.15"/>
    <row r="8610" customFormat="1" ht="13" x14ac:dyDescent="0.15"/>
    <row r="8611" customFormat="1" ht="13" x14ac:dyDescent="0.15"/>
    <row r="8612" customFormat="1" ht="13" x14ac:dyDescent="0.15"/>
    <row r="8613" customFormat="1" ht="13" x14ac:dyDescent="0.15"/>
    <row r="8614" customFormat="1" ht="13" x14ac:dyDescent="0.15"/>
    <row r="8615" customFormat="1" ht="13" x14ac:dyDescent="0.15"/>
    <row r="8616" customFormat="1" ht="13" x14ac:dyDescent="0.15"/>
    <row r="8617" customFormat="1" ht="13" x14ac:dyDescent="0.15"/>
    <row r="8618" customFormat="1" ht="13" x14ac:dyDescent="0.15"/>
    <row r="8619" customFormat="1" ht="13" x14ac:dyDescent="0.15"/>
    <row r="8620" customFormat="1" ht="13" x14ac:dyDescent="0.15"/>
    <row r="8621" customFormat="1" ht="13" x14ac:dyDescent="0.15"/>
    <row r="8622" customFormat="1" ht="13" x14ac:dyDescent="0.15"/>
    <row r="8623" customFormat="1" ht="13" x14ac:dyDescent="0.15"/>
    <row r="8624" customFormat="1" ht="13" x14ac:dyDescent="0.15"/>
    <row r="8625" customFormat="1" ht="13" x14ac:dyDescent="0.15"/>
    <row r="8626" customFormat="1" ht="13" x14ac:dyDescent="0.15"/>
    <row r="8627" customFormat="1" ht="13" x14ac:dyDescent="0.15"/>
    <row r="8628" customFormat="1" ht="13" x14ac:dyDescent="0.15"/>
    <row r="8629" customFormat="1" ht="13" x14ac:dyDescent="0.15"/>
    <row r="8630" customFormat="1" ht="13" x14ac:dyDescent="0.15"/>
    <row r="8631" customFormat="1" ht="13" x14ac:dyDescent="0.15"/>
    <row r="8632" customFormat="1" ht="13" x14ac:dyDescent="0.15"/>
    <row r="8633" customFormat="1" ht="13" x14ac:dyDescent="0.15"/>
    <row r="8634" customFormat="1" ht="13" x14ac:dyDescent="0.15"/>
    <row r="8635" customFormat="1" ht="13" x14ac:dyDescent="0.15"/>
    <row r="8636" customFormat="1" ht="13" x14ac:dyDescent="0.15"/>
    <row r="8637" customFormat="1" ht="13" x14ac:dyDescent="0.15"/>
    <row r="8638" customFormat="1" ht="13" x14ac:dyDescent="0.15"/>
    <row r="8639" customFormat="1" ht="13" x14ac:dyDescent="0.15"/>
    <row r="8640" customFormat="1" ht="13" x14ac:dyDescent="0.15"/>
    <row r="8641" customFormat="1" ht="13" x14ac:dyDescent="0.15"/>
    <row r="8642" customFormat="1" ht="13" x14ac:dyDescent="0.15"/>
    <row r="8643" customFormat="1" ht="13" x14ac:dyDescent="0.15"/>
    <row r="8644" customFormat="1" ht="13" x14ac:dyDescent="0.15"/>
    <row r="8645" customFormat="1" ht="13" x14ac:dyDescent="0.15"/>
    <row r="8646" customFormat="1" ht="13" x14ac:dyDescent="0.15"/>
    <row r="8647" customFormat="1" ht="13" x14ac:dyDescent="0.15"/>
    <row r="8648" customFormat="1" ht="13" x14ac:dyDescent="0.15"/>
    <row r="8649" customFormat="1" ht="13" x14ac:dyDescent="0.15"/>
    <row r="8650" customFormat="1" ht="13" x14ac:dyDescent="0.15"/>
    <row r="8651" customFormat="1" ht="13" x14ac:dyDescent="0.15"/>
    <row r="8652" customFormat="1" ht="13" x14ac:dyDescent="0.15"/>
    <row r="8653" customFormat="1" ht="13" x14ac:dyDescent="0.15"/>
    <row r="8654" customFormat="1" ht="13" x14ac:dyDescent="0.15"/>
    <row r="8655" customFormat="1" ht="13" x14ac:dyDescent="0.15"/>
    <row r="8656" customFormat="1" ht="13" x14ac:dyDescent="0.15"/>
    <row r="8657" customFormat="1" ht="13" x14ac:dyDescent="0.15"/>
    <row r="8658" customFormat="1" ht="13" x14ac:dyDescent="0.15"/>
    <row r="8659" customFormat="1" ht="13" x14ac:dyDescent="0.15"/>
    <row r="8660" customFormat="1" ht="13" x14ac:dyDescent="0.15"/>
    <row r="8661" customFormat="1" ht="13" x14ac:dyDescent="0.15"/>
    <row r="8662" customFormat="1" ht="13" x14ac:dyDescent="0.15"/>
    <row r="8663" customFormat="1" ht="13" x14ac:dyDescent="0.15"/>
    <row r="8664" customFormat="1" ht="13" x14ac:dyDescent="0.15"/>
    <row r="8665" customFormat="1" ht="13" x14ac:dyDescent="0.15"/>
    <row r="8666" customFormat="1" ht="13" x14ac:dyDescent="0.15"/>
    <row r="8667" customFormat="1" ht="13" x14ac:dyDescent="0.15"/>
    <row r="8668" customFormat="1" ht="13" x14ac:dyDescent="0.15"/>
    <row r="8669" customFormat="1" ht="13" x14ac:dyDescent="0.15"/>
    <row r="8670" customFormat="1" ht="13" x14ac:dyDescent="0.15"/>
    <row r="8671" customFormat="1" ht="13" x14ac:dyDescent="0.15"/>
    <row r="8672" customFormat="1" ht="13" x14ac:dyDescent="0.15"/>
    <row r="8673" customFormat="1" ht="13" x14ac:dyDescent="0.15"/>
    <row r="8674" customFormat="1" ht="13" x14ac:dyDescent="0.15"/>
    <row r="8675" customFormat="1" ht="13" x14ac:dyDescent="0.15"/>
    <row r="8676" customFormat="1" ht="13" x14ac:dyDescent="0.15"/>
    <row r="8677" customFormat="1" ht="13" x14ac:dyDescent="0.15"/>
    <row r="8678" customFormat="1" ht="13" x14ac:dyDescent="0.15"/>
    <row r="8679" customFormat="1" ht="13" x14ac:dyDescent="0.15"/>
    <row r="8680" customFormat="1" ht="13" x14ac:dyDescent="0.15"/>
    <row r="8681" customFormat="1" ht="13" x14ac:dyDescent="0.15"/>
    <row r="8682" customFormat="1" ht="13" x14ac:dyDescent="0.15"/>
    <row r="8683" customFormat="1" ht="13" x14ac:dyDescent="0.15"/>
    <row r="8684" customFormat="1" ht="13" x14ac:dyDescent="0.15"/>
    <row r="8685" customFormat="1" ht="13" x14ac:dyDescent="0.15"/>
    <row r="8686" customFormat="1" ht="13" x14ac:dyDescent="0.15"/>
    <row r="8687" customFormat="1" ht="13" x14ac:dyDescent="0.15"/>
    <row r="8688" customFormat="1" ht="13" x14ac:dyDescent="0.15"/>
    <row r="8689" customFormat="1" ht="13" x14ac:dyDescent="0.15"/>
    <row r="8690" customFormat="1" ht="13" x14ac:dyDescent="0.15"/>
    <row r="8691" customFormat="1" ht="13" x14ac:dyDescent="0.15"/>
    <row r="8692" customFormat="1" ht="13" x14ac:dyDescent="0.15"/>
    <row r="8693" customFormat="1" ht="13" x14ac:dyDescent="0.15"/>
    <row r="8694" customFormat="1" ht="13" x14ac:dyDescent="0.15"/>
    <row r="8695" customFormat="1" ht="13" x14ac:dyDescent="0.15"/>
    <row r="8696" customFormat="1" ht="13" x14ac:dyDescent="0.15"/>
    <row r="8697" customFormat="1" ht="13" x14ac:dyDescent="0.15"/>
    <row r="8698" customFormat="1" ht="13" x14ac:dyDescent="0.15"/>
    <row r="8699" customFormat="1" ht="13" x14ac:dyDescent="0.15"/>
    <row r="8700" customFormat="1" ht="13" x14ac:dyDescent="0.15"/>
    <row r="8701" customFormat="1" ht="13" x14ac:dyDescent="0.15"/>
    <row r="8702" customFormat="1" ht="13" x14ac:dyDescent="0.15"/>
    <row r="8703" customFormat="1" ht="13" x14ac:dyDescent="0.15"/>
    <row r="8704" customFormat="1" ht="13" x14ac:dyDescent="0.15"/>
    <row r="8705" customFormat="1" ht="13" x14ac:dyDescent="0.15"/>
    <row r="8706" customFormat="1" ht="13" x14ac:dyDescent="0.15"/>
    <row r="8707" customFormat="1" ht="13" x14ac:dyDescent="0.15"/>
    <row r="8708" customFormat="1" ht="13" x14ac:dyDescent="0.15"/>
    <row r="8709" customFormat="1" ht="13" x14ac:dyDescent="0.15"/>
    <row r="8710" customFormat="1" ht="13" x14ac:dyDescent="0.15"/>
    <row r="8711" customFormat="1" ht="13" x14ac:dyDescent="0.15"/>
    <row r="8712" customFormat="1" ht="13" x14ac:dyDescent="0.15"/>
    <row r="8713" customFormat="1" ht="13" x14ac:dyDescent="0.15"/>
    <row r="8714" customFormat="1" ht="13" x14ac:dyDescent="0.15"/>
    <row r="8715" customFormat="1" ht="13" x14ac:dyDescent="0.15"/>
    <row r="8716" customFormat="1" ht="13" x14ac:dyDescent="0.15"/>
    <row r="8717" customFormat="1" ht="13" x14ac:dyDescent="0.15"/>
    <row r="8718" customFormat="1" ht="13" x14ac:dyDescent="0.15"/>
    <row r="8719" customFormat="1" ht="13" x14ac:dyDescent="0.15"/>
    <row r="8720" customFormat="1" ht="13" x14ac:dyDescent="0.15"/>
    <row r="8721" customFormat="1" ht="13" x14ac:dyDescent="0.15"/>
    <row r="8722" customFormat="1" ht="13" x14ac:dyDescent="0.15"/>
    <row r="8723" customFormat="1" ht="13" x14ac:dyDescent="0.15"/>
    <row r="8724" customFormat="1" ht="13" x14ac:dyDescent="0.15"/>
    <row r="8725" customFormat="1" ht="13" x14ac:dyDescent="0.15"/>
    <row r="8726" customFormat="1" ht="13" x14ac:dyDescent="0.15"/>
    <row r="8727" customFormat="1" ht="13" x14ac:dyDescent="0.15"/>
    <row r="8728" customFormat="1" ht="13" x14ac:dyDescent="0.15"/>
    <row r="8729" customFormat="1" ht="13" x14ac:dyDescent="0.15"/>
    <row r="8730" customFormat="1" ht="13" x14ac:dyDescent="0.15"/>
    <row r="8731" customFormat="1" ht="13" x14ac:dyDescent="0.15"/>
    <row r="8732" customFormat="1" ht="13" x14ac:dyDescent="0.15"/>
    <row r="8733" customFormat="1" ht="13" x14ac:dyDescent="0.15"/>
    <row r="8734" customFormat="1" ht="13" x14ac:dyDescent="0.15"/>
    <row r="8735" customFormat="1" ht="13" x14ac:dyDescent="0.15"/>
    <row r="8736" customFormat="1" ht="13" x14ac:dyDescent="0.15"/>
    <row r="8737" customFormat="1" ht="13" x14ac:dyDescent="0.15"/>
    <row r="8738" customFormat="1" ht="13" x14ac:dyDescent="0.15"/>
    <row r="8739" customFormat="1" ht="13" x14ac:dyDescent="0.15"/>
    <row r="8740" customFormat="1" ht="13" x14ac:dyDescent="0.15"/>
    <row r="8741" customFormat="1" ht="13" x14ac:dyDescent="0.15"/>
    <row r="8742" customFormat="1" ht="13" x14ac:dyDescent="0.15"/>
    <row r="8743" customFormat="1" ht="13" x14ac:dyDescent="0.15"/>
    <row r="8744" customFormat="1" ht="13" x14ac:dyDescent="0.15"/>
    <row r="8745" customFormat="1" ht="13" x14ac:dyDescent="0.15"/>
    <row r="8746" customFormat="1" ht="13" x14ac:dyDescent="0.15"/>
    <row r="8747" customFormat="1" ht="13" x14ac:dyDescent="0.15"/>
    <row r="8748" customFormat="1" ht="13" x14ac:dyDescent="0.15"/>
    <row r="8749" customFormat="1" ht="13" x14ac:dyDescent="0.15"/>
    <row r="8750" customFormat="1" ht="13" x14ac:dyDescent="0.15"/>
    <row r="8751" customFormat="1" ht="13" x14ac:dyDescent="0.15"/>
    <row r="8752" customFormat="1" ht="13" x14ac:dyDescent="0.15"/>
    <row r="8753" customFormat="1" ht="13" x14ac:dyDescent="0.15"/>
    <row r="8754" customFormat="1" ht="13" x14ac:dyDescent="0.15"/>
    <row r="8755" customFormat="1" ht="13" x14ac:dyDescent="0.15"/>
    <row r="8756" customFormat="1" ht="13" x14ac:dyDescent="0.15"/>
    <row r="8757" customFormat="1" ht="13" x14ac:dyDescent="0.15"/>
    <row r="8758" customFormat="1" ht="13" x14ac:dyDescent="0.15"/>
    <row r="8759" customFormat="1" ht="13" x14ac:dyDescent="0.15"/>
    <row r="8760" customFormat="1" ht="13" x14ac:dyDescent="0.15"/>
    <row r="8761" customFormat="1" ht="13" x14ac:dyDescent="0.15"/>
    <row r="8762" customFormat="1" ht="13" x14ac:dyDescent="0.15"/>
    <row r="8763" customFormat="1" ht="13" x14ac:dyDescent="0.15"/>
    <row r="8764" customFormat="1" ht="13" x14ac:dyDescent="0.15"/>
    <row r="8765" customFormat="1" ht="13" x14ac:dyDescent="0.15"/>
    <row r="8766" customFormat="1" ht="13" x14ac:dyDescent="0.15"/>
    <row r="8767" customFormat="1" ht="13" x14ac:dyDescent="0.15"/>
    <row r="8768" customFormat="1" ht="13" x14ac:dyDescent="0.15"/>
    <row r="8769" customFormat="1" ht="13" x14ac:dyDescent="0.15"/>
    <row r="8770" customFormat="1" ht="13" x14ac:dyDescent="0.15"/>
    <row r="8771" customFormat="1" ht="13" x14ac:dyDescent="0.15"/>
    <row r="8772" customFormat="1" ht="13" x14ac:dyDescent="0.15"/>
    <row r="8773" customFormat="1" ht="13" x14ac:dyDescent="0.15"/>
    <row r="8774" customFormat="1" ht="13" x14ac:dyDescent="0.15"/>
    <row r="8775" customFormat="1" ht="13" x14ac:dyDescent="0.15"/>
    <row r="8776" customFormat="1" ht="13" x14ac:dyDescent="0.15"/>
    <row r="8777" customFormat="1" ht="13" x14ac:dyDescent="0.15"/>
    <row r="8778" customFormat="1" ht="13" x14ac:dyDescent="0.15"/>
    <row r="8779" customFormat="1" ht="13" x14ac:dyDescent="0.15"/>
    <row r="8780" customFormat="1" ht="13" x14ac:dyDescent="0.15"/>
    <row r="8781" customFormat="1" ht="13" x14ac:dyDescent="0.15"/>
    <row r="8782" customFormat="1" ht="13" x14ac:dyDescent="0.15"/>
    <row r="8783" customFormat="1" ht="13" x14ac:dyDescent="0.15"/>
    <row r="8784" customFormat="1" ht="13" x14ac:dyDescent="0.15"/>
    <row r="8785" customFormat="1" ht="13" x14ac:dyDescent="0.15"/>
    <row r="8786" customFormat="1" ht="13" x14ac:dyDescent="0.15"/>
    <row r="8787" customFormat="1" ht="13" x14ac:dyDescent="0.15"/>
    <row r="8788" customFormat="1" ht="13" x14ac:dyDescent="0.15"/>
    <row r="8789" customFormat="1" ht="13" x14ac:dyDescent="0.15"/>
    <row r="8790" customFormat="1" ht="13" x14ac:dyDescent="0.15"/>
    <row r="8791" customFormat="1" ht="13" x14ac:dyDescent="0.15"/>
    <row r="8792" customFormat="1" ht="13" x14ac:dyDescent="0.15"/>
    <row r="8793" customFormat="1" ht="13" x14ac:dyDescent="0.15"/>
    <row r="8794" customFormat="1" ht="13" x14ac:dyDescent="0.15"/>
    <row r="8795" customFormat="1" ht="13" x14ac:dyDescent="0.15"/>
    <row r="8796" customFormat="1" ht="13" x14ac:dyDescent="0.15"/>
    <row r="8797" customFormat="1" ht="13" x14ac:dyDescent="0.15"/>
    <row r="8798" customFormat="1" ht="13" x14ac:dyDescent="0.15"/>
    <row r="8799" customFormat="1" ht="13" x14ac:dyDescent="0.15"/>
    <row r="8800" customFormat="1" ht="13" x14ac:dyDescent="0.15"/>
    <row r="8801" customFormat="1" ht="13" x14ac:dyDescent="0.15"/>
    <row r="8802" customFormat="1" ht="13" x14ac:dyDescent="0.15"/>
    <row r="8803" customFormat="1" ht="13" x14ac:dyDescent="0.15"/>
    <row r="8804" customFormat="1" ht="13" x14ac:dyDescent="0.15"/>
    <row r="8805" customFormat="1" ht="13" x14ac:dyDescent="0.15"/>
    <row r="8806" customFormat="1" ht="13" x14ac:dyDescent="0.15"/>
    <row r="8807" customFormat="1" ht="13" x14ac:dyDescent="0.15"/>
    <row r="8808" customFormat="1" ht="13" x14ac:dyDescent="0.15"/>
    <row r="8809" customFormat="1" ht="13" x14ac:dyDescent="0.15"/>
    <row r="8810" customFormat="1" ht="13" x14ac:dyDescent="0.15"/>
    <row r="8811" customFormat="1" ht="13" x14ac:dyDescent="0.15"/>
    <row r="8812" customFormat="1" ht="13" x14ac:dyDescent="0.15"/>
    <row r="8813" customFormat="1" ht="13" x14ac:dyDescent="0.15"/>
    <row r="8814" customFormat="1" ht="13" x14ac:dyDescent="0.15"/>
    <row r="8815" customFormat="1" ht="13" x14ac:dyDescent="0.15"/>
    <row r="8816" customFormat="1" ht="13" x14ac:dyDescent="0.15"/>
    <row r="8817" customFormat="1" ht="13" x14ac:dyDescent="0.15"/>
    <row r="8818" customFormat="1" ht="13" x14ac:dyDescent="0.15"/>
    <row r="8819" customFormat="1" ht="13" x14ac:dyDescent="0.15"/>
    <row r="8820" customFormat="1" ht="13" x14ac:dyDescent="0.15"/>
    <row r="8821" customFormat="1" ht="13" x14ac:dyDescent="0.15"/>
    <row r="8822" customFormat="1" ht="13" x14ac:dyDescent="0.15"/>
    <row r="8823" customFormat="1" ht="13" x14ac:dyDescent="0.15"/>
    <row r="8824" customFormat="1" ht="13" x14ac:dyDescent="0.15"/>
    <row r="8825" customFormat="1" ht="13" x14ac:dyDescent="0.15"/>
    <row r="8826" customFormat="1" ht="13" x14ac:dyDescent="0.15"/>
    <row r="8827" customFormat="1" ht="13" x14ac:dyDescent="0.15"/>
    <row r="8828" customFormat="1" ht="13" x14ac:dyDescent="0.15"/>
    <row r="8829" customFormat="1" ht="13" x14ac:dyDescent="0.15"/>
    <row r="8830" customFormat="1" ht="13" x14ac:dyDescent="0.15"/>
    <row r="8831" customFormat="1" ht="13" x14ac:dyDescent="0.15"/>
    <row r="8832" customFormat="1" ht="13" x14ac:dyDescent="0.15"/>
    <row r="8833" customFormat="1" ht="13" x14ac:dyDescent="0.15"/>
    <row r="8834" customFormat="1" ht="13" x14ac:dyDescent="0.15"/>
    <row r="8835" customFormat="1" ht="13" x14ac:dyDescent="0.15"/>
    <row r="8836" customFormat="1" ht="13" x14ac:dyDescent="0.15"/>
    <row r="8837" customFormat="1" ht="13" x14ac:dyDescent="0.15"/>
    <row r="8838" customFormat="1" ht="13" x14ac:dyDescent="0.15"/>
    <row r="8839" customFormat="1" ht="13" x14ac:dyDescent="0.15"/>
    <row r="8840" customFormat="1" ht="13" x14ac:dyDescent="0.15"/>
    <row r="8841" customFormat="1" ht="13" x14ac:dyDescent="0.15"/>
    <row r="8842" customFormat="1" ht="13" x14ac:dyDescent="0.15"/>
    <row r="8843" customFormat="1" ht="13" x14ac:dyDescent="0.15"/>
    <row r="8844" customFormat="1" ht="13" x14ac:dyDescent="0.15"/>
    <row r="8845" customFormat="1" ht="13" x14ac:dyDescent="0.15"/>
    <row r="8846" customFormat="1" ht="13" x14ac:dyDescent="0.15"/>
    <row r="8847" customFormat="1" ht="13" x14ac:dyDescent="0.15"/>
    <row r="8848" customFormat="1" ht="13" x14ac:dyDescent="0.15"/>
    <row r="8849" customFormat="1" ht="13" x14ac:dyDescent="0.15"/>
    <row r="8850" customFormat="1" ht="13" x14ac:dyDescent="0.15"/>
    <row r="8851" customFormat="1" ht="13" x14ac:dyDescent="0.15"/>
    <row r="8852" customFormat="1" ht="13" x14ac:dyDescent="0.15"/>
    <row r="8853" customFormat="1" ht="13" x14ac:dyDescent="0.15"/>
    <row r="8854" customFormat="1" ht="13" x14ac:dyDescent="0.15"/>
    <row r="8855" customFormat="1" ht="13" x14ac:dyDescent="0.15"/>
    <row r="8856" customFormat="1" ht="13" x14ac:dyDescent="0.15"/>
    <row r="8857" customFormat="1" ht="13" x14ac:dyDescent="0.15"/>
    <row r="8858" customFormat="1" ht="13" x14ac:dyDescent="0.15"/>
    <row r="8859" customFormat="1" ht="13" x14ac:dyDescent="0.15"/>
    <row r="8860" customFormat="1" ht="13" x14ac:dyDescent="0.15"/>
    <row r="8861" customFormat="1" ht="13" x14ac:dyDescent="0.15"/>
    <row r="8862" customFormat="1" ht="13" x14ac:dyDescent="0.15"/>
    <row r="8863" customFormat="1" ht="13" x14ac:dyDescent="0.15"/>
    <row r="8864" customFormat="1" ht="13" x14ac:dyDescent="0.15"/>
    <row r="8865" customFormat="1" ht="13" x14ac:dyDescent="0.15"/>
    <row r="8866" customFormat="1" ht="13" x14ac:dyDescent="0.15"/>
    <row r="8867" customFormat="1" ht="13" x14ac:dyDescent="0.15"/>
    <row r="8868" customFormat="1" ht="13" x14ac:dyDescent="0.15"/>
    <row r="8869" customFormat="1" ht="13" x14ac:dyDescent="0.15"/>
    <row r="8870" customFormat="1" ht="13" x14ac:dyDescent="0.15"/>
    <row r="8871" customFormat="1" ht="13" x14ac:dyDescent="0.15"/>
    <row r="8872" customFormat="1" ht="13" x14ac:dyDescent="0.15"/>
    <row r="8873" customFormat="1" ht="13" x14ac:dyDescent="0.15"/>
    <row r="8874" customFormat="1" ht="13" x14ac:dyDescent="0.15"/>
    <row r="8875" customFormat="1" ht="13" x14ac:dyDescent="0.15"/>
    <row r="8876" customFormat="1" ht="13" x14ac:dyDescent="0.15"/>
    <row r="8877" customFormat="1" ht="13" x14ac:dyDescent="0.15"/>
    <row r="8878" customFormat="1" ht="13" x14ac:dyDescent="0.15"/>
    <row r="8879" customFormat="1" ht="13" x14ac:dyDescent="0.15"/>
    <row r="8880" customFormat="1" ht="13" x14ac:dyDescent="0.15"/>
    <row r="8881" customFormat="1" ht="13" x14ac:dyDescent="0.15"/>
    <row r="8882" customFormat="1" ht="13" x14ac:dyDescent="0.15"/>
    <row r="8883" customFormat="1" ht="13" x14ac:dyDescent="0.15"/>
    <row r="8884" customFormat="1" ht="13" x14ac:dyDescent="0.15"/>
    <row r="8885" customFormat="1" ht="13" x14ac:dyDescent="0.15"/>
    <row r="8886" customFormat="1" ht="13" x14ac:dyDescent="0.15"/>
    <row r="8887" customFormat="1" ht="13" x14ac:dyDescent="0.15"/>
    <row r="8888" customFormat="1" ht="13" x14ac:dyDescent="0.15"/>
    <row r="8889" customFormat="1" ht="13" x14ac:dyDescent="0.15"/>
    <row r="8890" customFormat="1" ht="13" x14ac:dyDescent="0.15"/>
    <row r="8891" customFormat="1" ht="13" x14ac:dyDescent="0.15"/>
    <row r="8892" customFormat="1" ht="13" x14ac:dyDescent="0.15"/>
    <row r="8893" customFormat="1" ht="13" x14ac:dyDescent="0.15"/>
    <row r="8894" customFormat="1" ht="13" x14ac:dyDescent="0.15"/>
    <row r="8895" customFormat="1" ht="13" x14ac:dyDescent="0.15"/>
    <row r="8896" customFormat="1" ht="13" x14ac:dyDescent="0.15"/>
    <row r="8897" customFormat="1" ht="13" x14ac:dyDescent="0.15"/>
    <row r="8898" customFormat="1" ht="13" x14ac:dyDescent="0.15"/>
    <row r="8899" customFormat="1" ht="13" x14ac:dyDescent="0.15"/>
    <row r="8900" customFormat="1" ht="13" x14ac:dyDescent="0.15"/>
    <row r="8901" customFormat="1" ht="13" x14ac:dyDescent="0.15"/>
    <row r="8902" customFormat="1" ht="13" x14ac:dyDescent="0.15"/>
    <row r="8903" customFormat="1" ht="13" x14ac:dyDescent="0.15"/>
    <row r="8904" customFormat="1" ht="13" x14ac:dyDescent="0.15"/>
    <row r="8905" customFormat="1" ht="13" x14ac:dyDescent="0.15"/>
    <row r="8906" customFormat="1" ht="13" x14ac:dyDescent="0.15"/>
    <row r="8907" customFormat="1" ht="13" x14ac:dyDescent="0.15"/>
    <row r="8908" customFormat="1" ht="13" x14ac:dyDescent="0.15"/>
    <row r="8909" customFormat="1" ht="13" x14ac:dyDescent="0.15"/>
    <row r="8910" customFormat="1" ht="13" x14ac:dyDescent="0.15"/>
    <row r="8911" customFormat="1" ht="13" x14ac:dyDescent="0.15"/>
    <row r="8912" customFormat="1" ht="13" x14ac:dyDescent="0.15"/>
    <row r="8913" customFormat="1" ht="13" x14ac:dyDescent="0.15"/>
    <row r="8914" customFormat="1" ht="13" x14ac:dyDescent="0.15"/>
    <row r="8915" customFormat="1" ht="13" x14ac:dyDescent="0.15"/>
    <row r="8916" customFormat="1" ht="13" x14ac:dyDescent="0.15"/>
    <row r="8917" customFormat="1" ht="13" x14ac:dyDescent="0.15"/>
    <row r="8918" customFormat="1" ht="13" x14ac:dyDescent="0.15"/>
    <row r="8919" customFormat="1" ht="13" x14ac:dyDescent="0.15"/>
    <row r="8920" customFormat="1" ht="13" x14ac:dyDescent="0.15"/>
    <row r="8921" customFormat="1" ht="13" x14ac:dyDescent="0.15"/>
    <row r="8922" customFormat="1" ht="13" x14ac:dyDescent="0.15"/>
    <row r="8923" customFormat="1" ht="13" x14ac:dyDescent="0.15"/>
    <row r="8924" customFormat="1" ht="13" x14ac:dyDescent="0.15"/>
    <row r="8925" customFormat="1" ht="13" x14ac:dyDescent="0.15"/>
    <row r="8926" customFormat="1" ht="13" x14ac:dyDescent="0.15"/>
    <row r="8927" customFormat="1" ht="13" x14ac:dyDescent="0.15"/>
    <row r="8928" customFormat="1" ht="13" x14ac:dyDescent="0.15"/>
    <row r="8929" customFormat="1" ht="13" x14ac:dyDescent="0.15"/>
    <row r="8930" customFormat="1" ht="13" x14ac:dyDescent="0.15"/>
    <row r="8931" customFormat="1" ht="13" x14ac:dyDescent="0.15"/>
    <row r="8932" customFormat="1" ht="13" x14ac:dyDescent="0.15"/>
    <row r="8933" customFormat="1" ht="13" x14ac:dyDescent="0.15"/>
    <row r="8934" customFormat="1" ht="13" x14ac:dyDescent="0.15"/>
    <row r="8935" customFormat="1" ht="13" x14ac:dyDescent="0.15"/>
    <row r="8936" customFormat="1" ht="13" x14ac:dyDescent="0.15"/>
    <row r="8937" customFormat="1" ht="13" x14ac:dyDescent="0.15"/>
    <row r="8938" customFormat="1" ht="13" x14ac:dyDescent="0.15"/>
    <row r="8939" customFormat="1" ht="13" x14ac:dyDescent="0.15"/>
    <row r="8940" customFormat="1" ht="13" x14ac:dyDescent="0.15"/>
    <row r="8941" customFormat="1" ht="13" x14ac:dyDescent="0.15"/>
    <row r="8942" customFormat="1" ht="13" x14ac:dyDescent="0.15"/>
    <row r="8943" customFormat="1" ht="13" x14ac:dyDescent="0.15"/>
    <row r="8944" customFormat="1" ht="13" x14ac:dyDescent="0.15"/>
    <row r="8945" customFormat="1" ht="13" x14ac:dyDescent="0.15"/>
    <row r="8946" customFormat="1" ht="13" x14ac:dyDescent="0.15"/>
    <row r="8947" customFormat="1" ht="13" x14ac:dyDescent="0.15"/>
    <row r="8948" customFormat="1" ht="13" x14ac:dyDescent="0.15"/>
    <row r="8949" customFormat="1" ht="13" x14ac:dyDescent="0.15"/>
    <row r="8950" customFormat="1" ht="13" x14ac:dyDescent="0.15"/>
    <row r="8951" customFormat="1" ht="13" x14ac:dyDescent="0.15"/>
    <row r="8952" customFormat="1" ht="13" x14ac:dyDescent="0.15"/>
    <row r="8953" customFormat="1" ht="13" x14ac:dyDescent="0.15"/>
    <row r="8954" customFormat="1" ht="13" x14ac:dyDescent="0.15"/>
    <row r="8955" customFormat="1" ht="13" x14ac:dyDescent="0.15"/>
    <row r="8956" customFormat="1" ht="13" x14ac:dyDescent="0.15"/>
    <row r="8957" customFormat="1" ht="13" x14ac:dyDescent="0.15"/>
    <row r="8958" customFormat="1" ht="13" x14ac:dyDescent="0.15"/>
    <row r="8959" customFormat="1" ht="13" x14ac:dyDescent="0.15"/>
    <row r="8960" customFormat="1" ht="13" x14ac:dyDescent="0.15"/>
    <row r="8961" customFormat="1" ht="13" x14ac:dyDescent="0.15"/>
    <row r="8962" customFormat="1" ht="13" x14ac:dyDescent="0.15"/>
    <row r="8963" customFormat="1" ht="13" x14ac:dyDescent="0.15"/>
    <row r="8964" customFormat="1" ht="13" x14ac:dyDescent="0.15"/>
    <row r="8965" customFormat="1" ht="13" x14ac:dyDescent="0.15"/>
    <row r="8966" customFormat="1" ht="13" x14ac:dyDescent="0.15"/>
    <row r="8967" customFormat="1" ht="13" x14ac:dyDescent="0.15"/>
    <row r="8968" customFormat="1" ht="13" x14ac:dyDescent="0.15"/>
    <row r="8969" customFormat="1" ht="13" x14ac:dyDescent="0.15"/>
    <row r="8970" customFormat="1" ht="13" x14ac:dyDescent="0.15"/>
    <row r="8971" customFormat="1" ht="13" x14ac:dyDescent="0.15"/>
    <row r="8972" customFormat="1" ht="13" x14ac:dyDescent="0.15"/>
    <row r="8973" customFormat="1" ht="13" x14ac:dyDescent="0.15"/>
    <row r="8974" customFormat="1" ht="13" x14ac:dyDescent="0.15"/>
    <row r="8975" customFormat="1" ht="13" x14ac:dyDescent="0.15"/>
    <row r="8976" customFormat="1" ht="13" x14ac:dyDescent="0.15"/>
    <row r="8977" customFormat="1" ht="13" x14ac:dyDescent="0.15"/>
    <row r="8978" customFormat="1" ht="13" x14ac:dyDescent="0.15"/>
    <row r="8979" customFormat="1" ht="13" x14ac:dyDescent="0.15"/>
    <row r="8980" customFormat="1" ht="13" x14ac:dyDescent="0.15"/>
    <row r="8981" customFormat="1" ht="13" x14ac:dyDescent="0.15"/>
    <row r="8982" customFormat="1" ht="13" x14ac:dyDescent="0.15"/>
    <row r="8983" customFormat="1" ht="13" x14ac:dyDescent="0.15"/>
    <row r="8984" customFormat="1" ht="13" x14ac:dyDescent="0.15"/>
    <row r="8985" customFormat="1" ht="13" x14ac:dyDescent="0.15"/>
    <row r="8986" customFormat="1" ht="13" x14ac:dyDescent="0.15"/>
    <row r="8987" customFormat="1" ht="13" x14ac:dyDescent="0.15"/>
    <row r="8988" customFormat="1" ht="13" x14ac:dyDescent="0.15"/>
    <row r="8989" customFormat="1" ht="13" x14ac:dyDescent="0.15"/>
    <row r="8990" customFormat="1" ht="13" x14ac:dyDescent="0.15"/>
    <row r="8991" customFormat="1" ht="13" x14ac:dyDescent="0.15"/>
    <row r="8992" customFormat="1" ht="13" x14ac:dyDescent="0.15"/>
    <row r="8993" customFormat="1" ht="13" x14ac:dyDescent="0.15"/>
    <row r="8994" customFormat="1" ht="13" x14ac:dyDescent="0.15"/>
    <row r="8995" customFormat="1" ht="13" x14ac:dyDescent="0.15"/>
    <row r="8996" customFormat="1" ht="13" x14ac:dyDescent="0.15"/>
    <row r="8997" customFormat="1" ht="13" x14ac:dyDescent="0.15"/>
    <row r="8998" customFormat="1" ht="13" x14ac:dyDescent="0.15"/>
    <row r="8999" customFormat="1" ht="13" x14ac:dyDescent="0.15"/>
    <row r="9000" customFormat="1" ht="13" x14ac:dyDescent="0.15"/>
    <row r="9001" customFormat="1" ht="13" x14ac:dyDescent="0.15"/>
    <row r="9002" customFormat="1" ht="13" x14ac:dyDescent="0.15"/>
    <row r="9003" customFormat="1" ht="13" x14ac:dyDescent="0.15"/>
    <row r="9004" customFormat="1" ht="13" x14ac:dyDescent="0.15"/>
    <row r="9005" customFormat="1" ht="13" x14ac:dyDescent="0.15"/>
    <row r="9006" customFormat="1" ht="13" x14ac:dyDescent="0.15"/>
    <row r="9007" customFormat="1" ht="13" x14ac:dyDescent="0.15"/>
    <row r="9008" customFormat="1" ht="13" x14ac:dyDescent="0.15"/>
    <row r="9009" customFormat="1" ht="13" x14ac:dyDescent="0.15"/>
    <row r="9010" customFormat="1" ht="13" x14ac:dyDescent="0.15"/>
    <row r="9011" customFormat="1" ht="13" x14ac:dyDescent="0.15"/>
    <row r="9012" customFormat="1" ht="13" x14ac:dyDescent="0.15"/>
    <row r="9013" customFormat="1" ht="13" x14ac:dyDescent="0.15"/>
    <row r="9014" customFormat="1" ht="13" x14ac:dyDescent="0.15"/>
    <row r="9015" customFormat="1" ht="13" x14ac:dyDescent="0.15"/>
    <row r="9016" customFormat="1" ht="13" x14ac:dyDescent="0.15"/>
    <row r="9017" customFormat="1" ht="13" x14ac:dyDescent="0.15"/>
    <row r="9018" customFormat="1" ht="13" x14ac:dyDescent="0.15"/>
    <row r="9019" customFormat="1" ht="13" x14ac:dyDescent="0.15"/>
    <row r="9020" customFormat="1" ht="13" x14ac:dyDescent="0.15"/>
    <row r="9021" customFormat="1" ht="13" x14ac:dyDescent="0.15"/>
    <row r="9022" customFormat="1" ht="13" x14ac:dyDescent="0.15"/>
    <row r="9023" customFormat="1" ht="13" x14ac:dyDescent="0.15"/>
    <row r="9024" customFormat="1" ht="13" x14ac:dyDescent="0.15"/>
    <row r="9025" customFormat="1" ht="13" x14ac:dyDescent="0.15"/>
    <row r="9026" customFormat="1" ht="13" x14ac:dyDescent="0.15"/>
    <row r="9027" customFormat="1" ht="13" x14ac:dyDescent="0.15"/>
    <row r="9028" customFormat="1" ht="13" x14ac:dyDescent="0.15"/>
    <row r="9029" customFormat="1" ht="13" x14ac:dyDescent="0.15"/>
    <row r="9030" customFormat="1" ht="13" x14ac:dyDescent="0.15"/>
    <row r="9031" customFormat="1" ht="13" x14ac:dyDescent="0.15"/>
    <row r="9032" customFormat="1" ht="13" x14ac:dyDescent="0.15"/>
    <row r="9033" customFormat="1" ht="13" x14ac:dyDescent="0.15"/>
    <row r="9034" customFormat="1" ht="13" x14ac:dyDescent="0.15"/>
    <row r="9035" customFormat="1" ht="13" x14ac:dyDescent="0.15"/>
    <row r="9036" customFormat="1" ht="13" x14ac:dyDescent="0.15"/>
    <row r="9037" customFormat="1" ht="13" x14ac:dyDescent="0.15"/>
    <row r="9038" customFormat="1" ht="13" x14ac:dyDescent="0.15"/>
    <row r="9039" customFormat="1" ht="13" x14ac:dyDescent="0.15"/>
    <row r="9040" customFormat="1" ht="13" x14ac:dyDescent="0.15"/>
    <row r="9041" customFormat="1" ht="13" x14ac:dyDescent="0.15"/>
    <row r="9042" customFormat="1" ht="13" x14ac:dyDescent="0.15"/>
    <row r="9043" customFormat="1" ht="13" x14ac:dyDescent="0.15"/>
    <row r="9044" customFormat="1" ht="13" x14ac:dyDescent="0.15"/>
    <row r="9045" customFormat="1" ht="13" x14ac:dyDescent="0.15"/>
    <row r="9046" customFormat="1" ht="13" x14ac:dyDescent="0.15"/>
    <row r="9047" customFormat="1" ht="13" x14ac:dyDescent="0.15"/>
    <row r="9048" customFormat="1" ht="13" x14ac:dyDescent="0.15"/>
    <row r="9049" customFormat="1" ht="13" x14ac:dyDescent="0.15"/>
    <row r="9050" customFormat="1" ht="13" x14ac:dyDescent="0.15"/>
    <row r="9051" customFormat="1" ht="13" x14ac:dyDescent="0.15"/>
    <row r="9052" customFormat="1" ht="13" x14ac:dyDescent="0.15"/>
    <row r="9053" customFormat="1" ht="13" x14ac:dyDescent="0.15"/>
    <row r="9054" customFormat="1" ht="13" x14ac:dyDescent="0.15"/>
    <row r="9055" customFormat="1" ht="13" x14ac:dyDescent="0.15"/>
    <row r="9056" customFormat="1" ht="13" x14ac:dyDescent="0.15"/>
    <row r="9057" customFormat="1" ht="13" x14ac:dyDescent="0.15"/>
    <row r="9058" customFormat="1" ht="13" x14ac:dyDescent="0.15"/>
    <row r="9059" customFormat="1" ht="13" x14ac:dyDescent="0.15"/>
    <row r="9060" customFormat="1" ht="13" x14ac:dyDescent="0.15"/>
    <row r="9061" customFormat="1" ht="13" x14ac:dyDescent="0.15"/>
    <row r="9062" customFormat="1" ht="13" x14ac:dyDescent="0.15"/>
    <row r="9063" customFormat="1" ht="13" x14ac:dyDescent="0.15"/>
    <row r="9064" customFormat="1" ht="13" x14ac:dyDescent="0.15"/>
    <row r="9065" customFormat="1" ht="13" x14ac:dyDescent="0.15"/>
    <row r="9066" customFormat="1" ht="13" x14ac:dyDescent="0.15"/>
    <row r="9067" customFormat="1" ht="13" x14ac:dyDescent="0.15"/>
    <row r="9068" customFormat="1" ht="13" x14ac:dyDescent="0.15"/>
    <row r="9069" customFormat="1" ht="13" x14ac:dyDescent="0.15"/>
    <row r="9070" customFormat="1" ht="13" x14ac:dyDescent="0.15"/>
    <row r="9071" customFormat="1" ht="13" x14ac:dyDescent="0.15"/>
    <row r="9072" customFormat="1" ht="13" x14ac:dyDescent="0.15"/>
    <row r="9073" customFormat="1" ht="13" x14ac:dyDescent="0.15"/>
    <row r="9074" customFormat="1" ht="13" x14ac:dyDescent="0.15"/>
    <row r="9075" customFormat="1" ht="13" x14ac:dyDescent="0.15"/>
    <row r="9076" customFormat="1" ht="13" x14ac:dyDescent="0.15"/>
    <row r="9077" customFormat="1" ht="13" x14ac:dyDescent="0.15"/>
    <row r="9078" customFormat="1" ht="13" x14ac:dyDescent="0.15"/>
    <row r="9079" customFormat="1" ht="13" x14ac:dyDescent="0.15"/>
    <row r="9080" customFormat="1" ht="13" x14ac:dyDescent="0.15"/>
    <row r="9081" customFormat="1" ht="13" x14ac:dyDescent="0.15"/>
    <row r="9082" customFormat="1" ht="13" x14ac:dyDescent="0.15"/>
    <row r="9083" customFormat="1" ht="13" x14ac:dyDescent="0.15"/>
    <row r="9084" customFormat="1" ht="13" x14ac:dyDescent="0.15"/>
    <row r="9085" customFormat="1" ht="13" x14ac:dyDescent="0.15"/>
    <row r="9086" customFormat="1" ht="13" x14ac:dyDescent="0.15"/>
    <row r="9087" customFormat="1" ht="13" x14ac:dyDescent="0.15"/>
    <row r="9088" customFormat="1" ht="13" x14ac:dyDescent="0.15"/>
    <row r="9089" customFormat="1" ht="13" x14ac:dyDescent="0.15"/>
    <row r="9090" customFormat="1" ht="13" x14ac:dyDescent="0.15"/>
    <row r="9091" customFormat="1" ht="13" x14ac:dyDescent="0.15"/>
    <row r="9092" customFormat="1" ht="13" x14ac:dyDescent="0.15"/>
    <row r="9093" customFormat="1" ht="13" x14ac:dyDescent="0.15"/>
    <row r="9094" customFormat="1" ht="13" x14ac:dyDescent="0.15"/>
    <row r="9095" customFormat="1" ht="13" x14ac:dyDescent="0.15"/>
    <row r="9096" customFormat="1" ht="13" x14ac:dyDescent="0.15"/>
    <row r="9097" customFormat="1" ht="13" x14ac:dyDescent="0.15"/>
    <row r="9098" customFormat="1" ht="13" x14ac:dyDescent="0.15"/>
    <row r="9099" customFormat="1" ht="13" x14ac:dyDescent="0.15"/>
    <row r="9100" customFormat="1" ht="13" x14ac:dyDescent="0.15"/>
    <row r="9101" customFormat="1" ht="13" x14ac:dyDescent="0.15"/>
    <row r="9102" customFormat="1" ht="13" x14ac:dyDescent="0.15"/>
    <row r="9103" customFormat="1" ht="13" x14ac:dyDescent="0.15"/>
    <row r="9104" customFormat="1" ht="13" x14ac:dyDescent="0.15"/>
    <row r="9105" customFormat="1" ht="13" x14ac:dyDescent="0.15"/>
    <row r="9106" customFormat="1" ht="13" x14ac:dyDescent="0.15"/>
    <row r="9107" customFormat="1" ht="13" x14ac:dyDescent="0.15"/>
    <row r="9108" customFormat="1" ht="13" x14ac:dyDescent="0.15"/>
    <row r="9109" customFormat="1" ht="13" x14ac:dyDescent="0.15"/>
    <row r="9110" customFormat="1" ht="13" x14ac:dyDescent="0.15"/>
    <row r="9111" customFormat="1" ht="13" x14ac:dyDescent="0.15"/>
    <row r="9112" customFormat="1" ht="13" x14ac:dyDescent="0.15"/>
    <row r="9113" customFormat="1" ht="13" x14ac:dyDescent="0.15"/>
    <row r="9114" customFormat="1" ht="13" x14ac:dyDescent="0.15"/>
    <row r="9115" customFormat="1" ht="13" x14ac:dyDescent="0.15"/>
    <row r="9116" customFormat="1" ht="13" x14ac:dyDescent="0.15"/>
    <row r="9117" customFormat="1" ht="13" x14ac:dyDescent="0.15"/>
    <row r="9118" customFormat="1" ht="13" x14ac:dyDescent="0.15"/>
    <row r="9119" customFormat="1" ht="13" x14ac:dyDescent="0.15"/>
    <row r="9120" customFormat="1" ht="13" x14ac:dyDescent="0.15"/>
    <row r="9121" customFormat="1" ht="13" x14ac:dyDescent="0.15"/>
    <row r="9122" customFormat="1" ht="13" x14ac:dyDescent="0.15"/>
    <row r="9123" customFormat="1" ht="13" x14ac:dyDescent="0.15"/>
    <row r="9124" customFormat="1" ht="13" x14ac:dyDescent="0.15"/>
    <row r="9125" customFormat="1" ht="13" x14ac:dyDescent="0.15"/>
    <row r="9126" customFormat="1" ht="13" x14ac:dyDescent="0.15"/>
    <row r="9127" customFormat="1" ht="13" x14ac:dyDescent="0.15"/>
    <row r="9128" customFormat="1" ht="13" x14ac:dyDescent="0.15"/>
    <row r="9129" customFormat="1" ht="13" x14ac:dyDescent="0.15"/>
    <row r="9130" customFormat="1" ht="13" x14ac:dyDescent="0.15"/>
    <row r="9131" customFormat="1" ht="13" x14ac:dyDescent="0.15"/>
    <row r="9132" customFormat="1" ht="13" x14ac:dyDescent="0.15"/>
    <row r="9133" customFormat="1" ht="13" x14ac:dyDescent="0.15"/>
    <row r="9134" customFormat="1" ht="13" x14ac:dyDescent="0.15"/>
    <row r="9135" customFormat="1" ht="13" x14ac:dyDescent="0.15"/>
    <row r="9136" customFormat="1" ht="13" x14ac:dyDescent="0.15"/>
    <row r="9137" customFormat="1" ht="13" x14ac:dyDescent="0.15"/>
    <row r="9138" customFormat="1" ht="13" x14ac:dyDescent="0.15"/>
    <row r="9139" customFormat="1" ht="13" x14ac:dyDescent="0.15"/>
    <row r="9140" customFormat="1" ht="13" x14ac:dyDescent="0.15"/>
    <row r="9141" customFormat="1" ht="13" x14ac:dyDescent="0.15"/>
    <row r="9142" customFormat="1" ht="13" x14ac:dyDescent="0.15"/>
    <row r="9143" customFormat="1" ht="13" x14ac:dyDescent="0.15"/>
    <row r="9144" customFormat="1" ht="13" x14ac:dyDescent="0.15"/>
    <row r="9145" customFormat="1" ht="13" x14ac:dyDescent="0.15"/>
    <row r="9146" customFormat="1" ht="13" x14ac:dyDescent="0.15"/>
    <row r="9147" customFormat="1" ht="13" x14ac:dyDescent="0.15"/>
    <row r="9148" customFormat="1" ht="13" x14ac:dyDescent="0.15"/>
    <row r="9149" customFormat="1" ht="13" x14ac:dyDescent="0.15"/>
    <row r="9150" customFormat="1" ht="13" x14ac:dyDescent="0.15"/>
    <row r="9151" customFormat="1" ht="13" x14ac:dyDescent="0.15"/>
    <row r="9152" customFormat="1" ht="13" x14ac:dyDescent="0.15"/>
    <row r="9153" customFormat="1" ht="13" x14ac:dyDescent="0.15"/>
    <row r="9154" customFormat="1" ht="13" x14ac:dyDescent="0.15"/>
    <row r="9155" customFormat="1" ht="13" x14ac:dyDescent="0.15"/>
    <row r="9156" customFormat="1" ht="13" x14ac:dyDescent="0.15"/>
    <row r="9157" customFormat="1" ht="13" x14ac:dyDescent="0.15"/>
    <row r="9158" customFormat="1" ht="13" x14ac:dyDescent="0.15"/>
    <row r="9159" customFormat="1" ht="13" x14ac:dyDescent="0.15"/>
    <row r="9160" customFormat="1" ht="13" x14ac:dyDescent="0.15"/>
    <row r="9161" customFormat="1" ht="13" x14ac:dyDescent="0.15"/>
    <row r="9162" customFormat="1" ht="13" x14ac:dyDescent="0.15"/>
    <row r="9163" customFormat="1" ht="13" x14ac:dyDescent="0.15"/>
    <row r="9164" customFormat="1" ht="13" x14ac:dyDescent="0.15"/>
    <row r="9165" customFormat="1" ht="13" x14ac:dyDescent="0.15"/>
    <row r="9166" customFormat="1" ht="13" x14ac:dyDescent="0.15"/>
    <row r="9167" customFormat="1" ht="13" x14ac:dyDescent="0.15"/>
    <row r="9168" customFormat="1" ht="13" x14ac:dyDescent="0.15"/>
    <row r="9169" customFormat="1" ht="13" x14ac:dyDescent="0.15"/>
    <row r="9170" customFormat="1" ht="13" x14ac:dyDescent="0.15"/>
    <row r="9171" customFormat="1" ht="13" x14ac:dyDescent="0.15"/>
    <row r="9172" customFormat="1" ht="13" x14ac:dyDescent="0.15"/>
    <row r="9173" customFormat="1" ht="13" x14ac:dyDescent="0.15"/>
    <row r="9174" customFormat="1" ht="13" x14ac:dyDescent="0.15"/>
    <row r="9175" customFormat="1" ht="13" x14ac:dyDescent="0.15"/>
    <row r="9176" customFormat="1" ht="13" x14ac:dyDescent="0.15"/>
    <row r="9177" customFormat="1" ht="13" x14ac:dyDescent="0.15"/>
    <row r="9178" customFormat="1" ht="13" x14ac:dyDescent="0.15"/>
    <row r="9179" customFormat="1" ht="13" x14ac:dyDescent="0.15"/>
    <row r="9180" customFormat="1" ht="13" x14ac:dyDescent="0.15"/>
    <row r="9181" customFormat="1" ht="13" x14ac:dyDescent="0.15"/>
    <row r="9182" customFormat="1" ht="13" x14ac:dyDescent="0.15"/>
    <row r="9183" customFormat="1" ht="13" x14ac:dyDescent="0.15"/>
    <row r="9184" customFormat="1" ht="13" x14ac:dyDescent="0.15"/>
    <row r="9185" customFormat="1" ht="13" x14ac:dyDescent="0.15"/>
    <row r="9186" customFormat="1" ht="13" x14ac:dyDescent="0.15"/>
    <row r="9187" customFormat="1" ht="13" x14ac:dyDescent="0.15"/>
    <row r="9188" customFormat="1" ht="13" x14ac:dyDescent="0.15"/>
    <row r="9189" customFormat="1" ht="13" x14ac:dyDescent="0.15"/>
    <row r="9190" customFormat="1" ht="13" x14ac:dyDescent="0.15"/>
    <row r="9191" customFormat="1" ht="13" x14ac:dyDescent="0.15"/>
    <row r="9192" customFormat="1" ht="13" x14ac:dyDescent="0.15"/>
    <row r="9193" customFormat="1" ht="13" x14ac:dyDescent="0.15"/>
    <row r="9194" customFormat="1" ht="13" x14ac:dyDescent="0.15"/>
    <row r="9195" customFormat="1" ht="13" x14ac:dyDescent="0.15"/>
    <row r="9196" customFormat="1" ht="13" x14ac:dyDescent="0.15"/>
    <row r="9197" customFormat="1" ht="13" x14ac:dyDescent="0.15"/>
    <row r="9198" customFormat="1" ht="13" x14ac:dyDescent="0.15"/>
    <row r="9199" customFormat="1" ht="13" x14ac:dyDescent="0.15"/>
    <row r="9200" customFormat="1" ht="13" x14ac:dyDescent="0.15"/>
    <row r="9201" customFormat="1" ht="13" x14ac:dyDescent="0.15"/>
    <row r="9202" customFormat="1" ht="13" x14ac:dyDescent="0.15"/>
    <row r="9203" customFormat="1" ht="13" x14ac:dyDescent="0.15"/>
    <row r="9204" customFormat="1" ht="13" x14ac:dyDescent="0.15"/>
    <row r="9205" customFormat="1" ht="13" x14ac:dyDescent="0.15"/>
    <row r="9206" customFormat="1" ht="13" x14ac:dyDescent="0.15"/>
    <row r="9207" customFormat="1" ht="13" x14ac:dyDescent="0.15"/>
    <row r="9208" customFormat="1" ht="13" x14ac:dyDescent="0.15"/>
    <row r="9209" customFormat="1" ht="13" x14ac:dyDescent="0.15"/>
    <row r="9210" customFormat="1" ht="13" x14ac:dyDescent="0.15"/>
    <row r="9211" customFormat="1" ht="13" x14ac:dyDescent="0.15"/>
    <row r="9212" customFormat="1" ht="13" x14ac:dyDescent="0.15"/>
    <row r="9213" customFormat="1" ht="13" x14ac:dyDescent="0.15"/>
    <row r="9214" customFormat="1" ht="13" x14ac:dyDescent="0.15"/>
    <row r="9215" customFormat="1" ht="13" x14ac:dyDescent="0.15"/>
    <row r="9216" customFormat="1" ht="13" x14ac:dyDescent="0.15"/>
    <row r="9217" customFormat="1" ht="13" x14ac:dyDescent="0.15"/>
    <row r="9218" customFormat="1" ht="13" x14ac:dyDescent="0.15"/>
    <row r="9219" customFormat="1" ht="13" x14ac:dyDescent="0.15"/>
    <row r="9220" customFormat="1" ht="13" x14ac:dyDescent="0.15"/>
    <row r="9221" customFormat="1" ht="13" x14ac:dyDescent="0.15"/>
    <row r="9222" customFormat="1" ht="13" x14ac:dyDescent="0.15"/>
    <row r="9223" customFormat="1" ht="13" x14ac:dyDescent="0.15"/>
    <row r="9224" customFormat="1" ht="13" x14ac:dyDescent="0.15"/>
    <row r="9225" customFormat="1" ht="13" x14ac:dyDescent="0.15"/>
    <row r="9226" customFormat="1" ht="13" x14ac:dyDescent="0.15"/>
    <row r="9227" customFormat="1" ht="13" x14ac:dyDescent="0.15"/>
    <row r="9228" customFormat="1" ht="13" x14ac:dyDescent="0.15"/>
    <row r="9229" customFormat="1" ht="13" x14ac:dyDescent="0.15"/>
    <row r="9230" customFormat="1" ht="13" x14ac:dyDescent="0.15"/>
    <row r="9231" customFormat="1" ht="13" x14ac:dyDescent="0.15"/>
    <row r="9232" customFormat="1" ht="13" x14ac:dyDescent="0.15"/>
    <row r="9233" customFormat="1" ht="13" x14ac:dyDescent="0.15"/>
    <row r="9234" customFormat="1" ht="13" x14ac:dyDescent="0.15"/>
    <row r="9235" customFormat="1" ht="13" x14ac:dyDescent="0.15"/>
    <row r="9236" customFormat="1" ht="13" x14ac:dyDescent="0.15"/>
    <row r="9237" customFormat="1" ht="13" x14ac:dyDescent="0.15"/>
    <row r="9238" customFormat="1" ht="13" x14ac:dyDescent="0.15"/>
    <row r="9239" customFormat="1" ht="13" x14ac:dyDescent="0.15"/>
    <row r="9240" customFormat="1" ht="13" x14ac:dyDescent="0.15"/>
    <row r="9241" customFormat="1" ht="13" x14ac:dyDescent="0.15"/>
    <row r="9242" customFormat="1" ht="13" x14ac:dyDescent="0.15"/>
    <row r="9243" customFormat="1" ht="13" x14ac:dyDescent="0.15"/>
    <row r="9244" customFormat="1" ht="13" x14ac:dyDescent="0.15"/>
    <row r="9245" customFormat="1" ht="13" x14ac:dyDescent="0.15"/>
    <row r="9246" customFormat="1" ht="13" x14ac:dyDescent="0.15"/>
    <row r="9247" customFormat="1" ht="13" x14ac:dyDescent="0.15"/>
    <row r="9248" customFormat="1" ht="13" x14ac:dyDescent="0.15"/>
    <row r="9249" customFormat="1" ht="13" x14ac:dyDescent="0.15"/>
    <row r="9250" customFormat="1" ht="13" x14ac:dyDescent="0.15"/>
    <row r="9251" customFormat="1" ht="13" x14ac:dyDescent="0.15"/>
    <row r="9252" customFormat="1" ht="13" x14ac:dyDescent="0.15"/>
    <row r="9253" customFormat="1" ht="13" x14ac:dyDescent="0.15"/>
    <row r="9254" customFormat="1" ht="13" x14ac:dyDescent="0.15"/>
    <row r="9255" customFormat="1" ht="13" x14ac:dyDescent="0.15"/>
    <row r="9256" customFormat="1" ht="13" x14ac:dyDescent="0.15"/>
    <row r="9257" customFormat="1" ht="13" x14ac:dyDescent="0.15"/>
    <row r="9258" customFormat="1" ht="13" x14ac:dyDescent="0.15"/>
    <row r="9259" customFormat="1" ht="13" x14ac:dyDescent="0.15"/>
    <row r="9260" customFormat="1" ht="13" x14ac:dyDescent="0.15"/>
    <row r="9261" customFormat="1" ht="13" x14ac:dyDescent="0.15"/>
    <row r="9262" customFormat="1" ht="13" x14ac:dyDescent="0.15"/>
    <row r="9263" customFormat="1" ht="13" x14ac:dyDescent="0.15"/>
    <row r="9264" customFormat="1" ht="13" x14ac:dyDescent="0.15"/>
    <row r="9265" customFormat="1" ht="13" x14ac:dyDescent="0.15"/>
    <row r="9266" customFormat="1" ht="13" x14ac:dyDescent="0.15"/>
    <row r="9267" customFormat="1" ht="13" x14ac:dyDescent="0.15"/>
    <row r="9268" customFormat="1" ht="13" x14ac:dyDescent="0.15"/>
    <row r="9269" customFormat="1" ht="13" x14ac:dyDescent="0.15"/>
    <row r="9270" customFormat="1" ht="13" x14ac:dyDescent="0.15"/>
    <row r="9271" customFormat="1" ht="13" x14ac:dyDescent="0.15"/>
    <row r="9272" customFormat="1" ht="13" x14ac:dyDescent="0.15"/>
    <row r="9273" customFormat="1" ht="13" x14ac:dyDescent="0.15"/>
    <row r="9274" customFormat="1" ht="13" x14ac:dyDescent="0.15"/>
    <row r="9275" customFormat="1" ht="13" x14ac:dyDescent="0.15"/>
    <row r="9276" customFormat="1" ht="13" x14ac:dyDescent="0.15"/>
    <row r="9277" customFormat="1" ht="13" x14ac:dyDescent="0.15"/>
    <row r="9278" customFormat="1" ht="13" x14ac:dyDescent="0.15"/>
    <row r="9279" customFormat="1" ht="13" x14ac:dyDescent="0.15"/>
    <row r="9280" customFormat="1" ht="13" x14ac:dyDescent="0.15"/>
    <row r="9281" customFormat="1" ht="13" x14ac:dyDescent="0.15"/>
    <row r="9282" customFormat="1" ht="13" x14ac:dyDescent="0.15"/>
    <row r="9283" customFormat="1" ht="13" x14ac:dyDescent="0.15"/>
    <row r="9284" customFormat="1" ht="13" x14ac:dyDescent="0.15"/>
    <row r="9285" customFormat="1" ht="13" x14ac:dyDescent="0.15"/>
    <row r="9286" customFormat="1" ht="13" x14ac:dyDescent="0.15"/>
    <row r="9287" customFormat="1" ht="13" x14ac:dyDescent="0.15"/>
    <row r="9288" customFormat="1" ht="13" x14ac:dyDescent="0.15"/>
    <row r="9289" customFormat="1" ht="13" x14ac:dyDescent="0.15"/>
    <row r="9290" customFormat="1" ht="13" x14ac:dyDescent="0.15"/>
    <row r="9291" customFormat="1" ht="13" x14ac:dyDescent="0.15"/>
    <row r="9292" customFormat="1" ht="13" x14ac:dyDescent="0.15"/>
    <row r="9293" customFormat="1" ht="13" x14ac:dyDescent="0.15"/>
    <row r="9294" customFormat="1" ht="13" x14ac:dyDescent="0.15"/>
    <row r="9295" customFormat="1" ht="13" x14ac:dyDescent="0.15"/>
    <row r="9296" customFormat="1" ht="13" x14ac:dyDescent="0.15"/>
    <row r="9297" customFormat="1" ht="13" x14ac:dyDescent="0.15"/>
    <row r="9298" customFormat="1" ht="13" x14ac:dyDescent="0.15"/>
    <row r="9299" customFormat="1" ht="13" x14ac:dyDescent="0.15"/>
    <row r="9300" customFormat="1" ht="13" x14ac:dyDescent="0.15"/>
    <row r="9301" customFormat="1" ht="13" x14ac:dyDescent="0.15"/>
    <row r="9302" customFormat="1" ht="13" x14ac:dyDescent="0.15"/>
    <row r="9303" customFormat="1" ht="13" x14ac:dyDescent="0.15"/>
    <row r="9304" customFormat="1" ht="13" x14ac:dyDescent="0.15"/>
    <row r="9305" customFormat="1" ht="13" x14ac:dyDescent="0.15"/>
    <row r="9306" customFormat="1" ht="13" x14ac:dyDescent="0.15"/>
    <row r="9307" customFormat="1" ht="13" x14ac:dyDescent="0.15"/>
    <row r="9308" customFormat="1" ht="13" x14ac:dyDescent="0.15"/>
    <row r="9309" customFormat="1" ht="13" x14ac:dyDescent="0.15"/>
    <row r="9310" customFormat="1" ht="13" x14ac:dyDescent="0.15"/>
    <row r="9311" customFormat="1" ht="13" x14ac:dyDescent="0.15"/>
    <row r="9312" customFormat="1" ht="13" x14ac:dyDescent="0.15"/>
    <row r="9313" customFormat="1" ht="13" x14ac:dyDescent="0.15"/>
    <row r="9314" customFormat="1" ht="13" x14ac:dyDescent="0.15"/>
    <row r="9315" customFormat="1" ht="13" x14ac:dyDescent="0.15"/>
    <row r="9316" customFormat="1" ht="13" x14ac:dyDescent="0.15"/>
    <row r="9317" customFormat="1" ht="13" x14ac:dyDescent="0.15"/>
    <row r="9318" customFormat="1" ht="13" x14ac:dyDescent="0.15"/>
    <row r="9319" customFormat="1" ht="13" x14ac:dyDescent="0.15"/>
    <row r="9320" customFormat="1" ht="13" x14ac:dyDescent="0.15"/>
    <row r="9321" customFormat="1" ht="13" x14ac:dyDescent="0.15"/>
    <row r="9322" customFormat="1" ht="13" x14ac:dyDescent="0.15"/>
    <row r="9323" customFormat="1" ht="13" x14ac:dyDescent="0.15"/>
    <row r="9324" customFormat="1" ht="13" x14ac:dyDescent="0.15"/>
    <row r="9325" customFormat="1" ht="13" x14ac:dyDescent="0.15"/>
    <row r="9326" customFormat="1" ht="13" x14ac:dyDescent="0.15"/>
    <row r="9327" customFormat="1" ht="13" x14ac:dyDescent="0.15"/>
    <row r="9328" customFormat="1" ht="13" x14ac:dyDescent="0.15"/>
    <row r="9329" customFormat="1" ht="13" x14ac:dyDescent="0.15"/>
    <row r="9330" customFormat="1" ht="13" x14ac:dyDescent="0.15"/>
    <row r="9331" customFormat="1" ht="13" x14ac:dyDescent="0.15"/>
    <row r="9332" customFormat="1" ht="13" x14ac:dyDescent="0.15"/>
    <row r="9333" customFormat="1" ht="13" x14ac:dyDescent="0.15"/>
    <row r="9334" customFormat="1" ht="13" x14ac:dyDescent="0.15"/>
    <row r="9335" customFormat="1" ht="13" x14ac:dyDescent="0.15"/>
    <row r="9336" customFormat="1" ht="13" x14ac:dyDescent="0.15"/>
    <row r="9337" customFormat="1" ht="13" x14ac:dyDescent="0.15"/>
    <row r="9338" customFormat="1" ht="13" x14ac:dyDescent="0.15"/>
    <row r="9339" customFormat="1" ht="13" x14ac:dyDescent="0.15"/>
    <row r="9340" customFormat="1" ht="13" x14ac:dyDescent="0.15"/>
    <row r="9341" customFormat="1" ht="13" x14ac:dyDescent="0.15"/>
    <row r="9342" customFormat="1" ht="13" x14ac:dyDescent="0.15"/>
    <row r="9343" customFormat="1" ht="13" x14ac:dyDescent="0.15"/>
    <row r="9344" customFormat="1" ht="13" x14ac:dyDescent="0.15"/>
    <row r="9345" customFormat="1" ht="13" x14ac:dyDescent="0.15"/>
    <row r="9346" customFormat="1" ht="13" x14ac:dyDescent="0.15"/>
    <row r="9347" customFormat="1" ht="13" x14ac:dyDescent="0.15"/>
    <row r="9348" customFormat="1" ht="13" x14ac:dyDescent="0.15"/>
    <row r="9349" customFormat="1" ht="13" x14ac:dyDescent="0.15"/>
    <row r="9350" customFormat="1" ht="13" x14ac:dyDescent="0.15"/>
    <row r="9351" customFormat="1" ht="13" x14ac:dyDescent="0.15"/>
    <row r="9352" customFormat="1" ht="13" x14ac:dyDescent="0.15"/>
    <row r="9353" customFormat="1" ht="13" x14ac:dyDescent="0.15"/>
    <row r="9354" customFormat="1" ht="13" x14ac:dyDescent="0.15"/>
    <row r="9355" customFormat="1" ht="13" x14ac:dyDescent="0.15"/>
    <row r="9356" customFormat="1" ht="13" x14ac:dyDescent="0.15"/>
    <row r="9357" customFormat="1" ht="13" x14ac:dyDescent="0.15"/>
    <row r="9358" customFormat="1" ht="13" x14ac:dyDescent="0.15"/>
    <row r="9359" customFormat="1" ht="13" x14ac:dyDescent="0.15"/>
    <row r="9360" customFormat="1" ht="13" x14ac:dyDescent="0.15"/>
    <row r="9361" customFormat="1" ht="13" x14ac:dyDescent="0.15"/>
    <row r="9362" customFormat="1" ht="13" x14ac:dyDescent="0.15"/>
    <row r="9363" customFormat="1" ht="13" x14ac:dyDescent="0.15"/>
    <row r="9364" customFormat="1" ht="13" x14ac:dyDescent="0.15"/>
    <row r="9365" customFormat="1" ht="13" x14ac:dyDescent="0.15"/>
    <row r="9366" customFormat="1" ht="13" x14ac:dyDescent="0.15"/>
    <row r="9367" customFormat="1" ht="13" x14ac:dyDescent="0.15"/>
    <row r="9368" customFormat="1" ht="13" x14ac:dyDescent="0.15"/>
    <row r="9369" customFormat="1" ht="13" x14ac:dyDescent="0.15"/>
    <row r="9370" customFormat="1" ht="13" x14ac:dyDescent="0.15"/>
    <row r="9371" customFormat="1" ht="13" x14ac:dyDescent="0.15"/>
    <row r="9372" customFormat="1" ht="13" x14ac:dyDescent="0.15"/>
    <row r="9373" customFormat="1" ht="13" x14ac:dyDescent="0.15"/>
    <row r="9374" customFormat="1" ht="13" x14ac:dyDescent="0.15"/>
    <row r="9375" customFormat="1" ht="13" x14ac:dyDescent="0.15"/>
    <row r="9376" customFormat="1" ht="13" x14ac:dyDescent="0.15"/>
    <row r="9377" customFormat="1" ht="13" x14ac:dyDescent="0.15"/>
    <row r="9378" customFormat="1" ht="13" x14ac:dyDescent="0.15"/>
    <row r="9379" customFormat="1" ht="13" x14ac:dyDescent="0.15"/>
    <row r="9380" customFormat="1" ht="13" x14ac:dyDescent="0.15"/>
    <row r="9381" customFormat="1" ht="13" x14ac:dyDescent="0.15"/>
    <row r="9382" customFormat="1" ht="13" x14ac:dyDescent="0.15"/>
    <row r="9383" customFormat="1" ht="13" x14ac:dyDescent="0.15"/>
    <row r="9384" customFormat="1" ht="13" x14ac:dyDescent="0.15"/>
    <row r="9385" customFormat="1" ht="13" x14ac:dyDescent="0.15"/>
    <row r="9386" customFormat="1" ht="13" x14ac:dyDescent="0.15"/>
    <row r="9387" customFormat="1" ht="13" x14ac:dyDescent="0.15"/>
    <row r="9388" customFormat="1" ht="13" x14ac:dyDescent="0.15"/>
    <row r="9389" customFormat="1" ht="13" x14ac:dyDescent="0.15"/>
    <row r="9390" customFormat="1" ht="13" x14ac:dyDescent="0.15"/>
    <row r="9391" customFormat="1" ht="13" x14ac:dyDescent="0.15"/>
    <row r="9392" customFormat="1" ht="13" x14ac:dyDescent="0.15"/>
    <row r="9393" customFormat="1" ht="13" x14ac:dyDescent="0.15"/>
    <row r="9394" customFormat="1" ht="13" x14ac:dyDescent="0.15"/>
    <row r="9395" customFormat="1" ht="13" x14ac:dyDescent="0.15"/>
    <row r="9396" customFormat="1" ht="13" x14ac:dyDescent="0.15"/>
    <row r="9397" customFormat="1" ht="13" x14ac:dyDescent="0.15"/>
    <row r="9398" customFormat="1" ht="13" x14ac:dyDescent="0.15"/>
    <row r="9399" customFormat="1" ht="13" x14ac:dyDescent="0.15"/>
    <row r="9400" customFormat="1" ht="13" x14ac:dyDescent="0.15"/>
    <row r="9401" customFormat="1" ht="13" x14ac:dyDescent="0.15"/>
    <row r="9402" customFormat="1" ht="13" x14ac:dyDescent="0.15"/>
    <row r="9403" customFormat="1" ht="13" x14ac:dyDescent="0.15"/>
    <row r="9404" customFormat="1" ht="13" x14ac:dyDescent="0.15"/>
    <row r="9405" customFormat="1" ht="13" x14ac:dyDescent="0.15"/>
    <row r="9406" customFormat="1" ht="13" x14ac:dyDescent="0.15"/>
    <row r="9407" customFormat="1" ht="13" x14ac:dyDescent="0.15"/>
    <row r="9408" customFormat="1" ht="13" x14ac:dyDescent="0.15"/>
    <row r="9409" customFormat="1" ht="13" x14ac:dyDescent="0.15"/>
    <row r="9410" customFormat="1" ht="13" x14ac:dyDescent="0.15"/>
    <row r="9411" customFormat="1" ht="13" x14ac:dyDescent="0.15"/>
    <row r="9412" customFormat="1" ht="13" x14ac:dyDescent="0.15"/>
    <row r="9413" customFormat="1" ht="13" x14ac:dyDescent="0.15"/>
    <row r="9414" customFormat="1" ht="13" x14ac:dyDescent="0.15"/>
    <row r="9415" customFormat="1" ht="13" x14ac:dyDescent="0.15"/>
    <row r="9416" customFormat="1" ht="13" x14ac:dyDescent="0.15"/>
    <row r="9417" customFormat="1" ht="13" x14ac:dyDescent="0.15"/>
    <row r="9418" customFormat="1" ht="13" x14ac:dyDescent="0.15"/>
    <row r="9419" customFormat="1" ht="13" x14ac:dyDescent="0.15"/>
    <row r="9420" customFormat="1" ht="13" x14ac:dyDescent="0.15"/>
    <row r="9421" customFormat="1" ht="13" x14ac:dyDescent="0.15"/>
    <row r="9422" customFormat="1" ht="13" x14ac:dyDescent="0.15"/>
    <row r="9423" customFormat="1" ht="13" x14ac:dyDescent="0.15"/>
    <row r="9424" customFormat="1" ht="13" x14ac:dyDescent="0.15"/>
    <row r="9425" customFormat="1" ht="13" x14ac:dyDescent="0.15"/>
    <row r="9426" customFormat="1" ht="13" x14ac:dyDescent="0.15"/>
    <row r="9427" customFormat="1" ht="13" x14ac:dyDescent="0.15"/>
    <row r="9428" customFormat="1" ht="13" x14ac:dyDescent="0.15"/>
    <row r="9429" customFormat="1" ht="13" x14ac:dyDescent="0.15"/>
    <row r="9430" customFormat="1" ht="13" x14ac:dyDescent="0.15"/>
    <row r="9431" customFormat="1" ht="13" x14ac:dyDescent="0.15"/>
    <row r="9432" customFormat="1" ht="13" x14ac:dyDescent="0.15"/>
    <row r="9433" customFormat="1" ht="13" x14ac:dyDescent="0.15"/>
    <row r="9434" customFormat="1" ht="13" x14ac:dyDescent="0.15"/>
    <row r="9435" customFormat="1" ht="13" x14ac:dyDescent="0.15"/>
    <row r="9436" customFormat="1" ht="13" x14ac:dyDescent="0.15"/>
    <row r="9437" customFormat="1" ht="13" x14ac:dyDescent="0.15"/>
    <row r="9438" customFormat="1" ht="13" x14ac:dyDescent="0.15"/>
    <row r="9439" customFormat="1" ht="13" x14ac:dyDescent="0.15"/>
    <row r="9440" customFormat="1" ht="13" x14ac:dyDescent="0.15"/>
    <row r="9441" customFormat="1" ht="13" x14ac:dyDescent="0.15"/>
    <row r="9442" customFormat="1" ht="13" x14ac:dyDescent="0.15"/>
    <row r="9443" customFormat="1" ht="13" x14ac:dyDescent="0.15"/>
    <row r="9444" customFormat="1" ht="13" x14ac:dyDescent="0.15"/>
    <row r="9445" customFormat="1" ht="13" x14ac:dyDescent="0.15"/>
    <row r="9446" customFormat="1" ht="13" x14ac:dyDescent="0.15"/>
    <row r="9447" customFormat="1" ht="13" x14ac:dyDescent="0.15"/>
    <row r="9448" customFormat="1" ht="13" x14ac:dyDescent="0.15"/>
    <row r="9449" customFormat="1" ht="13" x14ac:dyDescent="0.15"/>
    <row r="9450" customFormat="1" ht="13" x14ac:dyDescent="0.15"/>
    <row r="9451" customFormat="1" ht="13" x14ac:dyDescent="0.15"/>
    <row r="9452" customFormat="1" ht="13" x14ac:dyDescent="0.15"/>
    <row r="9453" customFormat="1" ht="13" x14ac:dyDescent="0.15"/>
    <row r="9454" customFormat="1" ht="13" x14ac:dyDescent="0.15"/>
    <row r="9455" customFormat="1" ht="13" x14ac:dyDescent="0.15"/>
    <row r="9456" customFormat="1" ht="13" x14ac:dyDescent="0.15"/>
    <row r="9457" customFormat="1" ht="13" x14ac:dyDescent="0.15"/>
    <row r="9458" customFormat="1" ht="13" x14ac:dyDescent="0.15"/>
    <row r="9459" customFormat="1" ht="13" x14ac:dyDescent="0.15"/>
    <row r="9460" customFormat="1" ht="13" x14ac:dyDescent="0.15"/>
    <row r="9461" customFormat="1" ht="13" x14ac:dyDescent="0.15"/>
    <row r="9462" customFormat="1" ht="13" x14ac:dyDescent="0.15"/>
    <row r="9463" customFormat="1" ht="13" x14ac:dyDescent="0.15"/>
    <row r="9464" customFormat="1" ht="13" x14ac:dyDescent="0.15"/>
    <row r="9465" customFormat="1" ht="13" x14ac:dyDescent="0.15"/>
    <row r="9466" customFormat="1" ht="13" x14ac:dyDescent="0.15"/>
    <row r="9467" customFormat="1" ht="13" x14ac:dyDescent="0.15"/>
    <row r="9468" customFormat="1" ht="13" x14ac:dyDescent="0.15"/>
    <row r="9469" customFormat="1" ht="13" x14ac:dyDescent="0.15"/>
    <row r="9470" customFormat="1" ht="13" x14ac:dyDescent="0.15"/>
    <row r="9471" customFormat="1" ht="13" x14ac:dyDescent="0.15"/>
    <row r="9472" customFormat="1" ht="13" x14ac:dyDescent="0.15"/>
    <row r="9473" customFormat="1" ht="13" x14ac:dyDescent="0.15"/>
    <row r="9474" customFormat="1" ht="13" x14ac:dyDescent="0.15"/>
    <row r="9475" customFormat="1" ht="13" x14ac:dyDescent="0.15"/>
    <row r="9476" customFormat="1" ht="13" x14ac:dyDescent="0.15"/>
    <row r="9477" customFormat="1" ht="13" x14ac:dyDescent="0.15"/>
    <row r="9478" customFormat="1" ht="13" x14ac:dyDescent="0.15"/>
    <row r="9479" customFormat="1" ht="13" x14ac:dyDescent="0.15"/>
    <row r="9480" customFormat="1" ht="13" x14ac:dyDescent="0.15"/>
    <row r="9481" customFormat="1" ht="13" x14ac:dyDescent="0.15"/>
    <row r="9482" customFormat="1" ht="13" x14ac:dyDescent="0.15"/>
    <row r="9483" customFormat="1" ht="13" x14ac:dyDescent="0.15"/>
    <row r="9484" customFormat="1" ht="13" x14ac:dyDescent="0.15"/>
    <row r="9485" customFormat="1" ht="13" x14ac:dyDescent="0.15"/>
    <row r="9486" customFormat="1" ht="13" x14ac:dyDescent="0.15"/>
    <row r="9487" customFormat="1" ht="13" x14ac:dyDescent="0.15"/>
    <row r="9488" customFormat="1" ht="13" x14ac:dyDescent="0.15"/>
    <row r="9489" customFormat="1" ht="13" x14ac:dyDescent="0.15"/>
    <row r="9490" customFormat="1" ht="13" x14ac:dyDescent="0.15"/>
    <row r="9491" customFormat="1" ht="13" x14ac:dyDescent="0.15"/>
    <row r="9492" customFormat="1" ht="13" x14ac:dyDescent="0.15"/>
    <row r="9493" customFormat="1" ht="13" x14ac:dyDescent="0.15"/>
    <row r="9494" customFormat="1" ht="13" x14ac:dyDescent="0.15"/>
    <row r="9495" customFormat="1" ht="13" x14ac:dyDescent="0.15"/>
    <row r="9496" customFormat="1" ht="13" x14ac:dyDescent="0.15"/>
    <row r="9497" customFormat="1" ht="13" x14ac:dyDescent="0.15"/>
    <row r="9498" customFormat="1" ht="13" x14ac:dyDescent="0.15"/>
    <row r="9499" customFormat="1" ht="13" x14ac:dyDescent="0.15"/>
    <row r="9500" customFormat="1" ht="13" x14ac:dyDescent="0.15"/>
    <row r="9501" customFormat="1" ht="13" x14ac:dyDescent="0.15"/>
    <row r="9502" customFormat="1" ht="13" x14ac:dyDescent="0.15"/>
    <row r="9503" customFormat="1" ht="13" x14ac:dyDescent="0.15"/>
    <row r="9504" customFormat="1" ht="13" x14ac:dyDescent="0.15"/>
    <row r="9505" customFormat="1" ht="13" x14ac:dyDescent="0.15"/>
    <row r="9506" customFormat="1" ht="13" x14ac:dyDescent="0.15"/>
    <row r="9507" customFormat="1" ht="13" x14ac:dyDescent="0.15"/>
    <row r="9508" customFormat="1" ht="13" x14ac:dyDescent="0.15"/>
    <row r="9509" customFormat="1" ht="13" x14ac:dyDescent="0.15"/>
    <row r="9510" customFormat="1" ht="13" x14ac:dyDescent="0.15"/>
    <row r="9511" customFormat="1" ht="13" x14ac:dyDescent="0.15"/>
    <row r="9512" customFormat="1" ht="13" x14ac:dyDescent="0.15"/>
    <row r="9513" customFormat="1" ht="13" x14ac:dyDescent="0.15"/>
    <row r="9514" customFormat="1" ht="13" x14ac:dyDescent="0.15"/>
    <row r="9515" customFormat="1" ht="13" x14ac:dyDescent="0.15"/>
    <row r="9516" customFormat="1" ht="13" x14ac:dyDescent="0.15"/>
    <row r="9517" customFormat="1" ht="13" x14ac:dyDescent="0.15"/>
    <row r="9518" customFormat="1" ht="13" x14ac:dyDescent="0.15"/>
    <row r="9519" customFormat="1" ht="13" x14ac:dyDescent="0.15"/>
    <row r="9520" customFormat="1" ht="13" x14ac:dyDescent="0.15"/>
    <row r="9521" customFormat="1" ht="13" x14ac:dyDescent="0.15"/>
    <row r="9522" customFormat="1" ht="13" x14ac:dyDescent="0.15"/>
    <row r="9523" customFormat="1" ht="13" x14ac:dyDescent="0.15"/>
    <row r="9524" customFormat="1" ht="13" x14ac:dyDescent="0.15"/>
    <row r="9525" customFormat="1" ht="13" x14ac:dyDescent="0.15"/>
    <row r="9526" customFormat="1" ht="13" x14ac:dyDescent="0.15"/>
    <row r="9527" customFormat="1" ht="13" x14ac:dyDescent="0.15"/>
    <row r="9528" customFormat="1" ht="13" x14ac:dyDescent="0.15"/>
    <row r="9529" customFormat="1" ht="13" x14ac:dyDescent="0.15"/>
    <row r="9530" customFormat="1" ht="13" x14ac:dyDescent="0.15"/>
    <row r="9531" customFormat="1" ht="13" x14ac:dyDescent="0.15"/>
    <row r="9532" customFormat="1" ht="13" x14ac:dyDescent="0.15"/>
    <row r="9533" customFormat="1" ht="13" x14ac:dyDescent="0.15"/>
    <row r="9534" customFormat="1" ht="13" x14ac:dyDescent="0.15"/>
    <row r="9535" customFormat="1" ht="13" x14ac:dyDescent="0.15"/>
    <row r="9536" customFormat="1" ht="13" x14ac:dyDescent="0.15"/>
    <row r="9537" customFormat="1" ht="13" x14ac:dyDescent="0.15"/>
    <row r="9538" customFormat="1" ht="13" x14ac:dyDescent="0.15"/>
    <row r="9539" customFormat="1" ht="13" x14ac:dyDescent="0.15"/>
    <row r="9540" customFormat="1" ht="13" x14ac:dyDescent="0.15"/>
    <row r="9541" customFormat="1" ht="13" x14ac:dyDescent="0.15"/>
    <row r="9542" customFormat="1" ht="13" x14ac:dyDescent="0.15"/>
    <row r="9543" customFormat="1" ht="13" x14ac:dyDescent="0.15"/>
    <row r="9544" customFormat="1" ht="13" x14ac:dyDescent="0.15"/>
    <row r="9545" customFormat="1" ht="13" x14ac:dyDescent="0.15"/>
    <row r="9546" customFormat="1" ht="13" x14ac:dyDescent="0.15"/>
    <row r="9547" customFormat="1" ht="13" x14ac:dyDescent="0.15"/>
    <row r="9548" customFormat="1" ht="13" x14ac:dyDescent="0.15"/>
    <row r="9549" customFormat="1" ht="13" x14ac:dyDescent="0.15"/>
    <row r="9550" customFormat="1" ht="13" x14ac:dyDescent="0.15"/>
    <row r="9551" customFormat="1" ht="13" x14ac:dyDescent="0.15"/>
    <row r="9552" customFormat="1" ht="13" x14ac:dyDescent="0.15"/>
    <row r="9553" customFormat="1" ht="13" x14ac:dyDescent="0.15"/>
    <row r="9554" customFormat="1" ht="13" x14ac:dyDescent="0.15"/>
    <row r="9555" customFormat="1" ht="13" x14ac:dyDescent="0.15"/>
    <row r="9556" customFormat="1" ht="13" x14ac:dyDescent="0.15"/>
    <row r="9557" customFormat="1" ht="13" x14ac:dyDescent="0.15"/>
    <row r="9558" customFormat="1" ht="13" x14ac:dyDescent="0.15"/>
    <row r="9559" customFormat="1" ht="13" x14ac:dyDescent="0.15"/>
    <row r="9560" customFormat="1" ht="13" x14ac:dyDescent="0.15"/>
    <row r="9561" customFormat="1" ht="13" x14ac:dyDescent="0.15"/>
    <row r="9562" customFormat="1" ht="13" x14ac:dyDescent="0.15"/>
    <row r="9563" customFormat="1" ht="13" x14ac:dyDescent="0.15"/>
    <row r="9564" customFormat="1" ht="13" x14ac:dyDescent="0.15"/>
    <row r="9565" customFormat="1" ht="13" x14ac:dyDescent="0.15"/>
    <row r="9566" customFormat="1" ht="13" x14ac:dyDescent="0.15"/>
    <row r="9567" customFormat="1" ht="13" x14ac:dyDescent="0.15"/>
    <row r="9568" customFormat="1" ht="13" x14ac:dyDescent="0.15"/>
    <row r="9569" customFormat="1" ht="13" x14ac:dyDescent="0.15"/>
    <row r="9570" customFormat="1" ht="13" x14ac:dyDescent="0.15"/>
    <row r="9571" customFormat="1" ht="13" x14ac:dyDescent="0.15"/>
    <row r="9572" customFormat="1" ht="13" x14ac:dyDescent="0.15"/>
    <row r="9573" customFormat="1" ht="13" x14ac:dyDescent="0.15"/>
    <row r="9574" customFormat="1" ht="13" x14ac:dyDescent="0.15"/>
    <row r="9575" customFormat="1" ht="13" x14ac:dyDescent="0.15"/>
    <row r="9576" customFormat="1" ht="13" x14ac:dyDescent="0.15"/>
    <row r="9577" customFormat="1" ht="13" x14ac:dyDescent="0.15"/>
    <row r="9578" customFormat="1" ht="13" x14ac:dyDescent="0.15"/>
    <row r="9579" customFormat="1" ht="13" x14ac:dyDescent="0.15"/>
    <row r="9580" customFormat="1" ht="13" x14ac:dyDescent="0.15"/>
    <row r="9581" customFormat="1" ht="13" x14ac:dyDescent="0.15"/>
    <row r="9582" customFormat="1" ht="13" x14ac:dyDescent="0.15"/>
    <row r="9583" customFormat="1" ht="13" x14ac:dyDescent="0.15"/>
    <row r="9584" customFormat="1" ht="13" x14ac:dyDescent="0.15"/>
    <row r="9585" customFormat="1" ht="13" x14ac:dyDescent="0.15"/>
    <row r="9586" customFormat="1" ht="13" x14ac:dyDescent="0.15"/>
    <row r="9587" customFormat="1" ht="13" x14ac:dyDescent="0.15"/>
    <row r="9588" customFormat="1" ht="13" x14ac:dyDescent="0.15"/>
    <row r="9589" customFormat="1" ht="13" x14ac:dyDescent="0.15"/>
    <row r="9590" customFormat="1" ht="13" x14ac:dyDescent="0.15"/>
    <row r="9591" customFormat="1" ht="13" x14ac:dyDescent="0.15"/>
    <row r="9592" customFormat="1" ht="13" x14ac:dyDescent="0.15"/>
    <row r="9593" customFormat="1" ht="13" x14ac:dyDescent="0.15"/>
    <row r="9594" customFormat="1" ht="13" x14ac:dyDescent="0.15"/>
    <row r="9595" customFormat="1" ht="13" x14ac:dyDescent="0.15"/>
    <row r="9596" customFormat="1" ht="13" x14ac:dyDescent="0.15"/>
    <row r="9597" customFormat="1" ht="13" x14ac:dyDescent="0.15"/>
    <row r="9598" customFormat="1" ht="13" x14ac:dyDescent="0.15"/>
    <row r="9599" customFormat="1" ht="13" x14ac:dyDescent="0.15"/>
    <row r="9600" customFormat="1" ht="13" x14ac:dyDescent="0.15"/>
    <row r="9601" customFormat="1" ht="13" x14ac:dyDescent="0.15"/>
    <row r="9602" customFormat="1" ht="13" x14ac:dyDescent="0.15"/>
    <row r="9603" customFormat="1" ht="13" x14ac:dyDescent="0.15"/>
    <row r="9604" customFormat="1" ht="13" x14ac:dyDescent="0.15"/>
    <row r="9605" customFormat="1" ht="13" x14ac:dyDescent="0.15"/>
    <row r="9606" customFormat="1" ht="13" x14ac:dyDescent="0.15"/>
    <row r="9607" customFormat="1" ht="13" x14ac:dyDescent="0.15"/>
    <row r="9608" customFormat="1" ht="13" x14ac:dyDescent="0.15"/>
    <row r="9609" customFormat="1" ht="13" x14ac:dyDescent="0.15"/>
    <row r="9610" customFormat="1" ht="13" x14ac:dyDescent="0.15"/>
    <row r="9611" customFormat="1" ht="13" x14ac:dyDescent="0.15"/>
    <row r="9612" customFormat="1" ht="13" x14ac:dyDescent="0.15"/>
    <row r="9613" customFormat="1" ht="13" x14ac:dyDescent="0.15"/>
    <row r="9614" customFormat="1" ht="13" x14ac:dyDescent="0.15"/>
    <row r="9615" customFormat="1" ht="13" x14ac:dyDescent="0.15"/>
    <row r="9616" customFormat="1" ht="13" x14ac:dyDescent="0.15"/>
    <row r="9617" customFormat="1" ht="13" x14ac:dyDescent="0.15"/>
    <row r="9618" customFormat="1" ht="13" x14ac:dyDescent="0.15"/>
    <row r="9619" customFormat="1" ht="13" x14ac:dyDescent="0.15"/>
    <row r="9620" customFormat="1" ht="13" x14ac:dyDescent="0.15"/>
    <row r="9621" customFormat="1" ht="13" x14ac:dyDescent="0.15"/>
    <row r="9622" customFormat="1" ht="13" x14ac:dyDescent="0.15"/>
    <row r="9623" customFormat="1" ht="13" x14ac:dyDescent="0.15"/>
    <row r="9624" customFormat="1" ht="13" x14ac:dyDescent="0.15"/>
    <row r="9625" customFormat="1" ht="13" x14ac:dyDescent="0.15"/>
    <row r="9626" customFormat="1" ht="13" x14ac:dyDescent="0.15"/>
    <row r="9627" customFormat="1" ht="13" x14ac:dyDescent="0.15"/>
    <row r="9628" customFormat="1" ht="13" x14ac:dyDescent="0.15"/>
    <row r="9629" customFormat="1" ht="13" x14ac:dyDescent="0.15"/>
    <row r="9630" customFormat="1" ht="13" x14ac:dyDescent="0.15"/>
    <row r="9631" customFormat="1" ht="13" x14ac:dyDescent="0.15"/>
    <row r="9632" customFormat="1" ht="13" x14ac:dyDescent="0.15"/>
    <row r="9633" customFormat="1" ht="13" x14ac:dyDescent="0.15"/>
    <row r="9634" customFormat="1" ht="13" x14ac:dyDescent="0.15"/>
    <row r="9635" customFormat="1" ht="13" x14ac:dyDescent="0.15"/>
    <row r="9636" customFormat="1" ht="13" x14ac:dyDescent="0.15"/>
    <row r="9637" customFormat="1" ht="13" x14ac:dyDescent="0.15"/>
    <row r="9638" customFormat="1" ht="13" x14ac:dyDescent="0.15"/>
    <row r="9639" customFormat="1" ht="13" x14ac:dyDescent="0.15"/>
    <row r="9640" customFormat="1" ht="13" x14ac:dyDescent="0.15"/>
    <row r="9641" customFormat="1" ht="13" x14ac:dyDescent="0.15"/>
    <row r="9642" customFormat="1" ht="13" x14ac:dyDescent="0.15"/>
    <row r="9643" customFormat="1" ht="13" x14ac:dyDescent="0.15"/>
    <row r="9644" customFormat="1" ht="13" x14ac:dyDescent="0.15"/>
    <row r="9645" customFormat="1" ht="13" x14ac:dyDescent="0.15"/>
    <row r="9646" customFormat="1" ht="13" x14ac:dyDescent="0.15"/>
    <row r="9647" customFormat="1" ht="13" x14ac:dyDescent="0.15"/>
    <row r="9648" customFormat="1" ht="13" x14ac:dyDescent="0.15"/>
    <row r="9649" customFormat="1" ht="13" x14ac:dyDescent="0.15"/>
    <row r="9650" customFormat="1" ht="13" x14ac:dyDescent="0.15"/>
    <row r="9651" customFormat="1" ht="13" x14ac:dyDescent="0.15"/>
    <row r="9652" customFormat="1" ht="13" x14ac:dyDescent="0.15"/>
    <row r="9653" customFormat="1" ht="13" x14ac:dyDescent="0.15"/>
    <row r="9654" customFormat="1" ht="13" x14ac:dyDescent="0.15"/>
    <row r="9655" customFormat="1" ht="13" x14ac:dyDescent="0.15"/>
    <row r="9656" customFormat="1" ht="13" x14ac:dyDescent="0.15"/>
    <row r="9657" customFormat="1" ht="13" x14ac:dyDescent="0.15"/>
    <row r="9658" customFormat="1" ht="13" x14ac:dyDescent="0.15"/>
    <row r="9659" customFormat="1" ht="13" x14ac:dyDescent="0.15"/>
    <row r="9660" customFormat="1" ht="13" x14ac:dyDescent="0.15"/>
    <row r="9661" customFormat="1" ht="13" x14ac:dyDescent="0.15"/>
    <row r="9662" customFormat="1" ht="13" x14ac:dyDescent="0.15"/>
    <row r="9663" customFormat="1" ht="13" x14ac:dyDescent="0.15"/>
    <row r="9664" customFormat="1" ht="13" x14ac:dyDescent="0.15"/>
    <row r="9665" customFormat="1" ht="13" x14ac:dyDescent="0.15"/>
    <row r="9666" customFormat="1" ht="13" x14ac:dyDescent="0.15"/>
    <row r="9667" customFormat="1" ht="13" x14ac:dyDescent="0.15"/>
    <row r="9668" customFormat="1" ht="13" x14ac:dyDescent="0.15"/>
    <row r="9669" customFormat="1" ht="13" x14ac:dyDescent="0.15"/>
    <row r="9670" customFormat="1" ht="13" x14ac:dyDescent="0.15"/>
    <row r="9671" customFormat="1" ht="13" x14ac:dyDescent="0.15"/>
    <row r="9672" customFormat="1" ht="13" x14ac:dyDescent="0.15"/>
    <row r="9673" customFormat="1" ht="13" x14ac:dyDescent="0.15"/>
    <row r="9674" customFormat="1" ht="13" x14ac:dyDescent="0.15"/>
    <row r="9675" customFormat="1" ht="13" x14ac:dyDescent="0.15"/>
    <row r="9676" customFormat="1" ht="13" x14ac:dyDescent="0.15"/>
    <row r="9677" customFormat="1" ht="13" x14ac:dyDescent="0.15"/>
    <row r="9678" customFormat="1" ht="13" x14ac:dyDescent="0.15"/>
    <row r="9679" customFormat="1" ht="13" x14ac:dyDescent="0.15"/>
    <row r="9680" customFormat="1" ht="13" x14ac:dyDescent="0.15"/>
    <row r="9681" customFormat="1" ht="13" x14ac:dyDescent="0.15"/>
    <row r="9682" customFormat="1" ht="13" x14ac:dyDescent="0.15"/>
    <row r="9683" customFormat="1" ht="13" x14ac:dyDescent="0.15"/>
    <row r="9684" customFormat="1" ht="13" x14ac:dyDescent="0.15"/>
    <row r="9685" customFormat="1" ht="13" x14ac:dyDescent="0.15"/>
    <row r="9686" customFormat="1" ht="13" x14ac:dyDescent="0.15"/>
    <row r="9687" customFormat="1" ht="13" x14ac:dyDescent="0.15"/>
    <row r="9688" customFormat="1" ht="13" x14ac:dyDescent="0.15"/>
    <row r="9689" customFormat="1" ht="13" x14ac:dyDescent="0.15"/>
    <row r="9690" customFormat="1" ht="13" x14ac:dyDescent="0.15"/>
    <row r="9691" customFormat="1" ht="13" x14ac:dyDescent="0.15"/>
    <row r="9692" customFormat="1" ht="13" x14ac:dyDescent="0.15"/>
    <row r="9693" customFormat="1" ht="13" x14ac:dyDescent="0.15"/>
    <row r="9694" customFormat="1" ht="13" x14ac:dyDescent="0.15"/>
    <row r="9695" customFormat="1" ht="13" x14ac:dyDescent="0.15"/>
    <row r="9696" customFormat="1" ht="13" x14ac:dyDescent="0.15"/>
    <row r="9697" customFormat="1" ht="13" x14ac:dyDescent="0.15"/>
    <row r="9698" customFormat="1" ht="13" x14ac:dyDescent="0.15"/>
    <row r="9699" customFormat="1" ht="13" x14ac:dyDescent="0.15"/>
    <row r="9700" customFormat="1" ht="13" x14ac:dyDescent="0.15"/>
    <row r="9701" customFormat="1" ht="13" x14ac:dyDescent="0.15"/>
    <row r="9702" customFormat="1" ht="13" x14ac:dyDescent="0.15"/>
    <row r="9703" customFormat="1" ht="13" x14ac:dyDescent="0.15"/>
    <row r="9704" customFormat="1" ht="13" x14ac:dyDescent="0.15"/>
    <row r="9705" customFormat="1" ht="13" x14ac:dyDescent="0.15"/>
    <row r="9706" customFormat="1" ht="13" x14ac:dyDescent="0.15"/>
    <row r="9707" customFormat="1" ht="13" x14ac:dyDescent="0.15"/>
    <row r="9708" customFormat="1" ht="13" x14ac:dyDescent="0.15"/>
    <row r="9709" customFormat="1" ht="13" x14ac:dyDescent="0.15"/>
    <row r="9710" customFormat="1" ht="13" x14ac:dyDescent="0.15"/>
    <row r="9711" customFormat="1" ht="13" x14ac:dyDescent="0.15"/>
    <row r="9712" customFormat="1" ht="13" x14ac:dyDescent="0.15"/>
    <row r="9713" customFormat="1" ht="13" x14ac:dyDescent="0.15"/>
    <row r="9714" customFormat="1" ht="13" x14ac:dyDescent="0.15"/>
    <row r="9715" customFormat="1" ht="13" x14ac:dyDescent="0.15"/>
    <row r="9716" customFormat="1" ht="13" x14ac:dyDescent="0.15"/>
    <row r="9717" customFormat="1" ht="13" x14ac:dyDescent="0.15"/>
    <row r="9718" customFormat="1" ht="13" x14ac:dyDescent="0.15"/>
    <row r="9719" customFormat="1" ht="13" x14ac:dyDescent="0.15"/>
    <row r="9720" customFormat="1" ht="13" x14ac:dyDescent="0.15"/>
    <row r="9721" customFormat="1" ht="13" x14ac:dyDescent="0.15"/>
    <row r="9722" customFormat="1" ht="13" x14ac:dyDescent="0.15"/>
    <row r="9723" customFormat="1" ht="13" x14ac:dyDescent="0.15"/>
    <row r="9724" customFormat="1" ht="13" x14ac:dyDescent="0.15"/>
    <row r="9725" customFormat="1" ht="13" x14ac:dyDescent="0.15"/>
    <row r="9726" customFormat="1" ht="13" x14ac:dyDescent="0.15"/>
    <row r="9727" customFormat="1" ht="13" x14ac:dyDescent="0.15"/>
    <row r="9728" customFormat="1" ht="13" x14ac:dyDescent="0.15"/>
    <row r="9729" customFormat="1" ht="13" x14ac:dyDescent="0.15"/>
    <row r="9730" customFormat="1" ht="13" x14ac:dyDescent="0.15"/>
    <row r="9731" customFormat="1" ht="13" x14ac:dyDescent="0.15"/>
    <row r="9732" customFormat="1" ht="13" x14ac:dyDescent="0.15"/>
    <row r="9733" customFormat="1" ht="13" x14ac:dyDescent="0.15"/>
    <row r="9734" customFormat="1" ht="13" x14ac:dyDescent="0.15"/>
    <row r="9735" customFormat="1" ht="13" x14ac:dyDescent="0.15"/>
    <row r="9736" customFormat="1" ht="13" x14ac:dyDescent="0.15"/>
    <row r="9737" customFormat="1" ht="13" x14ac:dyDescent="0.15"/>
    <row r="9738" customFormat="1" ht="13" x14ac:dyDescent="0.15"/>
    <row r="9739" customFormat="1" ht="13" x14ac:dyDescent="0.15"/>
    <row r="9740" customFormat="1" ht="13" x14ac:dyDescent="0.15"/>
    <row r="9741" customFormat="1" ht="13" x14ac:dyDescent="0.15"/>
    <row r="9742" customFormat="1" ht="13" x14ac:dyDescent="0.15"/>
    <row r="9743" customFormat="1" ht="13" x14ac:dyDescent="0.15"/>
    <row r="9744" customFormat="1" ht="13" x14ac:dyDescent="0.15"/>
    <row r="9745" customFormat="1" ht="13" x14ac:dyDescent="0.15"/>
    <row r="9746" customFormat="1" ht="13" x14ac:dyDescent="0.15"/>
    <row r="9747" customFormat="1" ht="13" x14ac:dyDescent="0.15"/>
    <row r="9748" customFormat="1" ht="13" x14ac:dyDescent="0.15"/>
    <row r="9749" customFormat="1" ht="13" x14ac:dyDescent="0.15"/>
    <row r="9750" customFormat="1" ht="13" x14ac:dyDescent="0.15"/>
    <row r="9751" customFormat="1" ht="13" x14ac:dyDescent="0.15"/>
    <row r="9752" customFormat="1" ht="13" x14ac:dyDescent="0.15"/>
    <row r="9753" customFormat="1" ht="13" x14ac:dyDescent="0.15"/>
    <row r="9754" customFormat="1" ht="13" x14ac:dyDescent="0.15"/>
    <row r="9755" customFormat="1" ht="13" x14ac:dyDescent="0.15"/>
    <row r="9756" customFormat="1" ht="13" x14ac:dyDescent="0.15"/>
    <row r="9757" customFormat="1" ht="13" x14ac:dyDescent="0.15"/>
    <row r="9758" customFormat="1" ht="13" x14ac:dyDescent="0.15"/>
    <row r="9759" customFormat="1" ht="13" x14ac:dyDescent="0.15"/>
    <row r="9760" customFormat="1" ht="13" x14ac:dyDescent="0.15"/>
    <row r="9761" customFormat="1" ht="13" x14ac:dyDescent="0.15"/>
    <row r="9762" customFormat="1" ht="13" x14ac:dyDescent="0.15"/>
    <row r="9763" customFormat="1" ht="13" x14ac:dyDescent="0.15"/>
    <row r="9764" customFormat="1" ht="13" x14ac:dyDescent="0.15"/>
    <row r="9765" customFormat="1" ht="13" x14ac:dyDescent="0.15"/>
    <row r="9766" customFormat="1" ht="13" x14ac:dyDescent="0.15"/>
    <row r="9767" customFormat="1" ht="13" x14ac:dyDescent="0.15"/>
    <row r="9768" customFormat="1" ht="13" x14ac:dyDescent="0.15"/>
    <row r="9769" customFormat="1" ht="13" x14ac:dyDescent="0.15"/>
    <row r="9770" customFormat="1" ht="13" x14ac:dyDescent="0.15"/>
    <row r="9771" customFormat="1" ht="13" x14ac:dyDescent="0.15"/>
    <row r="9772" customFormat="1" ht="13" x14ac:dyDescent="0.15"/>
    <row r="9773" customFormat="1" ht="13" x14ac:dyDescent="0.15"/>
    <row r="9774" customFormat="1" ht="13" x14ac:dyDescent="0.15"/>
    <row r="9775" customFormat="1" ht="13" x14ac:dyDescent="0.15"/>
    <row r="9776" customFormat="1" ht="13" x14ac:dyDescent="0.15"/>
    <row r="9777" customFormat="1" ht="13" x14ac:dyDescent="0.15"/>
    <row r="9778" customFormat="1" ht="13" x14ac:dyDescent="0.15"/>
    <row r="9779" customFormat="1" ht="13" x14ac:dyDescent="0.15"/>
    <row r="9780" customFormat="1" ht="13" x14ac:dyDescent="0.15"/>
    <row r="9781" customFormat="1" ht="13" x14ac:dyDescent="0.15"/>
    <row r="9782" customFormat="1" ht="13" x14ac:dyDescent="0.15"/>
    <row r="9783" customFormat="1" ht="13" x14ac:dyDescent="0.15"/>
    <row r="9784" customFormat="1" ht="13" x14ac:dyDescent="0.15"/>
    <row r="9785" customFormat="1" ht="13" x14ac:dyDescent="0.15"/>
    <row r="9786" customFormat="1" ht="13" x14ac:dyDescent="0.15"/>
    <row r="9787" customFormat="1" ht="13" x14ac:dyDescent="0.15"/>
    <row r="9788" customFormat="1" ht="13" x14ac:dyDescent="0.15"/>
    <row r="9789" customFormat="1" ht="13" x14ac:dyDescent="0.15"/>
    <row r="9790" customFormat="1" ht="13" x14ac:dyDescent="0.15"/>
    <row r="9791" customFormat="1" ht="13" x14ac:dyDescent="0.15"/>
    <row r="9792" customFormat="1" ht="13" x14ac:dyDescent="0.15"/>
    <row r="9793" customFormat="1" ht="13" x14ac:dyDescent="0.15"/>
    <row r="9794" customFormat="1" ht="13" x14ac:dyDescent="0.15"/>
    <row r="9795" customFormat="1" ht="13" x14ac:dyDescent="0.15"/>
    <row r="9796" customFormat="1" ht="13" x14ac:dyDescent="0.15"/>
    <row r="9797" customFormat="1" ht="13" x14ac:dyDescent="0.15"/>
    <row r="9798" customFormat="1" ht="13" x14ac:dyDescent="0.15"/>
    <row r="9799" customFormat="1" ht="13" x14ac:dyDescent="0.15"/>
    <row r="9800" customFormat="1" ht="13" x14ac:dyDescent="0.15"/>
    <row r="9801" customFormat="1" ht="13" x14ac:dyDescent="0.15"/>
    <row r="9802" customFormat="1" ht="13" x14ac:dyDescent="0.15"/>
    <row r="9803" customFormat="1" ht="13" x14ac:dyDescent="0.15"/>
    <row r="9804" customFormat="1" ht="13" x14ac:dyDescent="0.15"/>
    <row r="9805" customFormat="1" ht="13" x14ac:dyDescent="0.15"/>
    <row r="9806" customFormat="1" ht="13" x14ac:dyDescent="0.15"/>
    <row r="9807" customFormat="1" ht="13" x14ac:dyDescent="0.15"/>
    <row r="9808" customFormat="1" ht="13" x14ac:dyDescent="0.15"/>
    <row r="9809" customFormat="1" ht="13" x14ac:dyDescent="0.15"/>
    <row r="9810" customFormat="1" ht="13" x14ac:dyDescent="0.15"/>
    <row r="9811" customFormat="1" ht="13" x14ac:dyDescent="0.15"/>
    <row r="9812" customFormat="1" ht="13" x14ac:dyDescent="0.15"/>
    <row r="9813" customFormat="1" ht="13" x14ac:dyDescent="0.15"/>
    <row r="9814" customFormat="1" ht="13" x14ac:dyDescent="0.15"/>
    <row r="9815" customFormat="1" ht="13" x14ac:dyDescent="0.15"/>
    <row r="9816" customFormat="1" ht="13" x14ac:dyDescent="0.15"/>
    <row r="9817" customFormat="1" ht="13" x14ac:dyDescent="0.15"/>
    <row r="9818" customFormat="1" ht="13" x14ac:dyDescent="0.15"/>
    <row r="9819" customFormat="1" ht="13" x14ac:dyDescent="0.15"/>
    <row r="9820" customFormat="1" ht="13" x14ac:dyDescent="0.15"/>
    <row r="9821" customFormat="1" ht="13" x14ac:dyDescent="0.15"/>
    <row r="9822" customFormat="1" ht="13" x14ac:dyDescent="0.15"/>
    <row r="9823" customFormat="1" ht="13" x14ac:dyDescent="0.15"/>
    <row r="9824" customFormat="1" ht="13" x14ac:dyDescent="0.15"/>
    <row r="9825" customFormat="1" ht="13" x14ac:dyDescent="0.15"/>
    <row r="9826" customFormat="1" ht="13" x14ac:dyDescent="0.15"/>
    <row r="9827" customFormat="1" ht="13" x14ac:dyDescent="0.15"/>
    <row r="9828" customFormat="1" ht="13" x14ac:dyDescent="0.15"/>
    <row r="9829" customFormat="1" ht="13" x14ac:dyDescent="0.15"/>
    <row r="9830" customFormat="1" ht="13" x14ac:dyDescent="0.15"/>
    <row r="9831" customFormat="1" ht="13" x14ac:dyDescent="0.15"/>
    <row r="9832" customFormat="1" ht="13" x14ac:dyDescent="0.15"/>
    <row r="9833" customFormat="1" ht="13" x14ac:dyDescent="0.15"/>
    <row r="9834" customFormat="1" ht="13" x14ac:dyDescent="0.15"/>
    <row r="9835" customFormat="1" ht="13" x14ac:dyDescent="0.15"/>
    <row r="9836" customFormat="1" ht="13" x14ac:dyDescent="0.15"/>
    <row r="9837" customFormat="1" ht="13" x14ac:dyDescent="0.15"/>
    <row r="9838" customFormat="1" ht="13" x14ac:dyDescent="0.15"/>
    <row r="9839" customFormat="1" ht="13" x14ac:dyDescent="0.15"/>
    <row r="9840" customFormat="1" ht="13" x14ac:dyDescent="0.15"/>
    <row r="9841" customFormat="1" ht="13" x14ac:dyDescent="0.15"/>
    <row r="9842" customFormat="1" ht="13" x14ac:dyDescent="0.15"/>
    <row r="9843" customFormat="1" ht="13" x14ac:dyDescent="0.15"/>
    <row r="9844" customFormat="1" ht="13" x14ac:dyDescent="0.15"/>
    <row r="9845" customFormat="1" ht="13" x14ac:dyDescent="0.15"/>
    <row r="9846" customFormat="1" ht="13" x14ac:dyDescent="0.15"/>
    <row r="9847" customFormat="1" ht="13" x14ac:dyDescent="0.15"/>
    <row r="9848" customFormat="1" ht="13" x14ac:dyDescent="0.15"/>
    <row r="9849" customFormat="1" ht="13" x14ac:dyDescent="0.15"/>
    <row r="9850" customFormat="1" ht="13" x14ac:dyDescent="0.15"/>
    <row r="9851" customFormat="1" ht="13" x14ac:dyDescent="0.15"/>
    <row r="9852" customFormat="1" ht="13" x14ac:dyDescent="0.15"/>
    <row r="9853" customFormat="1" ht="13" x14ac:dyDescent="0.15"/>
    <row r="9854" customFormat="1" ht="13" x14ac:dyDescent="0.15"/>
    <row r="9855" customFormat="1" ht="13" x14ac:dyDescent="0.15"/>
    <row r="9856" customFormat="1" ht="13" x14ac:dyDescent="0.15"/>
    <row r="9857" customFormat="1" ht="13" x14ac:dyDescent="0.15"/>
    <row r="9858" customFormat="1" ht="13" x14ac:dyDescent="0.15"/>
    <row r="9859" customFormat="1" ht="13" x14ac:dyDescent="0.15"/>
    <row r="9860" customFormat="1" ht="13" x14ac:dyDescent="0.15"/>
    <row r="9861" customFormat="1" ht="13" x14ac:dyDescent="0.15"/>
    <row r="9862" customFormat="1" ht="13" x14ac:dyDescent="0.15"/>
    <row r="9863" customFormat="1" ht="13" x14ac:dyDescent="0.15"/>
    <row r="9864" customFormat="1" ht="13" x14ac:dyDescent="0.15"/>
    <row r="9865" customFormat="1" ht="13" x14ac:dyDescent="0.15"/>
    <row r="9866" customFormat="1" ht="13" x14ac:dyDescent="0.15"/>
    <row r="9867" customFormat="1" ht="13" x14ac:dyDescent="0.15"/>
    <row r="9868" customFormat="1" ht="13" x14ac:dyDescent="0.15"/>
    <row r="9869" customFormat="1" ht="13" x14ac:dyDescent="0.15"/>
    <row r="9870" customFormat="1" ht="13" x14ac:dyDescent="0.15"/>
    <row r="9871" customFormat="1" ht="13" x14ac:dyDescent="0.15"/>
    <row r="9872" customFormat="1" ht="13" x14ac:dyDescent="0.15"/>
    <row r="9873" customFormat="1" ht="13" x14ac:dyDescent="0.15"/>
    <row r="9874" customFormat="1" ht="13" x14ac:dyDescent="0.15"/>
    <row r="9875" customFormat="1" ht="13" x14ac:dyDescent="0.15"/>
    <row r="9876" customFormat="1" ht="13" x14ac:dyDescent="0.15"/>
    <row r="9877" customFormat="1" ht="13" x14ac:dyDescent="0.15"/>
    <row r="9878" customFormat="1" ht="13" x14ac:dyDescent="0.15"/>
    <row r="9879" customFormat="1" ht="13" x14ac:dyDescent="0.15"/>
    <row r="9880" customFormat="1" ht="13" x14ac:dyDescent="0.15"/>
    <row r="9881" customFormat="1" ht="13" x14ac:dyDescent="0.15"/>
    <row r="9882" customFormat="1" ht="13" x14ac:dyDescent="0.15"/>
    <row r="9883" customFormat="1" ht="13" x14ac:dyDescent="0.15"/>
    <row r="9884" customFormat="1" ht="13" x14ac:dyDescent="0.15"/>
    <row r="9885" customFormat="1" ht="13" x14ac:dyDescent="0.15"/>
    <row r="9886" customFormat="1" ht="13" x14ac:dyDescent="0.15"/>
    <row r="9887" customFormat="1" ht="13" x14ac:dyDescent="0.15"/>
    <row r="9888" customFormat="1" ht="13" x14ac:dyDescent="0.15"/>
    <row r="9889" customFormat="1" ht="13" x14ac:dyDescent="0.15"/>
    <row r="9890" customFormat="1" ht="13" x14ac:dyDescent="0.15"/>
    <row r="9891" customFormat="1" ht="13" x14ac:dyDescent="0.15"/>
    <row r="9892" customFormat="1" ht="13" x14ac:dyDescent="0.15"/>
    <row r="9893" customFormat="1" ht="13" x14ac:dyDescent="0.15"/>
    <row r="9894" customFormat="1" ht="13" x14ac:dyDescent="0.15"/>
    <row r="9895" customFormat="1" ht="13" x14ac:dyDescent="0.15"/>
    <row r="9896" customFormat="1" ht="13" x14ac:dyDescent="0.15"/>
    <row r="9897" customFormat="1" ht="13" x14ac:dyDescent="0.15"/>
    <row r="9898" customFormat="1" ht="13" x14ac:dyDescent="0.15"/>
    <row r="9899" customFormat="1" ht="13" x14ac:dyDescent="0.15"/>
    <row r="9900" customFormat="1" ht="13" x14ac:dyDescent="0.15"/>
    <row r="9901" customFormat="1" ht="13" x14ac:dyDescent="0.15"/>
    <row r="9902" customFormat="1" ht="13" x14ac:dyDescent="0.15"/>
    <row r="9903" customFormat="1" ht="13" x14ac:dyDescent="0.15"/>
    <row r="9904" customFormat="1" ht="13" x14ac:dyDescent="0.15"/>
    <row r="9905" customFormat="1" ht="13" x14ac:dyDescent="0.15"/>
    <row r="9906" customFormat="1" ht="13" x14ac:dyDescent="0.15"/>
    <row r="9907" customFormat="1" ht="13" x14ac:dyDescent="0.15"/>
    <row r="9908" customFormat="1" ht="13" x14ac:dyDescent="0.15"/>
    <row r="9909" customFormat="1" ht="13" x14ac:dyDescent="0.15"/>
    <row r="9910" customFormat="1" ht="13" x14ac:dyDescent="0.15"/>
    <row r="9911" customFormat="1" ht="13" x14ac:dyDescent="0.15"/>
    <row r="9912" customFormat="1" ht="13" x14ac:dyDescent="0.15"/>
    <row r="9913" customFormat="1" ht="13" x14ac:dyDescent="0.15"/>
    <row r="9914" customFormat="1" ht="13" x14ac:dyDescent="0.15"/>
    <row r="9915" customFormat="1" ht="13" x14ac:dyDescent="0.15"/>
    <row r="9916" customFormat="1" ht="13" x14ac:dyDescent="0.15"/>
    <row r="9917" customFormat="1" ht="13" x14ac:dyDescent="0.15"/>
    <row r="9918" customFormat="1" ht="13" x14ac:dyDescent="0.15"/>
    <row r="9919" customFormat="1" ht="13" x14ac:dyDescent="0.15"/>
    <row r="9920" customFormat="1" ht="13" x14ac:dyDescent="0.15"/>
    <row r="9921" customFormat="1" ht="13" x14ac:dyDescent="0.15"/>
    <row r="9922" customFormat="1" ht="13" x14ac:dyDescent="0.15"/>
    <row r="9923" customFormat="1" ht="13" x14ac:dyDescent="0.15"/>
    <row r="9924" customFormat="1" ht="13" x14ac:dyDescent="0.15"/>
    <row r="9925" customFormat="1" ht="13" x14ac:dyDescent="0.15"/>
    <row r="9926" customFormat="1" ht="13" x14ac:dyDescent="0.15"/>
    <row r="9927" customFormat="1" ht="13" x14ac:dyDescent="0.15"/>
    <row r="9928" customFormat="1" ht="13" x14ac:dyDescent="0.15"/>
    <row r="9929" customFormat="1" ht="13" x14ac:dyDescent="0.15"/>
    <row r="9930" customFormat="1" ht="13" x14ac:dyDescent="0.15"/>
    <row r="9931" customFormat="1" ht="13" x14ac:dyDescent="0.15"/>
    <row r="9932" customFormat="1" ht="13" x14ac:dyDescent="0.15"/>
    <row r="9933" customFormat="1" ht="13" x14ac:dyDescent="0.15"/>
    <row r="9934" customFormat="1" ht="13" x14ac:dyDescent="0.15"/>
    <row r="9935" customFormat="1" ht="13" x14ac:dyDescent="0.15"/>
    <row r="9936" customFormat="1" ht="13" x14ac:dyDescent="0.15"/>
    <row r="9937" customFormat="1" ht="13" x14ac:dyDescent="0.15"/>
    <row r="9938" customFormat="1" ht="13" x14ac:dyDescent="0.15"/>
    <row r="9939" customFormat="1" ht="13" x14ac:dyDescent="0.15"/>
    <row r="9940" customFormat="1" ht="13" x14ac:dyDescent="0.15"/>
    <row r="9941" customFormat="1" ht="13" x14ac:dyDescent="0.15"/>
    <row r="9942" customFormat="1" ht="13" x14ac:dyDescent="0.15"/>
    <row r="9943" customFormat="1" ht="13" x14ac:dyDescent="0.15"/>
    <row r="9944" customFormat="1" ht="13" x14ac:dyDescent="0.15"/>
    <row r="9945" customFormat="1" ht="13" x14ac:dyDescent="0.15"/>
    <row r="9946" customFormat="1" ht="13" x14ac:dyDescent="0.15"/>
    <row r="9947" customFormat="1" ht="13" x14ac:dyDescent="0.15"/>
    <row r="9948" customFormat="1" ht="13" x14ac:dyDescent="0.15"/>
    <row r="9949" customFormat="1" ht="13" x14ac:dyDescent="0.15"/>
    <row r="9950" customFormat="1" ht="13" x14ac:dyDescent="0.15"/>
    <row r="9951" customFormat="1" ht="13" x14ac:dyDescent="0.15"/>
    <row r="9952" customFormat="1" ht="13" x14ac:dyDescent="0.15"/>
    <row r="9953" customFormat="1" ht="13" x14ac:dyDescent="0.15"/>
    <row r="9954" customFormat="1" ht="13" x14ac:dyDescent="0.15"/>
    <row r="9955" customFormat="1" ht="13" x14ac:dyDescent="0.15"/>
    <row r="9956" customFormat="1" ht="13" x14ac:dyDescent="0.15"/>
    <row r="9957" customFormat="1" ht="13" x14ac:dyDescent="0.15"/>
    <row r="9958" customFormat="1" ht="13" x14ac:dyDescent="0.15"/>
    <row r="9959" customFormat="1" ht="13" x14ac:dyDescent="0.15"/>
    <row r="9960" customFormat="1" ht="13" x14ac:dyDescent="0.15"/>
    <row r="9961" customFormat="1" ht="13" x14ac:dyDescent="0.15"/>
    <row r="9962" customFormat="1" ht="13" x14ac:dyDescent="0.15"/>
    <row r="9963" customFormat="1" ht="13" x14ac:dyDescent="0.15"/>
    <row r="9964" customFormat="1" ht="13" x14ac:dyDescent="0.15"/>
    <row r="9965" customFormat="1" ht="13" x14ac:dyDescent="0.15"/>
    <row r="9966" customFormat="1" ht="13" x14ac:dyDescent="0.15"/>
    <row r="9967" customFormat="1" ht="13" x14ac:dyDescent="0.15"/>
    <row r="9968" customFormat="1" ht="13" x14ac:dyDescent="0.15"/>
    <row r="9969" customFormat="1" ht="13" x14ac:dyDescent="0.15"/>
    <row r="9970" customFormat="1" ht="13" x14ac:dyDescent="0.15"/>
    <row r="9971" customFormat="1" ht="13" x14ac:dyDescent="0.15"/>
    <row r="9972" customFormat="1" ht="13" x14ac:dyDescent="0.15"/>
    <row r="9973" customFormat="1" ht="13" x14ac:dyDescent="0.15"/>
    <row r="9974" customFormat="1" ht="13" x14ac:dyDescent="0.15"/>
    <row r="9975" customFormat="1" ht="13" x14ac:dyDescent="0.15"/>
    <row r="9976" customFormat="1" ht="13" x14ac:dyDescent="0.15"/>
    <row r="9977" customFormat="1" ht="13" x14ac:dyDescent="0.15"/>
    <row r="9978" customFormat="1" ht="13" x14ac:dyDescent="0.15"/>
    <row r="9979" customFormat="1" ht="13" x14ac:dyDescent="0.15"/>
    <row r="9980" customFormat="1" ht="13" x14ac:dyDescent="0.15"/>
    <row r="9981" customFormat="1" ht="13" x14ac:dyDescent="0.15"/>
    <row r="9982" customFormat="1" ht="13" x14ac:dyDescent="0.15"/>
    <row r="9983" customFormat="1" ht="13" x14ac:dyDescent="0.15"/>
    <row r="9984" customFormat="1" ht="13" x14ac:dyDescent="0.15"/>
    <row r="9985" customFormat="1" ht="13" x14ac:dyDescent="0.15"/>
    <row r="9986" customFormat="1" ht="13" x14ac:dyDescent="0.15"/>
    <row r="9987" customFormat="1" ht="13" x14ac:dyDescent="0.15"/>
    <row r="9988" customFormat="1" ht="13" x14ac:dyDescent="0.15"/>
    <row r="9989" customFormat="1" ht="13" x14ac:dyDescent="0.15"/>
    <row r="9990" customFormat="1" ht="13" x14ac:dyDescent="0.15"/>
    <row r="9991" customFormat="1" ht="13" x14ac:dyDescent="0.15"/>
    <row r="9992" customFormat="1" ht="13" x14ac:dyDescent="0.15"/>
    <row r="9993" customFormat="1" ht="13" x14ac:dyDescent="0.15"/>
    <row r="9994" customFormat="1" ht="13" x14ac:dyDescent="0.15"/>
    <row r="9995" customFormat="1" ht="13" x14ac:dyDescent="0.15"/>
    <row r="9996" customFormat="1" ht="13" x14ac:dyDescent="0.15"/>
    <row r="9997" customFormat="1" ht="13" x14ac:dyDescent="0.15"/>
    <row r="9998" customFormat="1" ht="13" x14ac:dyDescent="0.15"/>
    <row r="9999" customFormat="1" ht="13" x14ac:dyDescent="0.15"/>
    <row r="10000" customFormat="1" ht="13" x14ac:dyDescent="0.15"/>
    <row r="10001" customFormat="1" ht="13" x14ac:dyDescent="0.15"/>
    <row r="10002" customFormat="1" ht="13" x14ac:dyDescent="0.15"/>
    <row r="10003" customFormat="1" ht="13" x14ac:dyDescent="0.15"/>
    <row r="10004" customFormat="1" ht="13" x14ac:dyDescent="0.15"/>
    <row r="10005" customFormat="1" ht="13" x14ac:dyDescent="0.15"/>
    <row r="10006" customFormat="1" ht="13" x14ac:dyDescent="0.15"/>
    <row r="10007" customFormat="1" ht="13" x14ac:dyDescent="0.15"/>
    <row r="10008" customFormat="1" ht="13" x14ac:dyDescent="0.15"/>
    <row r="10009" customFormat="1" ht="13" x14ac:dyDescent="0.15"/>
    <row r="10010" customFormat="1" ht="13" x14ac:dyDescent="0.15"/>
    <row r="10011" customFormat="1" ht="13" x14ac:dyDescent="0.15"/>
    <row r="10012" customFormat="1" ht="13" x14ac:dyDescent="0.15"/>
    <row r="10013" customFormat="1" ht="13" x14ac:dyDescent="0.15"/>
    <row r="10014" customFormat="1" ht="13" x14ac:dyDescent="0.15"/>
    <row r="10015" customFormat="1" ht="13" x14ac:dyDescent="0.15"/>
    <row r="10016" customFormat="1" ht="13" x14ac:dyDescent="0.15"/>
    <row r="10017" customFormat="1" ht="13" x14ac:dyDescent="0.15"/>
    <row r="10018" customFormat="1" ht="13" x14ac:dyDescent="0.15"/>
    <row r="10019" customFormat="1" ht="13" x14ac:dyDescent="0.15"/>
    <row r="10020" customFormat="1" ht="13" x14ac:dyDescent="0.15"/>
    <row r="10021" customFormat="1" ht="13" x14ac:dyDescent="0.15"/>
    <row r="10022" customFormat="1" ht="13" x14ac:dyDescent="0.15"/>
    <row r="10023" customFormat="1" ht="13" x14ac:dyDescent="0.15"/>
    <row r="10024" customFormat="1" ht="13" x14ac:dyDescent="0.15"/>
    <row r="10025" customFormat="1" ht="13" x14ac:dyDescent="0.15"/>
    <row r="10026" customFormat="1" ht="13" x14ac:dyDescent="0.15"/>
    <row r="10027" customFormat="1" ht="13" x14ac:dyDescent="0.15"/>
    <row r="10028" customFormat="1" ht="13" x14ac:dyDescent="0.15"/>
    <row r="10029" customFormat="1" ht="13" x14ac:dyDescent="0.15"/>
    <row r="10030" customFormat="1" ht="13" x14ac:dyDescent="0.15"/>
    <row r="10031" customFormat="1" ht="13" x14ac:dyDescent="0.15"/>
    <row r="10032" customFormat="1" ht="13" x14ac:dyDescent="0.15"/>
    <row r="10033" customFormat="1" ht="13" x14ac:dyDescent="0.15"/>
    <row r="10034" customFormat="1" ht="13" x14ac:dyDescent="0.15"/>
    <row r="10035" customFormat="1" ht="13" x14ac:dyDescent="0.15"/>
    <row r="10036" customFormat="1" ht="13" x14ac:dyDescent="0.15"/>
    <row r="10037" customFormat="1" ht="13" x14ac:dyDescent="0.15"/>
    <row r="10038" customFormat="1" ht="13" x14ac:dyDescent="0.15"/>
    <row r="10039" customFormat="1" ht="13" x14ac:dyDescent="0.15"/>
    <row r="10040" customFormat="1" ht="13" x14ac:dyDescent="0.15"/>
    <row r="10041" customFormat="1" ht="13" x14ac:dyDescent="0.15"/>
    <row r="10042" customFormat="1" ht="13" x14ac:dyDescent="0.15"/>
    <row r="10043" customFormat="1" ht="13" x14ac:dyDescent="0.15"/>
    <row r="10044" customFormat="1" ht="13" x14ac:dyDescent="0.15"/>
    <row r="10045" customFormat="1" ht="13" x14ac:dyDescent="0.15"/>
    <row r="10046" customFormat="1" ht="13" x14ac:dyDescent="0.15"/>
    <row r="10047" customFormat="1" ht="13" x14ac:dyDescent="0.15"/>
    <row r="10048" customFormat="1" ht="13" x14ac:dyDescent="0.15"/>
    <row r="10049" customFormat="1" ht="13" x14ac:dyDescent="0.15"/>
    <row r="10050" customFormat="1" ht="13" x14ac:dyDescent="0.15"/>
    <row r="10051" customFormat="1" ht="13" x14ac:dyDescent="0.15"/>
    <row r="10052" customFormat="1" ht="13" x14ac:dyDescent="0.15"/>
    <row r="10053" customFormat="1" ht="13" x14ac:dyDescent="0.15"/>
    <row r="10054" customFormat="1" ht="13" x14ac:dyDescent="0.15"/>
    <row r="10055" customFormat="1" ht="13" x14ac:dyDescent="0.15"/>
    <row r="10056" customFormat="1" ht="13" x14ac:dyDescent="0.15"/>
    <row r="10057" customFormat="1" ht="13" x14ac:dyDescent="0.15"/>
    <row r="10058" customFormat="1" ht="13" x14ac:dyDescent="0.15"/>
    <row r="10059" customFormat="1" ht="13" x14ac:dyDescent="0.15"/>
    <row r="10060" customFormat="1" ht="13" x14ac:dyDescent="0.15"/>
    <row r="10061" customFormat="1" ht="13" x14ac:dyDescent="0.15"/>
    <row r="10062" customFormat="1" ht="13" x14ac:dyDescent="0.15"/>
    <row r="10063" customFormat="1" ht="13" x14ac:dyDescent="0.15"/>
    <row r="10064" customFormat="1" ht="13" x14ac:dyDescent="0.15"/>
    <row r="10065" customFormat="1" ht="13" x14ac:dyDescent="0.15"/>
    <row r="10066" customFormat="1" ht="13" x14ac:dyDescent="0.15"/>
    <row r="10067" customFormat="1" ht="13" x14ac:dyDescent="0.15"/>
    <row r="10068" customFormat="1" ht="13" x14ac:dyDescent="0.15"/>
    <row r="10069" customFormat="1" ht="13" x14ac:dyDescent="0.15"/>
    <row r="10070" customFormat="1" ht="13" x14ac:dyDescent="0.15"/>
    <row r="10071" customFormat="1" ht="13" x14ac:dyDescent="0.15"/>
    <row r="10072" customFormat="1" ht="13" x14ac:dyDescent="0.15"/>
    <row r="10073" customFormat="1" ht="13" x14ac:dyDescent="0.15"/>
    <row r="10074" customFormat="1" ht="13" x14ac:dyDescent="0.15"/>
    <row r="10075" customFormat="1" ht="13" x14ac:dyDescent="0.15"/>
    <row r="10076" customFormat="1" ht="13" x14ac:dyDescent="0.15"/>
    <row r="10077" customFormat="1" ht="13" x14ac:dyDescent="0.15"/>
    <row r="10078" customFormat="1" ht="13" x14ac:dyDescent="0.15"/>
    <row r="10079" customFormat="1" ht="13" x14ac:dyDescent="0.15"/>
    <row r="10080" customFormat="1" ht="13" x14ac:dyDescent="0.15"/>
    <row r="10081" customFormat="1" ht="13" x14ac:dyDescent="0.15"/>
    <row r="10082" customFormat="1" ht="13" x14ac:dyDescent="0.15"/>
    <row r="10083" customFormat="1" ht="13" x14ac:dyDescent="0.15"/>
    <row r="10084" customFormat="1" ht="13" x14ac:dyDescent="0.15"/>
    <row r="10085" customFormat="1" ht="13" x14ac:dyDescent="0.15"/>
    <row r="10086" customFormat="1" ht="13" x14ac:dyDescent="0.15"/>
    <row r="10087" customFormat="1" ht="13" x14ac:dyDescent="0.15"/>
    <row r="10088" customFormat="1" ht="13" x14ac:dyDescent="0.15"/>
    <row r="10089" customFormat="1" ht="13" x14ac:dyDescent="0.15"/>
    <row r="10090" customFormat="1" ht="13" x14ac:dyDescent="0.15"/>
    <row r="10091" customFormat="1" ht="13" x14ac:dyDescent="0.15"/>
    <row r="10092" customFormat="1" ht="13" x14ac:dyDescent="0.15"/>
    <row r="10093" customFormat="1" ht="13" x14ac:dyDescent="0.15"/>
    <row r="10094" customFormat="1" ht="13" x14ac:dyDescent="0.15"/>
    <row r="10095" customFormat="1" ht="13" x14ac:dyDescent="0.15"/>
    <row r="10096" customFormat="1" ht="13" x14ac:dyDescent="0.15"/>
    <row r="10097" customFormat="1" ht="13" x14ac:dyDescent="0.15"/>
    <row r="10098" customFormat="1" ht="13" x14ac:dyDescent="0.15"/>
    <row r="10099" customFormat="1" ht="13" x14ac:dyDescent="0.15"/>
    <row r="10100" customFormat="1" ht="13" x14ac:dyDescent="0.15"/>
    <row r="10101" customFormat="1" ht="13" x14ac:dyDescent="0.15"/>
    <row r="10102" customFormat="1" ht="13" x14ac:dyDescent="0.15"/>
    <row r="10103" customFormat="1" ht="13" x14ac:dyDescent="0.15"/>
    <row r="10104" customFormat="1" ht="13" x14ac:dyDescent="0.15"/>
    <row r="10105" customFormat="1" ht="13" x14ac:dyDescent="0.15"/>
    <row r="10106" customFormat="1" ht="13" x14ac:dyDescent="0.15"/>
    <row r="10107" customFormat="1" ht="13" x14ac:dyDescent="0.15"/>
    <row r="10108" customFormat="1" ht="13" x14ac:dyDescent="0.15"/>
    <row r="10109" customFormat="1" ht="13" x14ac:dyDescent="0.15"/>
    <row r="10110" customFormat="1" ht="13" x14ac:dyDescent="0.15"/>
    <row r="10111" customFormat="1" ht="13" x14ac:dyDescent="0.15"/>
    <row r="10112" customFormat="1" ht="13" x14ac:dyDescent="0.15"/>
    <row r="10113" customFormat="1" ht="13" x14ac:dyDescent="0.15"/>
    <row r="10114" customFormat="1" ht="13" x14ac:dyDescent="0.15"/>
    <row r="10115" customFormat="1" ht="13" x14ac:dyDescent="0.15"/>
    <row r="10116" customFormat="1" ht="13" x14ac:dyDescent="0.15"/>
    <row r="10117" customFormat="1" ht="13" x14ac:dyDescent="0.15"/>
    <row r="10118" customFormat="1" ht="13" x14ac:dyDescent="0.15"/>
    <row r="10119" customFormat="1" ht="13" x14ac:dyDescent="0.15"/>
    <row r="10120" customFormat="1" ht="13" x14ac:dyDescent="0.15"/>
    <row r="10121" customFormat="1" ht="13" x14ac:dyDescent="0.15"/>
    <row r="10122" customFormat="1" ht="13" x14ac:dyDescent="0.15"/>
    <row r="10123" customFormat="1" ht="13" x14ac:dyDescent="0.15"/>
    <row r="10124" customFormat="1" ht="13" x14ac:dyDescent="0.15"/>
    <row r="10125" customFormat="1" ht="13" x14ac:dyDescent="0.15"/>
    <row r="10126" customFormat="1" ht="13" x14ac:dyDescent="0.15"/>
    <row r="10127" customFormat="1" ht="13" x14ac:dyDescent="0.15"/>
    <row r="10128" customFormat="1" ht="13" x14ac:dyDescent="0.15"/>
    <row r="10129" customFormat="1" ht="13" x14ac:dyDescent="0.15"/>
    <row r="10130" customFormat="1" ht="13" x14ac:dyDescent="0.15"/>
    <row r="10131" customFormat="1" ht="13" x14ac:dyDescent="0.15"/>
    <row r="10132" customFormat="1" ht="13" x14ac:dyDescent="0.15"/>
    <row r="10133" customFormat="1" ht="13" x14ac:dyDescent="0.15"/>
    <row r="10134" customFormat="1" ht="13" x14ac:dyDescent="0.15"/>
    <row r="10135" customFormat="1" ht="13" x14ac:dyDescent="0.15"/>
    <row r="10136" customFormat="1" ht="13" x14ac:dyDescent="0.15"/>
    <row r="10137" customFormat="1" ht="13" x14ac:dyDescent="0.15"/>
    <row r="10138" customFormat="1" ht="13" x14ac:dyDescent="0.15"/>
    <row r="10139" customFormat="1" ht="13" x14ac:dyDescent="0.15"/>
    <row r="10140" customFormat="1" ht="13" x14ac:dyDescent="0.15"/>
    <row r="10141" customFormat="1" ht="13" x14ac:dyDescent="0.15"/>
    <row r="10142" customFormat="1" ht="13" x14ac:dyDescent="0.15"/>
    <row r="10143" customFormat="1" ht="13" x14ac:dyDescent="0.15"/>
    <row r="10144" customFormat="1" ht="13" x14ac:dyDescent="0.15"/>
    <row r="10145" customFormat="1" ht="13" x14ac:dyDescent="0.15"/>
    <row r="10146" customFormat="1" ht="13" x14ac:dyDescent="0.15"/>
    <row r="10147" customFormat="1" ht="13" x14ac:dyDescent="0.15"/>
    <row r="10148" customFormat="1" ht="13" x14ac:dyDescent="0.15"/>
    <row r="10149" customFormat="1" ht="13" x14ac:dyDescent="0.15"/>
    <row r="10150" customFormat="1" ht="13" x14ac:dyDescent="0.15"/>
    <row r="10151" customFormat="1" ht="13" x14ac:dyDescent="0.15"/>
    <row r="10152" customFormat="1" ht="13" x14ac:dyDescent="0.15"/>
    <row r="10153" customFormat="1" ht="13" x14ac:dyDescent="0.15"/>
    <row r="10154" customFormat="1" ht="13" x14ac:dyDescent="0.15"/>
    <row r="10155" customFormat="1" ht="13" x14ac:dyDescent="0.15"/>
    <row r="10156" customFormat="1" ht="13" x14ac:dyDescent="0.15"/>
    <row r="10157" customFormat="1" ht="13" x14ac:dyDescent="0.15"/>
    <row r="10158" customFormat="1" ht="13" x14ac:dyDescent="0.15"/>
    <row r="10159" customFormat="1" ht="13" x14ac:dyDescent="0.15"/>
    <row r="10160" customFormat="1" ht="13" x14ac:dyDescent="0.15"/>
    <row r="10161" customFormat="1" ht="13" x14ac:dyDescent="0.15"/>
    <row r="10162" customFormat="1" ht="13" x14ac:dyDescent="0.15"/>
    <row r="10163" customFormat="1" ht="13" x14ac:dyDescent="0.15"/>
    <row r="10164" customFormat="1" ht="13" x14ac:dyDescent="0.15"/>
    <row r="10165" customFormat="1" ht="13" x14ac:dyDescent="0.15"/>
    <row r="10166" customFormat="1" ht="13" x14ac:dyDescent="0.15"/>
    <row r="10167" customFormat="1" ht="13" x14ac:dyDescent="0.15"/>
    <row r="10168" customFormat="1" ht="13" x14ac:dyDescent="0.15"/>
    <row r="10169" customFormat="1" ht="13" x14ac:dyDescent="0.15"/>
    <row r="10170" customFormat="1" ht="13" x14ac:dyDescent="0.15"/>
    <row r="10171" customFormat="1" ht="13" x14ac:dyDescent="0.15"/>
    <row r="10172" customFormat="1" ht="13" x14ac:dyDescent="0.15"/>
    <row r="10173" customFormat="1" ht="13" x14ac:dyDescent="0.15"/>
    <row r="10174" customFormat="1" ht="13" x14ac:dyDescent="0.15"/>
    <row r="10175" customFormat="1" ht="13" x14ac:dyDescent="0.15"/>
    <row r="10176" customFormat="1" ht="13" x14ac:dyDescent="0.15"/>
    <row r="10177" customFormat="1" ht="13" x14ac:dyDescent="0.15"/>
    <row r="10178" customFormat="1" ht="13" x14ac:dyDescent="0.15"/>
    <row r="10179" customFormat="1" ht="13" x14ac:dyDescent="0.15"/>
    <row r="10180" customFormat="1" ht="13" x14ac:dyDescent="0.15"/>
    <row r="10181" customFormat="1" ht="13" x14ac:dyDescent="0.15"/>
    <row r="10182" customFormat="1" ht="13" x14ac:dyDescent="0.15"/>
    <row r="10183" customFormat="1" ht="13" x14ac:dyDescent="0.15"/>
    <row r="10184" customFormat="1" ht="13" x14ac:dyDescent="0.15"/>
    <row r="10185" customFormat="1" ht="13" x14ac:dyDescent="0.15"/>
    <row r="10186" customFormat="1" ht="13" x14ac:dyDescent="0.15"/>
    <row r="10187" customFormat="1" ht="13" x14ac:dyDescent="0.15"/>
    <row r="10188" customFormat="1" ht="13" x14ac:dyDescent="0.15"/>
    <row r="10189" customFormat="1" ht="13" x14ac:dyDescent="0.15"/>
    <row r="10190" customFormat="1" ht="13" x14ac:dyDescent="0.15"/>
    <row r="10191" customFormat="1" ht="13" x14ac:dyDescent="0.15"/>
  </sheetData>
  <sheetProtection algorithmName="SHA-512" hashValue="oWtJzsViOy1YwJ3oIGRW+rx9XhqI+Lijnn3txebV50/COQR6OMoe1PrzZGLUqay3dK6aMqozATHvbhD7AAx1ng==" saltValue="Hzsi7frFG1ftU9d/x6ulG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0B2F-5BF2-7A42-B772-422A5C27AA3B}">
  <sheetPr codeName="Sheet2"/>
  <dimension ref="A1:X64"/>
  <sheetViews>
    <sheetView zoomScaleNormal="100" workbookViewId="0">
      <selection activeCell="P56" sqref="P56"/>
    </sheetView>
  </sheetViews>
  <sheetFormatPr baseColWidth="10" defaultRowHeight="14" x14ac:dyDescent="0.15"/>
  <cols>
    <col min="1" max="1" width="20.33203125" style="219" customWidth="1"/>
    <col min="2" max="2" width="21.6640625" style="219" bestFit="1" customWidth="1"/>
    <col min="3" max="9" width="11.83203125" style="219" customWidth="1"/>
    <col min="10" max="11" width="11.83203125" style="219" hidden="1" customWidth="1"/>
    <col min="12" max="16" width="11.83203125" style="219" customWidth="1"/>
    <col min="17" max="20" width="11.83203125" style="219" hidden="1" customWidth="1"/>
    <col min="21" max="24" width="11.83203125" style="219" customWidth="1"/>
    <col min="25" max="25" width="12.1640625" style="219" customWidth="1"/>
    <col min="26" max="16384" width="10.83203125" style="219"/>
  </cols>
  <sheetData>
    <row r="1" spans="1:24" x14ac:dyDescent="0.15">
      <c r="A1" s="219" t="s">
        <v>848</v>
      </c>
    </row>
    <row r="2" spans="1:24" x14ac:dyDescent="0.15">
      <c r="A2" s="220" t="s">
        <v>849</v>
      </c>
    </row>
    <row r="3" spans="1:24" ht="15" thickBot="1" x14ac:dyDescent="0.2"/>
    <row r="4" spans="1:24" x14ac:dyDescent="0.15">
      <c r="A4" s="116" t="s">
        <v>850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8"/>
    </row>
    <row r="5" spans="1:24" x14ac:dyDescent="0.15">
      <c r="A5" s="119" t="s">
        <v>851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20"/>
    </row>
    <row r="6" spans="1:24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20"/>
    </row>
    <row r="7" spans="1:24" ht="75" x14ac:dyDescent="0.15">
      <c r="A7" s="239" t="s">
        <v>278</v>
      </c>
      <c r="B7" s="240" t="s">
        <v>73</v>
      </c>
      <c r="C7" s="248" t="s">
        <v>74</v>
      </c>
      <c r="D7" s="248" t="s">
        <v>852</v>
      </c>
      <c r="E7" s="248" t="s">
        <v>853</v>
      </c>
      <c r="F7" s="248" t="s">
        <v>854</v>
      </c>
      <c r="G7" s="248" t="s">
        <v>855</v>
      </c>
      <c r="H7" s="248" t="s">
        <v>856</v>
      </c>
      <c r="I7" s="248" t="s">
        <v>958</v>
      </c>
      <c r="J7" s="249" t="s">
        <v>857</v>
      </c>
      <c r="K7" s="249" t="s">
        <v>172</v>
      </c>
      <c r="L7" s="242" t="s">
        <v>858</v>
      </c>
      <c r="M7" s="243" t="s">
        <v>174</v>
      </c>
      <c r="N7" s="243" t="s">
        <v>175</v>
      </c>
      <c r="O7" s="243" t="s">
        <v>76</v>
      </c>
      <c r="P7" s="243" t="s">
        <v>77</v>
      </c>
      <c r="Q7" s="251" t="s">
        <v>859</v>
      </c>
      <c r="R7" s="251" t="s">
        <v>860</v>
      </c>
      <c r="S7" s="250" t="s">
        <v>861</v>
      </c>
      <c r="T7" s="250" t="s">
        <v>862</v>
      </c>
      <c r="U7" s="244" t="s">
        <v>863</v>
      </c>
      <c r="V7" s="244" t="s">
        <v>864</v>
      </c>
      <c r="W7" s="243" t="s">
        <v>359</v>
      </c>
      <c r="X7" s="247" t="s">
        <v>360</v>
      </c>
    </row>
    <row r="8" spans="1:24" x14ac:dyDescent="0.15">
      <c r="A8" s="199" t="str">
        <f>'Tariff Jul 2020'!K2</f>
        <v>AGL</v>
      </c>
      <c r="B8" s="200" t="str">
        <f>'Tariff Jul 2020'!L2</f>
        <v>Essentials Saver</v>
      </c>
      <c r="C8" s="201">
        <f>IF('Tariff Jul 2020'!BP2=0,91*'Tariff Jul 2020'!M2/100,(91*'Tariff Jul 2020'!M2/100)+'Tariff Jul 2020'!BP2/4)</f>
        <v>63.633818181818178</v>
      </c>
      <c r="D8" s="201">
        <f>IF('Tariff Jul 2020'!O2="",$C$5*'Tariff Jul 2020'!N2/100,IF($C$5&gt;='Tariff Jul 2020'!P2,('Tariff Jul 2020'!P2*'Tariff Jul 2020'!N2/100),($C$5*'Tariff Jul 2020'!N2/100)))</f>
        <v>447.54545454545456</v>
      </c>
      <c r="E8" s="201">
        <f>IF(AND('Tariff Jul 2020'!P2&gt;0,'Tariff Jul 2020'!R2&gt;0),IF($C$5&lt;'Tariff Jul 2020'!P2,0,IF($C$5&lt;=('Tariff Jul 2020'!R2+'Tariff Jul 2020'!P2),(($C$5-'Tariff Jul 2020'!P2)*'Tariff Jul 2020'!Q2/100),(('Tariff Jul 2020'!R2)*'Tariff Jul 2020'!Q2/100))),0)</f>
        <v>0</v>
      </c>
      <c r="F8" s="202">
        <f>IF(AND('Tariff Jul 2020'!Q2&gt;0,'Tariff Jul 2020'!S2&gt;0),IF($C$5&lt;('Tariff Jul 2020'!R2+'Tariff Jul 2020'!P2),0,IF($C$5&lt;=('Tariff Jul 2020'!T2+'Tariff Jul 2020'!R2+'Tariff Jul 2020'!P2),(($C$5-('Tariff Jul 2020'!R2+'Tariff Jul 2020'!P2))*'Tariff Jul 2020'!S2/100),('Tariff Jul 2020'!T2*'Tariff Jul 2020'!S2/100))),0)</f>
        <v>0</v>
      </c>
      <c r="G8" s="201">
        <v>0</v>
      </c>
      <c r="H8" s="201">
        <f>IF(AND('Tariff Jul 2020'!R2&gt;0,'Tariff Jul 2020'!T2&gt;0),IF(($C$5&lt;'Tariff Jul 2020'!T2),(0),($C$5-'Tariff Jul 2020'!T2)*'Tariff Jul 2020'!U2/100),IF(AND('Tariff Jul 2020'!R2&gt;0,'Tariff Jul 2020'!T2=""),IF(($C$5&lt;'Tariff Jul 2020'!R2+'Tariff Jul 2020'!P2),(0),(($C$5-('Tariff Jul 2020'!R2+'Tariff Jul 2020'!P2))*'Tariff Jul 2020'!S2/100)),IF(AND('Tariff Jul 2020'!P2&gt;0,'Tariff Jul 2020'!R2=""&gt;0),IF(($C$5&lt;'Tariff Jul 2020'!P2),(0),($C$5-'Tariff Jul 2020'!P2)*'Tariff Jul 2020'!Q2/100),0)))</f>
        <v>0</v>
      </c>
      <c r="I8" s="201">
        <f t="shared" ref="I8:I25" si="0">SUM(C8:H8)</f>
        <v>511.17927272727275</v>
      </c>
      <c r="J8" s="252">
        <f t="shared" ref="J8:J25" si="1">(I8-C8)*4</f>
        <v>1790.1818181818182</v>
      </c>
      <c r="K8" s="203">
        <f>I8*4</f>
        <v>2044.717090909091</v>
      </c>
      <c r="L8" s="203">
        <f>K8*1.1</f>
        <v>2249.1888000000004</v>
      </c>
      <c r="M8" s="200">
        <f>'Tariff Jul 2020'!AZ2</f>
        <v>0</v>
      </c>
      <c r="N8" s="200">
        <f>'Tariff Jul 2020'!BA2</f>
        <v>0</v>
      </c>
      <c r="O8" s="200">
        <f>'Tariff Jul 2020'!BB2</f>
        <v>0</v>
      </c>
      <c r="P8" s="200">
        <f>'Tariff Jul 2020'!BC2</f>
        <v>0</v>
      </c>
      <c r="Q8" s="204" t="str">
        <f>IF(SUM(M8:P8)=0,"No discount",IF(M8&gt;0,"Guaranteed off bill",IF(N8&gt;0,"Guaranteed off usage",IF(O8&gt;0,"Pay-on-time off bill","Pay-on-time off usage"))))</f>
        <v>No discount</v>
      </c>
      <c r="R8" s="205" t="str">
        <f t="shared" ref="R8:R25" si="2">IF(OR(A8="Origin Energy",A8="Red Energy",A8="Powershop"),"Inclusive","Exclusive")</f>
        <v>Exclusive</v>
      </c>
      <c r="S8" s="254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2044.717090909091</v>
      </c>
      <c r="T8" s="25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2044.717090909091</v>
      </c>
      <c r="U8" s="259">
        <f>S8*1.1</f>
        <v>2249.1888000000004</v>
      </c>
      <c r="V8" s="259">
        <f>T8*1.1</f>
        <v>2249.1888000000004</v>
      </c>
      <c r="W8" s="206">
        <f>'Tariff Jul 2020'!BL2</f>
        <v>0</v>
      </c>
      <c r="X8" s="207" t="str">
        <f>'Tariff Jul 2020'!BM2</f>
        <v>n</v>
      </c>
    </row>
    <row r="9" spans="1:24" x14ac:dyDescent="0.15">
      <c r="A9" s="199" t="str">
        <f>'Tariff Jul 2020'!K3</f>
        <v>Alinta Energy</v>
      </c>
      <c r="B9" s="200" t="str">
        <f>'Tariff Jul 2020'!L3</f>
        <v>No fuss</v>
      </c>
      <c r="C9" s="201">
        <f>IF('Tariff Jul 2020'!BP3=0,91*'Tariff Jul 2020'!M3/100,(91*'Tariff Jul 2020'!M3/100)+'Tariff Jul 2020'!BP3/4)</f>
        <v>75.53</v>
      </c>
      <c r="D9" s="201">
        <f>IF('Tariff Jul 2020'!O3="",$C$5*'Tariff Jul 2020'!N3/100,IF($C$5&gt;='Tariff Jul 2020'!P3,('Tariff Jul 2020'!P3*'Tariff Jul 2020'!N3/100),($C$5*'Tariff Jul 2020'!N3/100)))</f>
        <v>90.463636363636354</v>
      </c>
      <c r="E9" s="201">
        <f>IF(AND('Tariff Jul 2020'!P3&gt;0,'Tariff Jul 2020'!R3&gt;0),IF($C$5&lt;'Tariff Jul 2020'!P3,0,IF($C$5&lt;=('Tariff Jul 2020'!R3+'Tariff Jul 2020'!P3),(($C$5-'Tariff Jul 2020'!P3)*'Tariff Jul 2020'!Q3/100),(('Tariff Jul 2020'!R3)*'Tariff Jul 2020'!Q3/100))),0)</f>
        <v>0</v>
      </c>
      <c r="F9" s="202">
        <f>IF(AND('Tariff Jul 2020'!Q3&gt;0,'Tariff Jul 2020'!S3&gt;0),IF($C$5&lt;('Tariff Jul 2020'!R3+'Tariff Jul 2020'!P3),0,IF($C$5&lt;=('Tariff Jul 2020'!T3+'Tariff Jul 2020'!R3+'Tariff Jul 2020'!P3),(($C$5-('Tariff Jul 2020'!R3+'Tariff Jul 2020'!P3))*'Tariff Jul 2020'!S3/100),('Tariff Jul 2020'!T3*'Tariff Jul 2020'!S3/100))),0)</f>
        <v>0</v>
      </c>
      <c r="G9" s="201">
        <v>0</v>
      </c>
      <c r="H9" s="201">
        <f>IF(AND('Tariff Jul 2020'!R3&gt;0,'Tariff Jul 2020'!T3&gt;0),IF(($C$5&lt;'Tariff Jul 2020'!T3),(0),($C$5-'Tariff Jul 2020'!T3)*'Tariff Jul 2020'!U3/100),IF(AND('Tariff Jul 2020'!R3&gt;0,'Tariff Jul 2020'!T3=""),IF(($C$5&lt;'Tariff Jul 2020'!R3+'Tariff Jul 2020'!P3),(0),(($C$5-('Tariff Jul 2020'!R3+'Tariff Jul 2020'!P3))*'Tariff Jul 2020'!S3/100)),IF(AND('Tariff Jul 2020'!P3&gt;0,'Tariff Jul 2020'!R3=""&gt;0),IF(($C$5&lt;'Tariff Jul 2020'!P3),(0),($C$5-'Tariff Jul 2020'!P3)*'Tariff Jul 2020'!Q3/100),0)))</f>
        <v>403.09090909090912</v>
      </c>
      <c r="I9" s="201">
        <f t="shared" si="0"/>
        <v>569.08454545454549</v>
      </c>
      <c r="J9" s="252">
        <f t="shared" si="1"/>
        <v>1974.2181818181821</v>
      </c>
      <c r="K9" s="203">
        <f t="shared" ref="K9:K24" si="3">I9*4</f>
        <v>2276.338181818182</v>
      </c>
      <c r="L9" s="203">
        <f t="shared" ref="L9:L25" si="4">K9*1.1</f>
        <v>2503.9720000000002</v>
      </c>
      <c r="M9" s="200">
        <f>'Tariff Jul 2020'!AZ3</f>
        <v>0</v>
      </c>
      <c r="N9" s="200">
        <f>'Tariff Jul 2020'!BA3</f>
        <v>0</v>
      </c>
      <c r="O9" s="200">
        <f>'Tariff Jul 2020'!BB3</f>
        <v>0</v>
      </c>
      <c r="P9" s="200">
        <f>'Tariff Jul 2020'!BC3</f>
        <v>0</v>
      </c>
      <c r="Q9" s="204" t="str">
        <f t="shared" ref="Q9:Q25" si="5">IF(SUM(M9:P9)=0,"No discount",IF(M9&gt;0,"Guaranteed off bill",IF(N9&gt;0,"Guaranteed off usage",IF(O9&gt;0,"Pay-on-time off bill","Pay-on-time off usage"))))</f>
        <v>No discount</v>
      </c>
      <c r="R9" s="205" t="str">
        <f t="shared" si="2"/>
        <v>Exclusive</v>
      </c>
      <c r="S9" s="254">
        <f t="shared" ref="S9:S25" si="6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2276.338181818182</v>
      </c>
      <c r="T9" s="252">
        <f t="shared" ref="T9:T25" si="7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2276.338181818182</v>
      </c>
      <c r="U9" s="260">
        <f t="shared" ref="U9:V24" si="8">S9*1.1</f>
        <v>2503.9720000000002</v>
      </c>
      <c r="V9" s="260">
        <f t="shared" si="8"/>
        <v>2503.9720000000002</v>
      </c>
      <c r="W9" s="206">
        <f>'Tariff Jul 2020'!BL3</f>
        <v>0</v>
      </c>
      <c r="X9" s="207" t="str">
        <f>'Tariff Jul 2020'!BM3</f>
        <v>n</v>
      </c>
    </row>
    <row r="10" spans="1:24" x14ac:dyDescent="0.15">
      <c r="A10" s="199" t="str">
        <f>'Tariff Jul 2020'!K4</f>
        <v>Click Energy</v>
      </c>
      <c r="B10" s="200" t="str">
        <f>'Tariff Jul 2020'!L4</f>
        <v>Flora</v>
      </c>
      <c r="C10" s="201">
        <f>IF('Tariff Jul 2020'!BP4=0,91*'Tariff Jul 2020'!M4/100,(91*'Tariff Jul 2020'!M4/100)+'Tariff Jul 2020'!BP4/4)</f>
        <v>72.311909090909083</v>
      </c>
      <c r="D10" s="201">
        <f>IF('Tariff Jul 2020'!O4="",$C$5*'Tariff Jul 2020'!N4/100,IF($C$5&gt;='Tariff Jul 2020'!P4,('Tariff Jul 2020'!P4*'Tariff Jul 2020'!N4/100),($C$5*'Tariff Jul 2020'!N4/100)))</f>
        <v>428.31818181818176</v>
      </c>
      <c r="E10" s="201">
        <f>IF(AND('Tariff Jul 2020'!P4&gt;0,'Tariff Jul 2020'!R4&gt;0),IF($C$5&lt;'Tariff Jul 2020'!P4,0,IF($C$5&lt;=('Tariff Jul 2020'!R4+'Tariff Jul 2020'!P4),(($C$5-'Tariff Jul 2020'!P4)*'Tariff Jul 2020'!Q4/100),(('Tariff Jul 2020'!R4)*'Tariff Jul 2020'!Q4/100))),0)</f>
        <v>0</v>
      </c>
      <c r="F10" s="202">
        <f>IF(AND('Tariff Jul 2020'!Q4&gt;0,'Tariff Jul 2020'!S4&gt;0),IF($C$5&lt;('Tariff Jul 2020'!R4+'Tariff Jul 2020'!P4),0,IF($C$5&lt;=('Tariff Jul 2020'!T4+'Tariff Jul 2020'!R4+'Tariff Jul 2020'!P4),(($C$5-('Tariff Jul 2020'!R4+'Tariff Jul 2020'!P4))*'Tariff Jul 2020'!S4/100),('Tariff Jul 2020'!T4*'Tariff Jul 2020'!S4/100))),0)</f>
        <v>0</v>
      </c>
      <c r="G10" s="201">
        <v>0</v>
      </c>
      <c r="H10" s="201">
        <f>IF(AND('Tariff Jul 2020'!R4&gt;0,'Tariff Jul 2020'!T4&gt;0),IF(($C$5&lt;'Tariff Jul 2020'!T4),(0),($C$5-'Tariff Jul 2020'!T4)*'Tariff Jul 2020'!U4/100),IF(AND('Tariff Jul 2020'!R4&gt;0,'Tariff Jul 2020'!T4=""),IF(($C$5&lt;'Tariff Jul 2020'!R4+'Tariff Jul 2020'!P4),(0),(($C$5-('Tariff Jul 2020'!R4+'Tariff Jul 2020'!P4))*'Tariff Jul 2020'!S4/100)),IF(AND('Tariff Jul 2020'!P4&gt;0,'Tariff Jul 2020'!R4=""&gt;0),IF(($C$5&lt;'Tariff Jul 2020'!P4),(0),($C$5-'Tariff Jul 2020'!P4)*'Tariff Jul 2020'!Q4/100),0)))</f>
        <v>0</v>
      </c>
      <c r="I10" s="201">
        <f t="shared" si="0"/>
        <v>500.63009090909082</v>
      </c>
      <c r="J10" s="252">
        <f t="shared" si="1"/>
        <v>1713.272727272727</v>
      </c>
      <c r="K10" s="203">
        <f t="shared" si="3"/>
        <v>2002.5203636363633</v>
      </c>
      <c r="L10" s="203">
        <f t="shared" si="4"/>
        <v>2202.7723999999998</v>
      </c>
      <c r="M10" s="200">
        <f>'Tariff Jul 2020'!AZ4</f>
        <v>0</v>
      </c>
      <c r="N10" s="200">
        <f>'Tariff Jul 2020'!BA4</f>
        <v>0</v>
      </c>
      <c r="O10" s="200">
        <f>'Tariff Jul 2020'!BB4</f>
        <v>0</v>
      </c>
      <c r="P10" s="200">
        <f>'Tariff Jul 2020'!BC4</f>
        <v>0</v>
      </c>
      <c r="Q10" s="204" t="str">
        <f t="shared" si="5"/>
        <v>No discount</v>
      </c>
      <c r="R10" s="205" t="str">
        <f t="shared" si="2"/>
        <v>Exclusive</v>
      </c>
      <c r="S10" s="254">
        <f t="shared" si="6"/>
        <v>2002.5203636363633</v>
      </c>
      <c r="T10" s="252">
        <f t="shared" si="7"/>
        <v>2002.5203636363633</v>
      </c>
      <c r="U10" s="260">
        <f t="shared" si="8"/>
        <v>2202.7723999999998</v>
      </c>
      <c r="V10" s="260">
        <f t="shared" si="8"/>
        <v>2202.7723999999998</v>
      </c>
      <c r="W10" s="206">
        <f>'Tariff Jul 2020'!BL4</f>
        <v>0</v>
      </c>
      <c r="X10" s="207" t="str">
        <f>'Tariff Jul 2020'!BM4</f>
        <v>n</v>
      </c>
    </row>
    <row r="11" spans="1:24" x14ac:dyDescent="0.15">
      <c r="A11" s="199" t="str">
        <f>'Tariff Jul 2020'!K5</f>
        <v>Commander</v>
      </c>
      <c r="B11" s="200" t="str">
        <f>'Tariff Jul 2020'!L5</f>
        <v>Market offer</v>
      </c>
      <c r="C11" s="201">
        <f>IF('Tariff Jul 2020'!BP5=0,91*'Tariff Jul 2020'!M5/100,(91*'Tariff Jul 2020'!M5/100)+'Tariff Jul 2020'!BP5/4)</f>
        <v>80.808000000000007</v>
      </c>
      <c r="D11" s="201">
        <f>IF('Tariff Jul 2020'!O5="",$C$5*'Tariff Jul 2020'!N5/100,IF($C$5&gt;='Tariff Jul 2020'!P5,('Tariff Jul 2020'!P5*'Tariff Jul 2020'!N5/100),($C$5*'Tariff Jul 2020'!N5/100)))</f>
        <v>324.09090909090907</v>
      </c>
      <c r="E11" s="201">
        <f>IF(AND('Tariff Jul 2020'!P5&gt;0,'Tariff Jul 2020'!R5&gt;0),IF($C$5&lt;'Tariff Jul 2020'!P5,0,IF($C$5&lt;=('Tariff Jul 2020'!R5+'Tariff Jul 2020'!P5),(($C$5-'Tariff Jul 2020'!P5)*'Tariff Jul 2020'!Q5/100),(('Tariff Jul 2020'!R5)*'Tariff Jul 2020'!Q5/100))),0)</f>
        <v>0</v>
      </c>
      <c r="F11" s="202">
        <f>IF(AND('Tariff Jul 2020'!Q5&gt;0,'Tariff Jul 2020'!S5&gt;0),IF($C$5&lt;('Tariff Jul 2020'!R5+'Tariff Jul 2020'!P5),0,IF($C$5&lt;=('Tariff Jul 2020'!T5+'Tariff Jul 2020'!R5+'Tariff Jul 2020'!P5),(($C$5-('Tariff Jul 2020'!R5+'Tariff Jul 2020'!P5))*'Tariff Jul 2020'!S5/100),('Tariff Jul 2020'!T5*'Tariff Jul 2020'!S5/100))),0)</f>
        <v>0</v>
      </c>
      <c r="G11" s="201">
        <v>0</v>
      </c>
      <c r="H11" s="201">
        <f>IF(AND('Tariff Jul 2020'!R5&gt;0,'Tariff Jul 2020'!T5&gt;0),IF(($C$5&lt;'Tariff Jul 2020'!T5),(0),($C$5-'Tariff Jul 2020'!T5)*'Tariff Jul 2020'!U5/100),IF(AND('Tariff Jul 2020'!R5&gt;0,'Tariff Jul 2020'!T5=""),IF(($C$5&lt;'Tariff Jul 2020'!R5+'Tariff Jul 2020'!P5),(0),(($C$5-('Tariff Jul 2020'!R5+'Tariff Jul 2020'!P5))*'Tariff Jul 2020'!S5/100)),IF(AND('Tariff Jul 2020'!P5&gt;0,'Tariff Jul 2020'!R5=""&gt;0),IF(($C$5&lt;'Tariff Jul 2020'!P5),(0),($C$5-'Tariff Jul 2020'!P5)*'Tariff Jul 2020'!Q5/100),0)))</f>
        <v>166.27272727272725</v>
      </c>
      <c r="I11" s="201">
        <f t="shared" si="0"/>
        <v>571.17163636363625</v>
      </c>
      <c r="J11" s="252">
        <f t="shared" si="1"/>
        <v>1961.454545454545</v>
      </c>
      <c r="K11" s="203">
        <f t="shared" si="3"/>
        <v>2284.686545454545</v>
      </c>
      <c r="L11" s="203">
        <f t="shared" si="4"/>
        <v>2513.1551999999997</v>
      </c>
      <c r="M11" s="200">
        <f>'Tariff Jul 2020'!AZ5</f>
        <v>0</v>
      </c>
      <c r="N11" s="200">
        <f>'Tariff Jul 2020'!BA5</f>
        <v>0</v>
      </c>
      <c r="O11" s="200">
        <f>'Tariff Jul 2020'!BB5</f>
        <v>0</v>
      </c>
      <c r="P11" s="200">
        <f>'Tariff Jul 2020'!BC5</f>
        <v>0</v>
      </c>
      <c r="Q11" s="204" t="str">
        <f t="shared" si="5"/>
        <v>No discount</v>
      </c>
      <c r="R11" s="205" t="str">
        <f t="shared" si="2"/>
        <v>Exclusive</v>
      </c>
      <c r="S11" s="254">
        <f t="shared" si="6"/>
        <v>2284.686545454545</v>
      </c>
      <c r="T11" s="252">
        <f t="shared" si="7"/>
        <v>2284.686545454545</v>
      </c>
      <c r="U11" s="260">
        <f t="shared" si="8"/>
        <v>2513.1551999999997</v>
      </c>
      <c r="V11" s="260">
        <f t="shared" si="8"/>
        <v>2513.1551999999997</v>
      </c>
      <c r="W11" s="206">
        <f>'Tariff Jul 2020'!BL5</f>
        <v>0</v>
      </c>
      <c r="X11" s="207" t="str">
        <f>'Tariff Jul 2020'!BM5</f>
        <v>n</v>
      </c>
    </row>
    <row r="12" spans="1:24" x14ac:dyDescent="0.15">
      <c r="A12" s="199" t="str">
        <f>'Tariff Jul 2020'!K6</f>
        <v>Diamond Energy</v>
      </c>
      <c r="B12" s="200" t="str">
        <f>'Tariff Jul 2020'!L6</f>
        <v>Renewable Saver POT</v>
      </c>
      <c r="C12" s="201">
        <f>IF('Tariff Jul 2020'!BP6=0,91*'Tariff Jul 2020'!M6/100,(91*'Tariff Jul 2020'!M6/100)+'Tariff Jul 2020'!BP6/4)</f>
        <v>79.124499999999998</v>
      </c>
      <c r="D12" s="201">
        <f>IF('Tariff Jul 2020'!O6="",$C$5*'Tariff Jul 2020'!N6/100,IF($C$5&gt;='Tariff Jul 2020'!P6,('Tariff Jul 2020'!P6*'Tariff Jul 2020'!N6/100),($C$5*'Tariff Jul 2020'!N6/100)))</f>
        <v>99.78</v>
      </c>
      <c r="E12" s="201">
        <f>IF(AND('Tariff Jul 2020'!P6&gt;0,'Tariff Jul 2020'!R6&gt;0),IF($C$5&lt;'Tariff Jul 2020'!P6,0,IF($C$5&lt;=('Tariff Jul 2020'!R6+'Tariff Jul 2020'!P6),(($C$5-'Tariff Jul 2020'!P6)*'Tariff Jul 2020'!Q6/100),(('Tariff Jul 2020'!R6)*'Tariff Jul 2020'!Q6/100))),0)</f>
        <v>251.23</v>
      </c>
      <c r="F12" s="202">
        <f>IF(AND('Tariff Jul 2020'!Q6&gt;0,'Tariff Jul 2020'!S6&gt;0),IF($C$5&lt;('Tariff Jul 2020'!R6+'Tariff Jul 2020'!P6),0,IF($C$5&lt;=('Tariff Jul 2020'!T6+'Tariff Jul 2020'!R6+'Tariff Jul 2020'!P6),(($C$5-('Tariff Jul 2020'!R6+'Tariff Jul 2020'!P6))*'Tariff Jul 2020'!S6/100),('Tariff Jul 2020'!T6*'Tariff Jul 2020'!S6/100))),0)</f>
        <v>194.75</v>
      </c>
      <c r="G12" s="201">
        <v>0</v>
      </c>
      <c r="H12" s="201">
        <f>IF(AND('Tariff Jul 2020'!R6&gt;0,'Tariff Jul 2020'!T6&gt;0),IF(($C$5&lt;'Tariff Jul 2020'!T6),(0),($C$5-'Tariff Jul 2020'!T6)*'Tariff Jul 2020'!U6/100),IF(AND('Tariff Jul 2020'!R6&gt;0,'Tariff Jul 2020'!T6=""),IF(($C$5&lt;'Tariff Jul 2020'!R6+'Tariff Jul 2020'!P6),(0),(($C$5-('Tariff Jul 2020'!R6+'Tariff Jul 2020'!P6))*'Tariff Jul 2020'!S6/100)),IF(AND('Tariff Jul 2020'!P6&gt;0,'Tariff Jul 2020'!R6=""&gt;0),IF(($C$5&lt;'Tariff Jul 2020'!P6),(0),($C$5-'Tariff Jul 2020'!P6)*'Tariff Jul 2020'!Q6/100),0)))</f>
        <v>0</v>
      </c>
      <c r="I12" s="201">
        <f t="shared" si="0"/>
        <v>624.8845</v>
      </c>
      <c r="J12" s="252">
        <f t="shared" si="1"/>
        <v>2183.04</v>
      </c>
      <c r="K12" s="203">
        <f t="shared" si="3"/>
        <v>2499.538</v>
      </c>
      <c r="L12" s="203">
        <f t="shared" si="4"/>
        <v>2749.4918000000002</v>
      </c>
      <c r="M12" s="200">
        <f>'Tariff Jul 2020'!AZ6</f>
        <v>0</v>
      </c>
      <c r="N12" s="200">
        <f>'Tariff Jul 2020'!BA6</f>
        <v>0</v>
      </c>
      <c r="O12" s="200">
        <f>'Tariff Jul 2020'!BB6</f>
        <v>7</v>
      </c>
      <c r="P12" s="200">
        <f>'Tariff Jul 2020'!BC6</f>
        <v>0</v>
      </c>
      <c r="Q12" s="204" t="str">
        <f t="shared" si="5"/>
        <v>Pay-on-time off bill</v>
      </c>
      <c r="R12" s="205" t="str">
        <f t="shared" si="2"/>
        <v>Exclusive</v>
      </c>
      <c r="S12" s="254">
        <f t="shared" si="6"/>
        <v>2499.538</v>
      </c>
      <c r="T12" s="252">
        <f t="shared" si="7"/>
        <v>2324.5703400000002</v>
      </c>
      <c r="U12" s="260">
        <f t="shared" si="8"/>
        <v>2749.4918000000002</v>
      </c>
      <c r="V12" s="260">
        <f t="shared" si="8"/>
        <v>2557.0273740000002</v>
      </c>
      <c r="W12" s="206">
        <f>'Tariff Jul 2020'!BL6</f>
        <v>0</v>
      </c>
      <c r="X12" s="207" t="str">
        <f>'Tariff Jul 2020'!BM6</f>
        <v>n</v>
      </c>
    </row>
    <row r="13" spans="1:24" x14ac:dyDescent="0.15">
      <c r="A13" s="199" t="str">
        <f>'Tariff Jul 2020'!K7</f>
        <v>Dodo Power &amp; Gas</v>
      </c>
      <c r="B13" s="200" t="str">
        <f>'Tariff Jul 2020'!L7</f>
        <v>Market offer</v>
      </c>
      <c r="C13" s="201">
        <f>IF('Tariff Jul 2020'!BP7=0,91*'Tariff Jul 2020'!M7/100,(91*'Tariff Jul 2020'!M7/100)+'Tariff Jul 2020'!BP7/4)</f>
        <v>80.808000000000007</v>
      </c>
      <c r="D13" s="201">
        <f>IF('Tariff Jul 2020'!O7="",$C$5*'Tariff Jul 2020'!N7/100,IF($C$5&gt;='Tariff Jul 2020'!P7,('Tariff Jul 2020'!P7*'Tariff Jul 2020'!N7/100),($C$5*'Tariff Jul 2020'!N7/100)))</f>
        <v>324.09090909090907</v>
      </c>
      <c r="E13" s="201">
        <f>IF(AND('Tariff Jul 2020'!P7&gt;0,'Tariff Jul 2020'!R7&gt;0),IF($C$5&lt;'Tariff Jul 2020'!P7,0,IF($C$5&lt;=('Tariff Jul 2020'!R7+'Tariff Jul 2020'!P7),(($C$5-'Tariff Jul 2020'!P7)*'Tariff Jul 2020'!Q7/100),(('Tariff Jul 2020'!R7)*'Tariff Jul 2020'!Q7/100))),0)</f>
        <v>0</v>
      </c>
      <c r="F13" s="202">
        <f>IF(AND('Tariff Jul 2020'!Q7&gt;0,'Tariff Jul 2020'!S7&gt;0),IF($C$5&lt;('Tariff Jul 2020'!R7+'Tariff Jul 2020'!P7),0,IF($C$5&lt;=('Tariff Jul 2020'!T7+'Tariff Jul 2020'!R7+'Tariff Jul 2020'!P7),(($C$5-('Tariff Jul 2020'!R7+'Tariff Jul 2020'!P7))*'Tariff Jul 2020'!S7/100),('Tariff Jul 2020'!T7*'Tariff Jul 2020'!S7/100))),0)</f>
        <v>0</v>
      </c>
      <c r="G13" s="201">
        <v>0</v>
      </c>
      <c r="H13" s="201">
        <f>IF(AND('Tariff Jul 2020'!R7&gt;0,'Tariff Jul 2020'!T7&gt;0),IF(($C$5&lt;'Tariff Jul 2020'!T7),(0),($C$5-'Tariff Jul 2020'!T7)*'Tariff Jul 2020'!U7/100),IF(AND('Tariff Jul 2020'!R7&gt;0,'Tariff Jul 2020'!T7=""),IF(($C$5&lt;'Tariff Jul 2020'!R7+'Tariff Jul 2020'!P7),(0),(($C$5-('Tariff Jul 2020'!R7+'Tariff Jul 2020'!P7))*'Tariff Jul 2020'!S7/100)),IF(AND('Tariff Jul 2020'!P7&gt;0,'Tariff Jul 2020'!R7=""&gt;0),IF(($C$5&lt;'Tariff Jul 2020'!P7),(0),($C$5-'Tariff Jul 2020'!P7)*'Tariff Jul 2020'!Q7/100),0)))</f>
        <v>166.27272727272725</v>
      </c>
      <c r="I13" s="201">
        <f t="shared" si="0"/>
        <v>571.17163636363625</v>
      </c>
      <c r="J13" s="252">
        <f t="shared" si="1"/>
        <v>1961.454545454545</v>
      </c>
      <c r="K13" s="203">
        <f t="shared" si="3"/>
        <v>2284.686545454545</v>
      </c>
      <c r="L13" s="203">
        <f t="shared" si="4"/>
        <v>2513.1551999999997</v>
      </c>
      <c r="M13" s="200">
        <f>'Tariff Jul 2020'!AZ7</f>
        <v>0</v>
      </c>
      <c r="N13" s="200">
        <f>'Tariff Jul 2020'!BA7</f>
        <v>0</v>
      </c>
      <c r="O13" s="200">
        <f>'Tariff Jul 2020'!BB7</f>
        <v>0</v>
      </c>
      <c r="P13" s="200">
        <f>'Tariff Jul 2020'!BC7</f>
        <v>0</v>
      </c>
      <c r="Q13" s="204" t="str">
        <f t="shared" si="5"/>
        <v>No discount</v>
      </c>
      <c r="R13" s="205" t="str">
        <f t="shared" si="2"/>
        <v>Exclusive</v>
      </c>
      <c r="S13" s="254">
        <f t="shared" si="6"/>
        <v>2284.686545454545</v>
      </c>
      <c r="T13" s="252">
        <f t="shared" si="7"/>
        <v>2284.686545454545</v>
      </c>
      <c r="U13" s="260">
        <f t="shared" si="8"/>
        <v>2513.1551999999997</v>
      </c>
      <c r="V13" s="260">
        <f t="shared" si="8"/>
        <v>2513.1551999999997</v>
      </c>
      <c r="W13" s="206">
        <f>'Tariff Jul 2020'!BL7</f>
        <v>0</v>
      </c>
      <c r="X13" s="207" t="str">
        <f>'Tariff Jul 2020'!BM7</f>
        <v>n</v>
      </c>
    </row>
    <row r="14" spans="1:24" x14ac:dyDescent="0.15">
      <c r="A14" s="199" t="str">
        <f>'Tariff Jul 2020'!K8</f>
        <v>EnergyAustralia</v>
      </c>
      <c r="B14" s="200" t="str">
        <f>'Tariff Jul 2020'!L8</f>
        <v>Total Plan Home</v>
      </c>
      <c r="C14" s="201">
        <f>IF('Tariff Jul 2020'!BP8=0,91*'Tariff Jul 2020'!M8/100,(91*'Tariff Jul 2020'!M8/100)+'Tariff Jul 2020'!BP8/4)</f>
        <v>70.97999999999999</v>
      </c>
      <c r="D14" s="201">
        <f>IF('Tariff Jul 2020'!O8="",$C$5*'Tariff Jul 2020'!N8/100,IF($C$5&gt;='Tariff Jul 2020'!P8,('Tariff Jul 2020'!P8*'Tariff Jul 2020'!N8/100),($C$5*'Tariff Jul 2020'!N8/100)))</f>
        <v>517.77272727272725</v>
      </c>
      <c r="E14" s="201">
        <f>IF(AND('Tariff Jul 2020'!P8&gt;0,'Tariff Jul 2020'!R8&gt;0),IF($C$5&lt;'Tariff Jul 2020'!P8,0,IF($C$5&lt;=('Tariff Jul 2020'!R8+'Tariff Jul 2020'!P8),(($C$5-'Tariff Jul 2020'!P8)*'Tariff Jul 2020'!Q8/100),(('Tariff Jul 2020'!R8)*'Tariff Jul 2020'!Q8/100))),0)</f>
        <v>0</v>
      </c>
      <c r="F14" s="202">
        <f>IF(AND('Tariff Jul 2020'!Q8&gt;0,'Tariff Jul 2020'!S8&gt;0),IF($C$5&lt;('Tariff Jul 2020'!R8+'Tariff Jul 2020'!P8),0,IF($C$5&lt;=('Tariff Jul 2020'!T8+'Tariff Jul 2020'!R8+'Tariff Jul 2020'!P8),(($C$5-('Tariff Jul 2020'!R8+'Tariff Jul 2020'!P8))*'Tariff Jul 2020'!S8/100),('Tariff Jul 2020'!T8*'Tariff Jul 2020'!S8/100))),0)</f>
        <v>0</v>
      </c>
      <c r="G14" s="201">
        <v>0</v>
      </c>
      <c r="H14" s="201">
        <f>IF(AND('Tariff Jul 2020'!R8&gt;0,'Tariff Jul 2020'!T8&gt;0),IF(($C$5&lt;'Tariff Jul 2020'!T8),(0),($C$5-'Tariff Jul 2020'!T8)*'Tariff Jul 2020'!U8/100),IF(AND('Tariff Jul 2020'!R8&gt;0,'Tariff Jul 2020'!T8=""),IF(($C$5&lt;'Tariff Jul 2020'!R8+'Tariff Jul 2020'!P8),(0),(($C$5-('Tariff Jul 2020'!R8+'Tariff Jul 2020'!P8))*'Tariff Jul 2020'!S8/100)),IF(AND('Tariff Jul 2020'!P8&gt;0,'Tariff Jul 2020'!R8=""&gt;0),IF(($C$5&lt;'Tariff Jul 2020'!P8),(0),($C$5-'Tariff Jul 2020'!P8)*'Tariff Jul 2020'!Q8/100),0)))</f>
        <v>0</v>
      </c>
      <c r="I14" s="201">
        <f t="shared" si="0"/>
        <v>588.75272727272727</v>
      </c>
      <c r="J14" s="252">
        <f t="shared" si="1"/>
        <v>2071.090909090909</v>
      </c>
      <c r="K14" s="203">
        <f t="shared" si="3"/>
        <v>2355.0109090909091</v>
      </c>
      <c r="L14" s="203">
        <f t="shared" si="4"/>
        <v>2590.5120000000002</v>
      </c>
      <c r="M14" s="200">
        <f>'Tariff Jul 2020'!AZ8</f>
        <v>6</v>
      </c>
      <c r="N14" s="200">
        <f>'Tariff Jul 2020'!BA8</f>
        <v>0</v>
      </c>
      <c r="O14" s="200">
        <f>'Tariff Jul 2020'!BB8</f>
        <v>0</v>
      </c>
      <c r="P14" s="200">
        <f>'Tariff Jul 2020'!BC8</f>
        <v>0</v>
      </c>
      <c r="Q14" s="204" t="str">
        <f t="shared" si="5"/>
        <v>Guaranteed off bill</v>
      </c>
      <c r="R14" s="205" t="str">
        <f t="shared" si="2"/>
        <v>Exclusive</v>
      </c>
      <c r="S14" s="254">
        <f t="shared" si="6"/>
        <v>2213.7102545454545</v>
      </c>
      <c r="T14" s="252">
        <f t="shared" si="7"/>
        <v>2213.7102545454545</v>
      </c>
      <c r="U14" s="260">
        <f t="shared" si="8"/>
        <v>2435.0812800000003</v>
      </c>
      <c r="V14" s="260">
        <f t="shared" si="8"/>
        <v>2435.0812800000003</v>
      </c>
      <c r="W14" s="206">
        <f>'Tariff Jul 2020'!BL8</f>
        <v>0</v>
      </c>
      <c r="X14" s="207" t="str">
        <f>'Tariff Jul 2020'!BM8</f>
        <v>n</v>
      </c>
    </row>
    <row r="15" spans="1:24" x14ac:dyDescent="0.15">
      <c r="A15" s="199" t="str">
        <f>'Tariff Jul 2020'!K9</f>
        <v>Lumo Energy</v>
      </c>
      <c r="B15" s="200" t="str">
        <f>'Tariff Jul 2020'!L9</f>
        <v>Plus</v>
      </c>
      <c r="C15" s="201">
        <f>IF('Tariff Jul 2020'!BP9=0,91*'Tariff Jul 2020'!M9/100,(91*'Tariff Jul 2020'!M9/100)+'Tariff Jul 2020'!BP9/4)</f>
        <v>75.124636363636355</v>
      </c>
      <c r="D15" s="201">
        <f>IF('Tariff Jul 2020'!O9="",$C$5*'Tariff Jul 2020'!N9/100,IF($C$5&gt;='Tariff Jul 2020'!P9,('Tariff Jul 2020'!P9*'Tariff Jul 2020'!N9/100),($C$5*'Tariff Jul 2020'!N9/100)))</f>
        <v>309.5454545454545</v>
      </c>
      <c r="E15" s="201">
        <f>IF(AND('Tariff Jul 2020'!P9&gt;0,'Tariff Jul 2020'!R9&gt;0),IF($C$5&lt;'Tariff Jul 2020'!P9,0,IF($C$5&lt;=('Tariff Jul 2020'!R9+'Tariff Jul 2020'!P9),(($C$5-'Tariff Jul 2020'!P9)*'Tariff Jul 2020'!Q9/100),(('Tariff Jul 2020'!R9)*'Tariff Jul 2020'!Q9/100))),0)</f>
        <v>0</v>
      </c>
      <c r="F15" s="202">
        <f>IF(AND('Tariff Jul 2020'!Q9&gt;0,'Tariff Jul 2020'!S9&gt;0),IF($C$5&lt;('Tariff Jul 2020'!R9+'Tariff Jul 2020'!P9),0,IF($C$5&lt;=('Tariff Jul 2020'!T9+'Tariff Jul 2020'!R9+'Tariff Jul 2020'!P9),(($C$5-('Tariff Jul 2020'!R9+'Tariff Jul 2020'!P9))*'Tariff Jul 2020'!S9/100),('Tariff Jul 2020'!T9*'Tariff Jul 2020'!S9/100))),0)</f>
        <v>0</v>
      </c>
      <c r="G15" s="201">
        <v>0</v>
      </c>
      <c r="H15" s="201">
        <f>IF(AND('Tariff Jul 2020'!R9&gt;0,'Tariff Jul 2020'!T9&gt;0),IF(($C$5&lt;'Tariff Jul 2020'!T9),(0),($C$5-'Tariff Jul 2020'!T9)*'Tariff Jul 2020'!U9/100),IF(AND('Tariff Jul 2020'!R9&gt;0,'Tariff Jul 2020'!T9=""),IF(($C$5&lt;'Tariff Jul 2020'!R9+'Tariff Jul 2020'!P9),(0),(($C$5-('Tariff Jul 2020'!R9+'Tariff Jul 2020'!P9))*'Tariff Jul 2020'!S9/100)),IF(AND('Tariff Jul 2020'!P9&gt;0,'Tariff Jul 2020'!R9=""&gt;0),IF(($C$5&lt;'Tariff Jul 2020'!P9),(0),($C$5-'Tariff Jul 2020'!P9)*'Tariff Jul 2020'!Q9/100),0)))</f>
        <v>158.04545454545453</v>
      </c>
      <c r="I15" s="201">
        <f t="shared" si="0"/>
        <v>542.71554545454535</v>
      </c>
      <c r="J15" s="252">
        <f t="shared" si="1"/>
        <v>1870.363636363636</v>
      </c>
      <c r="K15" s="203">
        <f t="shared" si="3"/>
        <v>2170.8621818181814</v>
      </c>
      <c r="L15" s="203">
        <f t="shared" si="4"/>
        <v>2387.9483999999998</v>
      </c>
      <c r="M15" s="200">
        <f>'Tariff Jul 2020'!AZ9</f>
        <v>0</v>
      </c>
      <c r="N15" s="200">
        <f>'Tariff Jul 2020'!BA9</f>
        <v>0</v>
      </c>
      <c r="O15" s="200">
        <f>'Tariff Jul 2020'!BB9</f>
        <v>0</v>
      </c>
      <c r="P15" s="200">
        <f>'Tariff Jul 2020'!BC9</f>
        <v>0</v>
      </c>
      <c r="Q15" s="204" t="str">
        <f t="shared" si="5"/>
        <v>No discount</v>
      </c>
      <c r="R15" s="205" t="str">
        <f t="shared" si="2"/>
        <v>Exclusive</v>
      </c>
      <c r="S15" s="254">
        <f t="shared" si="6"/>
        <v>2170.8621818181814</v>
      </c>
      <c r="T15" s="252">
        <f t="shared" si="7"/>
        <v>2170.8621818181814</v>
      </c>
      <c r="U15" s="260">
        <f t="shared" si="8"/>
        <v>2387.9483999999998</v>
      </c>
      <c r="V15" s="260">
        <f t="shared" si="8"/>
        <v>2387.9483999999998</v>
      </c>
      <c r="W15" s="206">
        <f>'Tariff Jul 2020'!BL9</f>
        <v>0</v>
      </c>
      <c r="X15" s="207" t="str">
        <f>'Tariff Jul 2020'!BM9</f>
        <v>n</v>
      </c>
    </row>
    <row r="16" spans="1:24" x14ac:dyDescent="0.15">
      <c r="A16" s="199" t="str">
        <f>'Tariff Jul 2020'!K10</f>
        <v>Momentum Energy</v>
      </c>
      <c r="B16" s="200" t="str">
        <f>'Tariff Jul 2020'!L10</f>
        <v>SmilePower Flexi</v>
      </c>
      <c r="C16" s="201">
        <f>IF('Tariff Jul 2020'!BP10=0,91*'Tariff Jul 2020'!M10/100,(91*'Tariff Jul 2020'!M10/100)+'Tariff Jul 2020'!BP10/4)</f>
        <v>83.289818181818191</v>
      </c>
      <c r="D16" s="201">
        <f>IF('Tariff Jul 2020'!O10="",$C$5*'Tariff Jul 2020'!N10/100,IF($C$5&gt;='Tariff Jul 2020'!P10,('Tariff Jul 2020'!P10*'Tariff Jul 2020'!N10/100),($C$5*'Tariff Jul 2020'!N10/100)))</f>
        <v>486.81818181818176</v>
      </c>
      <c r="E16" s="201">
        <f>IF(AND('Tariff Jul 2020'!P10&gt;0,'Tariff Jul 2020'!R10&gt;0),IF($C$5&lt;'Tariff Jul 2020'!P10,0,IF($C$5&lt;=('Tariff Jul 2020'!R10+'Tariff Jul 2020'!P10),(($C$5-'Tariff Jul 2020'!P10)*'Tariff Jul 2020'!Q10/100),(('Tariff Jul 2020'!R10)*'Tariff Jul 2020'!Q10/100))),0)</f>
        <v>0</v>
      </c>
      <c r="F16" s="202">
        <f>IF(AND('Tariff Jul 2020'!Q10&gt;0,'Tariff Jul 2020'!S10&gt;0),IF($C$5&lt;('Tariff Jul 2020'!R10+'Tariff Jul 2020'!P10),0,IF($C$5&lt;=('Tariff Jul 2020'!T10+'Tariff Jul 2020'!R10+'Tariff Jul 2020'!P10),(($C$5-('Tariff Jul 2020'!R10+'Tariff Jul 2020'!P10))*'Tariff Jul 2020'!S10/100),('Tariff Jul 2020'!T10*'Tariff Jul 2020'!S10/100))),0)</f>
        <v>0</v>
      </c>
      <c r="G16" s="201">
        <v>0</v>
      </c>
      <c r="H16" s="201">
        <f>IF(AND('Tariff Jul 2020'!R10&gt;0,'Tariff Jul 2020'!T10&gt;0),IF(($C$5&lt;'Tariff Jul 2020'!T10),(0),($C$5-'Tariff Jul 2020'!T10)*'Tariff Jul 2020'!U10/100),IF(AND('Tariff Jul 2020'!R10&gt;0,'Tariff Jul 2020'!T10=""),IF(($C$5&lt;'Tariff Jul 2020'!R10+'Tariff Jul 2020'!P10),(0),(($C$5-('Tariff Jul 2020'!R10+'Tariff Jul 2020'!P10))*'Tariff Jul 2020'!S10/100)),IF(AND('Tariff Jul 2020'!P10&gt;0,'Tariff Jul 2020'!R10=""&gt;0),IF(($C$5&lt;'Tariff Jul 2020'!P10),(0),($C$5-'Tariff Jul 2020'!P10)*'Tariff Jul 2020'!Q10/100),0)))</f>
        <v>0</v>
      </c>
      <c r="I16" s="201">
        <f t="shared" si="0"/>
        <v>570.10799999999995</v>
      </c>
      <c r="J16" s="252">
        <f t="shared" si="1"/>
        <v>1947.272727272727</v>
      </c>
      <c r="K16" s="203">
        <f t="shared" si="3"/>
        <v>2280.4319999999998</v>
      </c>
      <c r="L16" s="203">
        <f t="shared" si="4"/>
        <v>2508.4751999999999</v>
      </c>
      <c r="M16" s="200">
        <f>'Tariff Jul 2020'!AZ10</f>
        <v>0</v>
      </c>
      <c r="N16" s="200">
        <f>'Tariff Jul 2020'!BA10</f>
        <v>0</v>
      </c>
      <c r="O16" s="200">
        <f>'Tariff Jul 2020'!BB10</f>
        <v>0</v>
      </c>
      <c r="P16" s="200">
        <f>'Tariff Jul 2020'!BC10</f>
        <v>0</v>
      </c>
      <c r="Q16" s="204" t="str">
        <f t="shared" si="5"/>
        <v>No discount</v>
      </c>
      <c r="R16" s="205" t="str">
        <f t="shared" si="2"/>
        <v>Exclusive</v>
      </c>
      <c r="S16" s="254">
        <f t="shared" si="6"/>
        <v>2280.4319999999998</v>
      </c>
      <c r="T16" s="252">
        <f t="shared" si="7"/>
        <v>2280.4319999999998</v>
      </c>
      <c r="U16" s="260">
        <f t="shared" si="8"/>
        <v>2508.4751999999999</v>
      </c>
      <c r="V16" s="260">
        <f t="shared" si="8"/>
        <v>2508.4751999999999</v>
      </c>
      <c r="W16" s="206">
        <f>'Tariff Jul 2020'!BL10</f>
        <v>0</v>
      </c>
      <c r="X16" s="207" t="str">
        <f>'Tariff Jul 2020'!BM10</f>
        <v>n</v>
      </c>
    </row>
    <row r="17" spans="1:24" x14ac:dyDescent="0.15">
      <c r="A17" s="199" t="str">
        <f>'Tariff Jul 2020'!K11</f>
        <v>Origin Energy</v>
      </c>
      <c r="B17" s="200" t="str">
        <f>'Tariff Jul 2020'!L11</f>
        <v>Flexi</v>
      </c>
      <c r="C17" s="201">
        <f>IF('Tariff Jul 2020'!BP11=0,91*'Tariff Jul 2020'!M11/100,(91*'Tariff Jul 2020'!M11/100)+'Tariff Jul 2020'!BP11/4)</f>
        <v>70.905545454545447</v>
      </c>
      <c r="D17" s="201">
        <f>IF('Tariff Jul 2020'!O11="",$C$5*'Tariff Jul 2020'!N11/100,IF($C$5&gt;='Tariff Jul 2020'!P11,('Tariff Jul 2020'!P11*'Tariff Jul 2020'!N11/100),($C$5*'Tariff Jul 2020'!N11/100)))</f>
        <v>345.2727272727272</v>
      </c>
      <c r="E17" s="201">
        <f>IF(AND('Tariff Jul 2020'!P11&gt;0,'Tariff Jul 2020'!R11&gt;0),IF($C$5&lt;'Tariff Jul 2020'!P11,0,IF($C$5&lt;=('Tariff Jul 2020'!R11+'Tariff Jul 2020'!P11),(($C$5-'Tariff Jul 2020'!P11)*'Tariff Jul 2020'!Q11/100),(('Tariff Jul 2020'!R11)*'Tariff Jul 2020'!Q11/100))),0)</f>
        <v>0</v>
      </c>
      <c r="F17" s="202">
        <f>IF(AND('Tariff Jul 2020'!Q11&gt;0,'Tariff Jul 2020'!S11&gt;0),IF($C$5&lt;('Tariff Jul 2020'!R11+'Tariff Jul 2020'!P11),0,IF($C$5&lt;=('Tariff Jul 2020'!T11+'Tariff Jul 2020'!R11+'Tariff Jul 2020'!P11),(($C$5-('Tariff Jul 2020'!R11+'Tariff Jul 2020'!P11))*'Tariff Jul 2020'!S11/100),('Tariff Jul 2020'!T11*'Tariff Jul 2020'!S11/100))),0)</f>
        <v>0</v>
      </c>
      <c r="G17" s="201">
        <v>0</v>
      </c>
      <c r="H17" s="201">
        <f>IF(AND('Tariff Jul 2020'!R11&gt;0,'Tariff Jul 2020'!T11&gt;0),IF(($C$5&lt;'Tariff Jul 2020'!T11),(0),($C$5-'Tariff Jul 2020'!T11)*'Tariff Jul 2020'!U11/100),IF(AND('Tariff Jul 2020'!R11&gt;0,'Tariff Jul 2020'!T11=""),IF(($C$5&lt;'Tariff Jul 2020'!R11+'Tariff Jul 2020'!P11),(0),(($C$5-('Tariff Jul 2020'!R11+'Tariff Jul 2020'!P11))*'Tariff Jul 2020'!S11/100)),IF(AND('Tariff Jul 2020'!P11&gt;0,'Tariff Jul 2020'!R11=""&gt;0),IF(($C$5&lt;'Tariff Jul 2020'!P11),(0),($C$5-'Tariff Jul 2020'!P11)*'Tariff Jul 2020'!Q11/100),0)))</f>
        <v>184.22727272727272</v>
      </c>
      <c r="I17" s="201">
        <f t="shared" si="0"/>
        <v>600.4055454545454</v>
      </c>
      <c r="J17" s="252">
        <f t="shared" si="1"/>
        <v>2118</v>
      </c>
      <c r="K17" s="203">
        <f t="shared" si="3"/>
        <v>2401.6221818181816</v>
      </c>
      <c r="L17" s="203">
        <f t="shared" si="4"/>
        <v>2641.7844</v>
      </c>
      <c r="M17" s="200">
        <f>'Tariff Jul 2020'!AZ11</f>
        <v>13</v>
      </c>
      <c r="N17" s="200">
        <f>'Tariff Jul 2020'!BA11</f>
        <v>0</v>
      </c>
      <c r="O17" s="200">
        <f>'Tariff Jul 2020'!BB11</f>
        <v>0</v>
      </c>
      <c r="P17" s="200">
        <f>'Tariff Jul 2020'!BC11</f>
        <v>0</v>
      </c>
      <c r="Q17" s="204" t="str">
        <f t="shared" si="5"/>
        <v>Guaranteed off bill</v>
      </c>
      <c r="R17" s="205" t="str">
        <f t="shared" si="2"/>
        <v>Inclusive</v>
      </c>
      <c r="S17" s="254">
        <f t="shared" si="6"/>
        <v>2089.411298181818</v>
      </c>
      <c r="T17" s="252">
        <f t="shared" si="7"/>
        <v>2089.411298181818</v>
      </c>
      <c r="U17" s="260">
        <f t="shared" si="8"/>
        <v>2298.3524280000001</v>
      </c>
      <c r="V17" s="260">
        <f t="shared" si="8"/>
        <v>2298.3524280000001</v>
      </c>
      <c r="W17" s="206">
        <f>'Tariff Jul 2020'!BL11</f>
        <v>0</v>
      </c>
      <c r="X17" s="207" t="str">
        <f>'Tariff Jul 2020'!BM11</f>
        <v>n</v>
      </c>
    </row>
    <row r="18" spans="1:24" x14ac:dyDescent="0.15">
      <c r="A18" s="199" t="str">
        <f>'Tariff Jul 2020'!K12</f>
        <v>Powerdirect</v>
      </c>
      <c r="B18" s="200" t="str">
        <f>'Tariff Jul 2020'!L12</f>
        <v>Rate Saver</v>
      </c>
      <c r="C18" s="201">
        <f>IF('Tariff Jul 2020'!BP12=0,91*'Tariff Jul 2020'!M12/100,(91*'Tariff Jul 2020'!M12/100)+'Tariff Jul 2020'!BP12/4)</f>
        <v>65.098090909090899</v>
      </c>
      <c r="D18" s="201">
        <f>IF('Tariff Jul 2020'!O12="",$C$5*'Tariff Jul 2020'!N12/100,IF($C$5&gt;='Tariff Jul 2020'!P12,('Tariff Jul 2020'!P12*'Tariff Jul 2020'!N12/100),($C$5*'Tariff Jul 2020'!N12/100)))</f>
        <v>457.7727272727272</v>
      </c>
      <c r="E18" s="201">
        <f>IF(AND('Tariff Jul 2020'!P12&gt;0,'Tariff Jul 2020'!R12&gt;0),IF($C$5&lt;'Tariff Jul 2020'!P12,0,IF($C$5&lt;=('Tariff Jul 2020'!R12+'Tariff Jul 2020'!P12),(($C$5-'Tariff Jul 2020'!P12)*'Tariff Jul 2020'!Q12/100),(('Tariff Jul 2020'!R12)*'Tariff Jul 2020'!Q12/100))),0)</f>
        <v>0</v>
      </c>
      <c r="F18" s="202">
        <f>IF(AND('Tariff Jul 2020'!Q12&gt;0,'Tariff Jul 2020'!S12&gt;0),IF($C$5&lt;('Tariff Jul 2020'!R12+'Tariff Jul 2020'!P12),0,IF($C$5&lt;=('Tariff Jul 2020'!T12+'Tariff Jul 2020'!R12+'Tariff Jul 2020'!P12),(($C$5-('Tariff Jul 2020'!R12+'Tariff Jul 2020'!P12))*'Tariff Jul 2020'!S12/100),('Tariff Jul 2020'!T12*'Tariff Jul 2020'!S12/100))),0)</f>
        <v>0</v>
      </c>
      <c r="G18" s="201">
        <v>0</v>
      </c>
      <c r="H18" s="201">
        <f>IF(AND('Tariff Jul 2020'!R12&gt;0,'Tariff Jul 2020'!T12&gt;0),IF(($C$5&lt;'Tariff Jul 2020'!T12),(0),($C$5-'Tariff Jul 2020'!T12)*'Tariff Jul 2020'!U12/100),IF(AND('Tariff Jul 2020'!R12&gt;0,'Tariff Jul 2020'!T12=""),IF(($C$5&lt;'Tariff Jul 2020'!R12+'Tariff Jul 2020'!P12),(0),(($C$5-('Tariff Jul 2020'!R12+'Tariff Jul 2020'!P12))*'Tariff Jul 2020'!S12/100)),IF(AND('Tariff Jul 2020'!P12&gt;0,'Tariff Jul 2020'!R12=""&gt;0),IF(($C$5&lt;'Tariff Jul 2020'!P12),(0),($C$5-'Tariff Jul 2020'!P12)*'Tariff Jul 2020'!Q12/100),0)))</f>
        <v>0</v>
      </c>
      <c r="I18" s="201">
        <f t="shared" si="0"/>
        <v>522.87081818181809</v>
      </c>
      <c r="J18" s="252">
        <f t="shared" si="1"/>
        <v>1831.0909090909088</v>
      </c>
      <c r="K18" s="203">
        <f t="shared" si="3"/>
        <v>2091.4832727272724</v>
      </c>
      <c r="L18" s="203">
        <f t="shared" si="4"/>
        <v>2300.6315999999997</v>
      </c>
      <c r="M18" s="200">
        <f>'Tariff Jul 2020'!AZ12</f>
        <v>0</v>
      </c>
      <c r="N18" s="200">
        <f>'Tariff Jul 2020'!BA12</f>
        <v>0</v>
      </c>
      <c r="O18" s="200">
        <f>'Tariff Jul 2020'!BB12</f>
        <v>0</v>
      </c>
      <c r="P18" s="200">
        <f>'Tariff Jul 2020'!BC12</f>
        <v>0</v>
      </c>
      <c r="Q18" s="204" t="str">
        <f t="shared" si="5"/>
        <v>No discount</v>
      </c>
      <c r="R18" s="205" t="str">
        <f t="shared" si="2"/>
        <v>Exclusive</v>
      </c>
      <c r="S18" s="254">
        <f t="shared" si="6"/>
        <v>2091.4832727272724</v>
      </c>
      <c r="T18" s="252">
        <f t="shared" si="7"/>
        <v>2091.4832727272724</v>
      </c>
      <c r="U18" s="260">
        <f t="shared" si="8"/>
        <v>2300.6315999999997</v>
      </c>
      <c r="V18" s="260">
        <f t="shared" si="8"/>
        <v>2300.6315999999997</v>
      </c>
      <c r="W18" s="206">
        <f>'Tariff Jul 2020'!BL12</f>
        <v>0</v>
      </c>
      <c r="X18" s="207" t="str">
        <f>'Tariff Jul 2020'!BM12</f>
        <v>n</v>
      </c>
    </row>
    <row r="19" spans="1:24" x14ac:dyDescent="0.15">
      <c r="A19" s="199" t="str">
        <f>'Tariff Jul 2020'!K13</f>
        <v>Red Energy</v>
      </c>
      <c r="B19" s="200" t="str">
        <f>'Tariff Jul 2020'!L13</f>
        <v>Living Energy Saver</v>
      </c>
      <c r="C19" s="201">
        <f>IF('Tariff Jul 2020'!BP13=0,91*'Tariff Jul 2020'!M13/100,(91*'Tariff Jul 2020'!M13/100)+'Tariff Jul 2020'!BP13/4)</f>
        <v>97.37</v>
      </c>
      <c r="D19" s="201">
        <f>IF('Tariff Jul 2020'!O13="",$C$5*'Tariff Jul 2020'!N13/100,IF($C$5&gt;='Tariff Jul 2020'!P13,('Tariff Jul 2020'!P13*'Tariff Jul 2020'!N13/100),($C$5*'Tariff Jul 2020'!N13/100)))</f>
        <v>476.72727272727275</v>
      </c>
      <c r="E19" s="201">
        <f>IF(AND('Tariff Jul 2020'!P13&gt;0,'Tariff Jul 2020'!R13&gt;0),IF($C$5&lt;'Tariff Jul 2020'!P13,0,IF($C$5&lt;=('Tariff Jul 2020'!R13+'Tariff Jul 2020'!P13),(($C$5-'Tariff Jul 2020'!P13)*'Tariff Jul 2020'!Q13/100),(('Tariff Jul 2020'!R13)*'Tariff Jul 2020'!Q13/100))),0)</f>
        <v>0</v>
      </c>
      <c r="F19" s="202">
        <f>IF(AND('Tariff Jul 2020'!Q13&gt;0,'Tariff Jul 2020'!S13&gt;0),IF($C$5&lt;('Tariff Jul 2020'!R13+'Tariff Jul 2020'!P13),0,IF($C$5&lt;=('Tariff Jul 2020'!T13+'Tariff Jul 2020'!R13+'Tariff Jul 2020'!P13),(($C$5-('Tariff Jul 2020'!R13+'Tariff Jul 2020'!P13))*'Tariff Jul 2020'!S13/100),('Tariff Jul 2020'!T13*'Tariff Jul 2020'!S13/100))),0)</f>
        <v>0</v>
      </c>
      <c r="G19" s="201">
        <v>0</v>
      </c>
      <c r="H19" s="201">
        <f>IF(AND('Tariff Jul 2020'!R13&gt;0,'Tariff Jul 2020'!T13&gt;0),IF(($C$5&lt;'Tariff Jul 2020'!T13),(0),($C$5-'Tariff Jul 2020'!T13)*'Tariff Jul 2020'!U13/100),IF(AND('Tariff Jul 2020'!R13&gt;0,'Tariff Jul 2020'!T13=""),IF(($C$5&lt;'Tariff Jul 2020'!R13+'Tariff Jul 2020'!P13),(0),(($C$5-('Tariff Jul 2020'!R13+'Tariff Jul 2020'!P13))*'Tariff Jul 2020'!S13/100)),IF(AND('Tariff Jul 2020'!P13&gt;0,'Tariff Jul 2020'!R13=""&gt;0),IF(($C$5&lt;'Tariff Jul 2020'!P13),(0),($C$5-'Tariff Jul 2020'!P13)*'Tariff Jul 2020'!Q13/100),0)))</f>
        <v>0</v>
      </c>
      <c r="I19" s="201">
        <f t="shared" si="0"/>
        <v>574.09727272727275</v>
      </c>
      <c r="J19" s="252">
        <f t="shared" si="1"/>
        <v>1906.909090909091</v>
      </c>
      <c r="K19" s="203">
        <f t="shared" si="3"/>
        <v>2296.389090909091</v>
      </c>
      <c r="L19" s="203">
        <f t="shared" si="4"/>
        <v>2526.0280000000002</v>
      </c>
      <c r="M19" s="200">
        <f>'Tariff Jul 2020'!AZ13</f>
        <v>0</v>
      </c>
      <c r="N19" s="200">
        <f>'Tariff Jul 2020'!BA13</f>
        <v>0</v>
      </c>
      <c r="O19" s="200">
        <f>'Tariff Jul 2020'!BB13</f>
        <v>0</v>
      </c>
      <c r="P19" s="200">
        <f>'Tariff Jul 2020'!BC13</f>
        <v>0</v>
      </c>
      <c r="Q19" s="204" t="str">
        <f t="shared" si="5"/>
        <v>No discount</v>
      </c>
      <c r="R19" s="205" t="str">
        <f t="shared" si="2"/>
        <v>Inclusive</v>
      </c>
      <c r="S19" s="254">
        <f t="shared" si="6"/>
        <v>2296.389090909091</v>
      </c>
      <c r="T19" s="252">
        <f t="shared" si="7"/>
        <v>2296.389090909091</v>
      </c>
      <c r="U19" s="260">
        <f t="shared" si="8"/>
        <v>2526.0280000000002</v>
      </c>
      <c r="V19" s="260">
        <f t="shared" si="8"/>
        <v>2526.0280000000002</v>
      </c>
      <c r="W19" s="206">
        <f>'Tariff Jul 2020'!BL13</f>
        <v>0</v>
      </c>
      <c r="X19" s="207" t="str">
        <f>'Tariff Jul 2020'!BM13</f>
        <v>n</v>
      </c>
    </row>
    <row r="20" spans="1:24" x14ac:dyDescent="0.15">
      <c r="A20" s="199" t="str">
        <f>'Tariff Jul 2020'!K14</f>
        <v>Energy Locals</v>
      </c>
      <c r="B20" s="200" t="str">
        <f>'Tariff Jul 2020'!L14</f>
        <v>Local Saver</v>
      </c>
      <c r="C20" s="201">
        <f>IF('Tariff Jul 2020'!BP14=0,91*'Tariff Jul 2020'!M14/100,(91*'Tariff Jul 2020'!M14/100)+'Tariff Jul 2020'!BP14/4)</f>
        <v>110.03749999999999</v>
      </c>
      <c r="D20" s="201">
        <f>IF('Tariff Jul 2020'!O14="",$C$5*'Tariff Jul 2020'!N14/100,IF($C$5&gt;='Tariff Jul 2020'!P14,('Tariff Jul 2020'!P14*'Tariff Jul 2020'!N14/100),($C$5*'Tariff Jul 2020'!N14/100)))</f>
        <v>409.05</v>
      </c>
      <c r="E20" s="201">
        <f>IF(AND('Tariff Jul 2020'!P14&gt;0,'Tariff Jul 2020'!R14&gt;0),IF($C$5&lt;'Tariff Jul 2020'!P14,0,IF($C$5&lt;=('Tariff Jul 2020'!R14+'Tariff Jul 2020'!P14),(($C$5-'Tariff Jul 2020'!P14)*'Tariff Jul 2020'!Q14/100),(('Tariff Jul 2020'!R14)*'Tariff Jul 2020'!Q14/100))),0)</f>
        <v>0</v>
      </c>
      <c r="F20" s="202">
        <f>IF(AND('Tariff Jul 2020'!Q14&gt;0,'Tariff Jul 2020'!S14&gt;0),IF($C$5&lt;('Tariff Jul 2020'!R14+'Tariff Jul 2020'!P14),0,IF($C$5&lt;=('Tariff Jul 2020'!T14+'Tariff Jul 2020'!R14+'Tariff Jul 2020'!P14),(($C$5-('Tariff Jul 2020'!R14+'Tariff Jul 2020'!P14))*'Tariff Jul 2020'!S14/100),('Tariff Jul 2020'!T14*'Tariff Jul 2020'!S14/100))),0)</f>
        <v>0</v>
      </c>
      <c r="G20" s="201">
        <v>0</v>
      </c>
      <c r="H20" s="201">
        <f>IF(AND('Tariff Jul 2020'!R14&gt;0,'Tariff Jul 2020'!T14&gt;0),IF(($C$5&lt;'Tariff Jul 2020'!T14),(0),($C$5-'Tariff Jul 2020'!T14)*'Tariff Jul 2020'!U14/100),IF(AND('Tariff Jul 2020'!R14&gt;0,'Tariff Jul 2020'!T14=""),IF(($C$5&lt;'Tariff Jul 2020'!R14+'Tariff Jul 2020'!P14),(0),(($C$5-('Tariff Jul 2020'!R14+'Tariff Jul 2020'!P14))*'Tariff Jul 2020'!S14/100)),IF(AND('Tariff Jul 2020'!P14&gt;0,'Tariff Jul 2020'!R14=""&gt;0),IF(($C$5&lt;'Tariff Jul 2020'!P14),(0),($C$5-'Tariff Jul 2020'!P14)*'Tariff Jul 2020'!Q14/100),0)))</f>
        <v>0</v>
      </c>
      <c r="I20" s="201">
        <f t="shared" si="0"/>
        <v>519.08749999999998</v>
      </c>
      <c r="J20" s="252">
        <f t="shared" si="1"/>
        <v>1636.1999999999998</v>
      </c>
      <c r="K20" s="203">
        <f t="shared" si="3"/>
        <v>2076.35</v>
      </c>
      <c r="L20" s="203">
        <f t="shared" si="4"/>
        <v>2283.9850000000001</v>
      </c>
      <c r="M20" s="200">
        <f>'Tariff Jul 2020'!AZ14</f>
        <v>0</v>
      </c>
      <c r="N20" s="200">
        <f>'Tariff Jul 2020'!BA14</f>
        <v>0</v>
      </c>
      <c r="O20" s="200">
        <f>'Tariff Jul 2020'!BB14</f>
        <v>0</v>
      </c>
      <c r="P20" s="200">
        <f>'Tariff Jul 2020'!BC14</f>
        <v>0</v>
      </c>
      <c r="Q20" s="204" t="str">
        <f t="shared" si="5"/>
        <v>No discount</v>
      </c>
      <c r="R20" s="205" t="str">
        <f t="shared" si="2"/>
        <v>Exclusive</v>
      </c>
      <c r="S20" s="254">
        <f t="shared" si="6"/>
        <v>2076.35</v>
      </c>
      <c r="T20" s="252">
        <f t="shared" si="7"/>
        <v>2076.35</v>
      </c>
      <c r="U20" s="260">
        <f t="shared" si="8"/>
        <v>2283.9850000000001</v>
      </c>
      <c r="V20" s="260">
        <f t="shared" si="8"/>
        <v>2283.9850000000001</v>
      </c>
      <c r="W20" s="206">
        <f>'Tariff Jul 2020'!BL14</f>
        <v>0</v>
      </c>
      <c r="X20" s="207" t="str">
        <f>'Tariff Jul 2020'!BM14</f>
        <v>n</v>
      </c>
    </row>
    <row r="21" spans="1:24" x14ac:dyDescent="0.15">
      <c r="A21" s="199" t="str">
        <f>'Tariff Jul 2020'!K15</f>
        <v>Simply Energy</v>
      </c>
      <c r="B21" s="200" t="str">
        <f>'Tariff Jul 2020'!L15</f>
        <v>Saver</v>
      </c>
      <c r="C21" s="201">
        <f>IF('Tariff Jul 2020'!BP15=0,91*'Tariff Jul 2020'!M15/100,(91*'Tariff Jul 2020'!M15/100)+'Tariff Jul 2020'!BP15/4)</f>
        <v>88.27</v>
      </c>
      <c r="D21" s="201">
        <f>IF('Tariff Jul 2020'!O15="",$C$5*'Tariff Jul 2020'!N15/100,IF($C$5&gt;='Tariff Jul 2020'!P15,('Tariff Jul 2020'!P15*'Tariff Jul 2020'!N15/100),($C$5*'Tariff Jul 2020'!N15/100)))</f>
        <v>491.72727272727275</v>
      </c>
      <c r="E21" s="201">
        <f>IF(AND('Tariff Jul 2020'!P15&gt;0,'Tariff Jul 2020'!R15&gt;0),IF($C$5&lt;'Tariff Jul 2020'!P15,0,IF($C$5&lt;=('Tariff Jul 2020'!R15+'Tariff Jul 2020'!P15),(($C$5-'Tariff Jul 2020'!P15)*'Tariff Jul 2020'!Q15/100),(('Tariff Jul 2020'!R15)*'Tariff Jul 2020'!Q15/100))),0)</f>
        <v>0</v>
      </c>
      <c r="F21" s="202">
        <f>IF(AND('Tariff Jul 2020'!Q15&gt;0,'Tariff Jul 2020'!S15&gt;0),IF($C$5&lt;('Tariff Jul 2020'!R15+'Tariff Jul 2020'!P15),0,IF($C$5&lt;=('Tariff Jul 2020'!T15+'Tariff Jul 2020'!R15+'Tariff Jul 2020'!P15),(($C$5-('Tariff Jul 2020'!R15+'Tariff Jul 2020'!P15))*'Tariff Jul 2020'!S15/100),('Tariff Jul 2020'!T15*'Tariff Jul 2020'!S15/100))),0)</f>
        <v>0</v>
      </c>
      <c r="G21" s="201">
        <v>0</v>
      </c>
      <c r="H21" s="201">
        <f>IF(AND('Tariff Jul 2020'!R15&gt;0,'Tariff Jul 2020'!T15&gt;0),IF(($C$5&lt;'Tariff Jul 2020'!T15),(0),($C$5-'Tariff Jul 2020'!T15)*'Tariff Jul 2020'!U15/100),IF(AND('Tariff Jul 2020'!R15&gt;0,'Tariff Jul 2020'!T15=""),IF(($C$5&lt;'Tariff Jul 2020'!R15+'Tariff Jul 2020'!P15),(0),(($C$5-('Tariff Jul 2020'!R15+'Tariff Jul 2020'!P15))*'Tariff Jul 2020'!S15/100)),IF(AND('Tariff Jul 2020'!P15&gt;0,'Tariff Jul 2020'!R15=""&gt;0),IF(($C$5&lt;'Tariff Jul 2020'!P15),(0),($C$5-'Tariff Jul 2020'!P15)*'Tariff Jul 2020'!Q15/100),0)))</f>
        <v>0</v>
      </c>
      <c r="I21" s="201">
        <f t="shared" si="0"/>
        <v>579.99727272727273</v>
      </c>
      <c r="J21" s="252">
        <f t="shared" si="1"/>
        <v>1966.909090909091</v>
      </c>
      <c r="K21" s="203">
        <f t="shared" si="3"/>
        <v>2319.9890909090909</v>
      </c>
      <c r="L21" s="203">
        <f t="shared" si="4"/>
        <v>2551.9880000000003</v>
      </c>
      <c r="M21" s="200">
        <f>'Tariff Jul 2020'!AZ15</f>
        <v>0</v>
      </c>
      <c r="N21" s="200">
        <f>'Tariff Jul 2020'!BA15</f>
        <v>8</v>
      </c>
      <c r="O21" s="200">
        <f>'Tariff Jul 2020'!BB15</f>
        <v>0</v>
      </c>
      <c r="P21" s="200">
        <f>'Tariff Jul 2020'!BC15</f>
        <v>0</v>
      </c>
      <c r="Q21" s="204" t="str">
        <f t="shared" si="5"/>
        <v>Guaranteed off usage</v>
      </c>
      <c r="R21" s="205" t="str">
        <f t="shared" si="2"/>
        <v>Exclusive</v>
      </c>
      <c r="S21" s="254">
        <f t="shared" si="6"/>
        <v>2162.6363636363635</v>
      </c>
      <c r="T21" s="252">
        <f t="shared" si="7"/>
        <v>2162.6363636363635</v>
      </c>
      <c r="U21" s="260">
        <f t="shared" si="8"/>
        <v>2378.9</v>
      </c>
      <c r="V21" s="260">
        <f t="shared" si="8"/>
        <v>2378.9</v>
      </c>
      <c r="W21" s="206">
        <f>'Tariff Jul 2020'!BL15</f>
        <v>0</v>
      </c>
      <c r="X21" s="207" t="str">
        <f>'Tariff Jul 2020'!BM15</f>
        <v>n</v>
      </c>
    </row>
    <row r="22" spans="1:24" x14ac:dyDescent="0.15">
      <c r="A22" s="199" t="str">
        <f>'Tariff Jul 2020'!K16</f>
        <v>Amaysim</v>
      </c>
      <c r="B22" s="200" t="str">
        <f>'Tariff Jul 2020'!L16</f>
        <v>Post-paid Electricity</v>
      </c>
      <c r="C22" s="201">
        <f>IF('Tariff Jul 2020'!BP16=0,91*'Tariff Jul 2020'!M16/100,(91*'Tariff Jul 2020'!M16/100)+'Tariff Jul 2020'!BP16/4)</f>
        <v>77.35827272727272</v>
      </c>
      <c r="D22" s="201">
        <f>IF('Tariff Jul 2020'!O16="",$C$5*'Tariff Jul 2020'!N16/100,IF($C$5&gt;='Tariff Jul 2020'!P16,('Tariff Jul 2020'!P16*'Tariff Jul 2020'!N16/100),($C$5*'Tariff Jul 2020'!N16/100)))</f>
        <v>305.45454545454544</v>
      </c>
      <c r="E22" s="201">
        <f>IF(AND('Tariff Jul 2020'!P16&gt;0,'Tariff Jul 2020'!R16&gt;0),IF($C$5&lt;'Tariff Jul 2020'!P16,0,IF($C$5&lt;=('Tariff Jul 2020'!R16+'Tariff Jul 2020'!P16),(($C$5-'Tariff Jul 2020'!P16)*'Tariff Jul 2020'!Q16/100),(('Tariff Jul 2020'!R16)*'Tariff Jul 2020'!Q16/100))),0)</f>
        <v>0</v>
      </c>
      <c r="F22" s="202">
        <f>IF(AND('Tariff Jul 2020'!Q16&gt;0,'Tariff Jul 2020'!S16&gt;0),IF($C$5&lt;('Tariff Jul 2020'!R16+'Tariff Jul 2020'!P16),0,IF($C$5&lt;=('Tariff Jul 2020'!T16+'Tariff Jul 2020'!R16+'Tariff Jul 2020'!P16),(($C$5-('Tariff Jul 2020'!R16+'Tariff Jul 2020'!P16))*'Tariff Jul 2020'!S16/100),('Tariff Jul 2020'!T16*'Tariff Jul 2020'!S16/100))),0)</f>
        <v>0</v>
      </c>
      <c r="G22" s="201">
        <v>0</v>
      </c>
      <c r="H22" s="201">
        <f>IF(AND('Tariff Jul 2020'!R16&gt;0,'Tariff Jul 2020'!T16&gt;0),IF(($C$5&lt;'Tariff Jul 2020'!T16),(0),($C$5-'Tariff Jul 2020'!T16)*'Tariff Jul 2020'!U16/100),IF(AND('Tariff Jul 2020'!R16&gt;0,'Tariff Jul 2020'!T16=""),IF(($C$5&lt;'Tariff Jul 2020'!R16+'Tariff Jul 2020'!P16),(0),(($C$5-('Tariff Jul 2020'!R16+'Tariff Jul 2020'!P16))*'Tariff Jul 2020'!S16/100)),IF(AND('Tariff Jul 2020'!P16&gt;0,'Tariff Jul 2020'!R16=""&gt;0),IF(($C$5&lt;'Tariff Jul 2020'!P16),(0),($C$5-'Tariff Jul 2020'!P16)*'Tariff Jul 2020'!Q16/100),0)))</f>
        <v>152.72727272727272</v>
      </c>
      <c r="I22" s="201">
        <f t="shared" si="0"/>
        <v>535.54009090909085</v>
      </c>
      <c r="J22" s="252">
        <f t="shared" si="1"/>
        <v>1832.7272727272725</v>
      </c>
      <c r="K22" s="203">
        <f t="shared" si="3"/>
        <v>2142.1603636363634</v>
      </c>
      <c r="L22" s="203">
        <f t="shared" si="4"/>
        <v>2356.3764000000001</v>
      </c>
      <c r="M22" s="200">
        <f>'Tariff Jul 2020'!AZ16</f>
        <v>0</v>
      </c>
      <c r="N22" s="200">
        <f>'Tariff Jul 2020'!BA16</f>
        <v>0</v>
      </c>
      <c r="O22" s="200">
        <f>'Tariff Jul 2020'!BB16</f>
        <v>0</v>
      </c>
      <c r="P22" s="200">
        <f>'Tariff Jul 2020'!BC16</f>
        <v>0</v>
      </c>
      <c r="Q22" s="204" t="str">
        <f t="shared" si="5"/>
        <v>No discount</v>
      </c>
      <c r="R22" s="205" t="str">
        <f t="shared" si="2"/>
        <v>Exclusive</v>
      </c>
      <c r="S22" s="254">
        <f t="shared" si="6"/>
        <v>2142.1603636363634</v>
      </c>
      <c r="T22" s="252">
        <f t="shared" si="7"/>
        <v>2142.1603636363634</v>
      </c>
      <c r="U22" s="260">
        <f t="shared" si="8"/>
        <v>2356.3764000000001</v>
      </c>
      <c r="V22" s="260">
        <f t="shared" si="8"/>
        <v>2356.3764000000001</v>
      </c>
      <c r="W22" s="206">
        <f>'Tariff Jul 2020'!BL16</f>
        <v>0</v>
      </c>
      <c r="X22" s="207" t="str">
        <f>'Tariff Jul 2020'!BM16</f>
        <v>n</v>
      </c>
    </row>
    <row r="23" spans="1:24" x14ac:dyDescent="0.15">
      <c r="A23" s="199" t="str">
        <f>'Tariff Jul 2020'!K17</f>
        <v>Powershop</v>
      </c>
      <c r="B23" s="200" t="str">
        <f>'Tariff Jul 2020'!L17</f>
        <v>Shopper with Mega Pack</v>
      </c>
      <c r="C23" s="201">
        <f>IF('Tariff Jul 2020'!BP17=0,91*'Tariff Jul 2020'!M17/100,(91*'Tariff Jul 2020'!M17/100)+'Tariff Jul 2020'!BP17/4)</f>
        <v>94.300818181818158</v>
      </c>
      <c r="D23" s="201">
        <f>IF('Tariff Jul 2020'!O17="",$C$5*'Tariff Jul 2020'!N17/100,IF($C$5&gt;='Tariff Jul 2020'!P17,('Tariff Jul 2020'!P17*'Tariff Jul 2020'!N17/100),($C$5*'Tariff Jul 2020'!N17/100)))</f>
        <v>400.90909090909082</v>
      </c>
      <c r="E23" s="201">
        <f>IF(AND('Tariff Jul 2020'!P17&gt;0,'Tariff Jul 2020'!R17&gt;0),IF($C$5&lt;'Tariff Jul 2020'!P17,0,IF($C$5&lt;=('Tariff Jul 2020'!R17+'Tariff Jul 2020'!P17),(($C$5-'Tariff Jul 2020'!P17)*'Tariff Jul 2020'!Q17/100),(('Tariff Jul 2020'!R17)*'Tariff Jul 2020'!Q17/100))),0)</f>
        <v>0</v>
      </c>
      <c r="F23" s="202">
        <f>IF(AND('Tariff Jul 2020'!Q17&gt;0,'Tariff Jul 2020'!S17&gt;0),IF($C$5&lt;('Tariff Jul 2020'!R17+'Tariff Jul 2020'!P17),0,IF($C$5&lt;=('Tariff Jul 2020'!T17+'Tariff Jul 2020'!R17+'Tariff Jul 2020'!P17),(($C$5-('Tariff Jul 2020'!R17+'Tariff Jul 2020'!P17))*'Tariff Jul 2020'!S17/100),('Tariff Jul 2020'!T17*'Tariff Jul 2020'!S17/100))),0)</f>
        <v>0</v>
      </c>
      <c r="G23" s="201">
        <v>0</v>
      </c>
      <c r="H23" s="201">
        <f>IF(AND('Tariff Jul 2020'!R17&gt;0,'Tariff Jul 2020'!T17&gt;0),IF(($C$5&lt;'Tariff Jul 2020'!T17),(0),($C$5-'Tariff Jul 2020'!T17)*'Tariff Jul 2020'!U17/100),IF(AND('Tariff Jul 2020'!R17&gt;0,'Tariff Jul 2020'!T17=""),IF(($C$5&lt;'Tariff Jul 2020'!R17+'Tariff Jul 2020'!P17),(0),(($C$5-('Tariff Jul 2020'!R17+'Tariff Jul 2020'!P17))*'Tariff Jul 2020'!S17/100)),IF(AND('Tariff Jul 2020'!P17&gt;0,'Tariff Jul 2020'!R17=""&gt;0),IF(($C$5&lt;'Tariff Jul 2020'!P17),(0),($C$5-'Tariff Jul 2020'!P17)*'Tariff Jul 2020'!Q17/100),0)))</f>
        <v>0</v>
      </c>
      <c r="I23" s="201">
        <f t="shared" si="0"/>
        <v>495.20990909090898</v>
      </c>
      <c r="J23" s="252">
        <f t="shared" si="1"/>
        <v>1603.6363636363633</v>
      </c>
      <c r="K23" s="203">
        <f t="shared" si="3"/>
        <v>1980.8396363636359</v>
      </c>
      <c r="L23" s="203">
        <f t="shared" si="4"/>
        <v>2178.9235999999996</v>
      </c>
      <c r="M23" s="200">
        <f>'Tariff Jul 2020'!AZ17</f>
        <v>0</v>
      </c>
      <c r="N23" s="200">
        <f>'Tariff Jul 2020'!BA17</f>
        <v>0</v>
      </c>
      <c r="O23" s="200">
        <f>'Tariff Jul 2020'!BB17</f>
        <v>6</v>
      </c>
      <c r="P23" s="200">
        <f>'Tariff Jul 2020'!BC17</f>
        <v>0</v>
      </c>
      <c r="Q23" s="204" t="str">
        <f t="shared" si="5"/>
        <v>Pay-on-time off bill</v>
      </c>
      <c r="R23" s="205" t="str">
        <f t="shared" si="2"/>
        <v>Inclusive</v>
      </c>
      <c r="S23" s="254">
        <f t="shared" si="6"/>
        <v>1980.8396363636359</v>
      </c>
      <c r="T23" s="252">
        <f t="shared" si="7"/>
        <v>1861.9892581818176</v>
      </c>
      <c r="U23" s="260">
        <f t="shared" si="8"/>
        <v>2178.9235999999996</v>
      </c>
      <c r="V23" s="260">
        <f t="shared" si="8"/>
        <v>2048.1881839999996</v>
      </c>
      <c r="W23" s="206">
        <f>'Tariff Jul 2020'!BL17</f>
        <v>0</v>
      </c>
      <c r="X23" s="207" t="str">
        <f>'Tariff Jul 2020'!BM17</f>
        <v>n</v>
      </c>
    </row>
    <row r="24" spans="1:24" x14ac:dyDescent="0.15">
      <c r="A24" s="199" t="str">
        <f>'Tariff Jul 2020'!K18</f>
        <v>Powerclub</v>
      </c>
      <c r="B24" s="200" t="str">
        <f>'Tariff Jul 2020'!L18</f>
        <v>Powerbank Home</v>
      </c>
      <c r="C24" s="201">
        <f>IF('Tariff Jul 2020'!BP18=0,91*'Tariff Jul 2020'!M18/100,(91*'Tariff Jul 2020'!M18/100)+'Tariff Jul 2020'!BP18/4)</f>
        <v>80.662636363636366</v>
      </c>
      <c r="D24" s="201">
        <f>IF('Tariff Jul 2020'!O18="",$C$5*'Tariff Jul 2020'!N18/100,IF($C$5&gt;='Tariff Jul 2020'!P18,('Tariff Jul 2020'!P18*'Tariff Jul 2020'!N18/100),($C$5*'Tariff Jul 2020'!N18/100)))</f>
        <v>360.68181818181819</v>
      </c>
      <c r="E24" s="201">
        <f>IF(AND('Tariff Jul 2020'!P18&gt;0,'Tariff Jul 2020'!R18&gt;0),IF($C$5&lt;'Tariff Jul 2020'!P18,0,IF($C$5&lt;=('Tariff Jul 2020'!R18+'Tariff Jul 2020'!P18),(($C$5-'Tariff Jul 2020'!P18)*'Tariff Jul 2020'!Q18/100),(('Tariff Jul 2020'!R18)*'Tariff Jul 2020'!Q18/100))),0)</f>
        <v>0</v>
      </c>
      <c r="F24" s="202">
        <f>IF(AND('Tariff Jul 2020'!Q18&gt;0,'Tariff Jul 2020'!S18&gt;0),IF($C$5&lt;('Tariff Jul 2020'!R18+'Tariff Jul 2020'!P18),0,IF($C$5&lt;=('Tariff Jul 2020'!T18+'Tariff Jul 2020'!R18+'Tariff Jul 2020'!P18),(($C$5-('Tariff Jul 2020'!R18+'Tariff Jul 2020'!P18))*'Tariff Jul 2020'!S18/100),('Tariff Jul 2020'!T18*'Tariff Jul 2020'!S18/100))),0)</f>
        <v>0</v>
      </c>
      <c r="G24" s="201">
        <v>0</v>
      </c>
      <c r="H24" s="201">
        <f>IF(AND('Tariff Jul 2020'!R18&gt;0,'Tariff Jul 2020'!T18&gt;0),IF(($C$5&lt;'Tariff Jul 2020'!T18),(0),($C$5-'Tariff Jul 2020'!T18)*'Tariff Jul 2020'!U18/100),IF(AND('Tariff Jul 2020'!R18&gt;0,'Tariff Jul 2020'!T18=""),IF(($C$5&lt;'Tariff Jul 2020'!R18+'Tariff Jul 2020'!P18),(0),(($C$5-('Tariff Jul 2020'!R18+'Tariff Jul 2020'!P18))*'Tariff Jul 2020'!S18/100)),IF(AND('Tariff Jul 2020'!P18&gt;0,'Tariff Jul 2020'!R18=""&gt;0),IF(($C$5&lt;'Tariff Jul 2020'!P18),(0),($C$5-'Tariff Jul 2020'!P18)*'Tariff Jul 2020'!Q18/100),0)))</f>
        <v>0</v>
      </c>
      <c r="I24" s="201">
        <f t="shared" si="0"/>
        <v>441.34445454545454</v>
      </c>
      <c r="J24" s="252">
        <f t="shared" si="1"/>
        <v>1442.7272727272727</v>
      </c>
      <c r="K24" s="203">
        <f t="shared" si="3"/>
        <v>1765.3778181818182</v>
      </c>
      <c r="L24" s="203">
        <f t="shared" si="4"/>
        <v>1941.9156</v>
      </c>
      <c r="M24" s="200">
        <f>'Tariff Jul 2020'!AZ18</f>
        <v>0</v>
      </c>
      <c r="N24" s="200">
        <f>'Tariff Jul 2020'!BA18</f>
        <v>0</v>
      </c>
      <c r="O24" s="200">
        <f>'Tariff Jul 2020'!BB18</f>
        <v>0</v>
      </c>
      <c r="P24" s="200">
        <f>'Tariff Jul 2020'!BC18</f>
        <v>0</v>
      </c>
      <c r="Q24" s="204" t="str">
        <f t="shared" si="5"/>
        <v>No discount</v>
      </c>
      <c r="R24" s="205" t="str">
        <f t="shared" si="2"/>
        <v>Exclusive</v>
      </c>
      <c r="S24" s="254">
        <f t="shared" si="6"/>
        <v>1765.3778181818182</v>
      </c>
      <c r="T24" s="252">
        <f t="shared" si="7"/>
        <v>1765.3778181818182</v>
      </c>
      <c r="U24" s="260">
        <f t="shared" si="8"/>
        <v>1941.9156</v>
      </c>
      <c r="V24" s="260">
        <f t="shared" si="8"/>
        <v>1941.9156</v>
      </c>
      <c r="W24" s="206">
        <f>'Tariff Jul 2020'!BL18</f>
        <v>0</v>
      </c>
      <c r="X24" s="207" t="str">
        <f>'Tariff Jul 2020'!BM18</f>
        <v>n</v>
      </c>
    </row>
    <row r="25" spans="1:24" x14ac:dyDescent="0.15">
      <c r="A25" s="199" t="str">
        <f>'Tariff Jul 2020'!K19</f>
        <v>Amber Electric</v>
      </c>
      <c r="B25" s="200" t="str">
        <f>'Tariff Jul 2020'!L19</f>
        <v>Amber 10</v>
      </c>
      <c r="C25" s="201">
        <f>IF('Tariff Jul 2020'!BP19=0,91*'Tariff Jul 2020'!M19/100,(91*'Tariff Jul 2020'!M19/100)+'Tariff Jul 2020'!BP19/4)</f>
        <v>104.04363636363635</v>
      </c>
      <c r="D25" s="201">
        <f>IF('Tariff Jul 2020'!O19="",$C$5*'Tariff Jul 2020'!N19/100,IF($C$5&gt;='Tariff Jul 2020'!P19,('Tariff Jul 2020'!P19*'Tariff Jul 2020'!N19/100),($C$5*'Tariff Jul 2020'!N19/100)))</f>
        <v>468.13636363636351</v>
      </c>
      <c r="E25" s="201">
        <f>IF(AND('Tariff Jul 2020'!P19&gt;0,'Tariff Jul 2020'!R19&gt;0),IF($C$5&lt;'Tariff Jul 2020'!P19,0,IF($C$5&lt;=('Tariff Jul 2020'!R19+'Tariff Jul 2020'!P19),(($C$5-'Tariff Jul 2020'!P19)*'Tariff Jul 2020'!Q19/100),(('Tariff Jul 2020'!R19)*'Tariff Jul 2020'!Q19/100))),0)</f>
        <v>0</v>
      </c>
      <c r="F25" s="202">
        <f>IF(AND('Tariff Jul 2020'!Q19&gt;0,'Tariff Jul 2020'!S19&gt;0),IF($C$5&lt;('Tariff Jul 2020'!R19+'Tariff Jul 2020'!P19),0,IF($C$5&lt;=('Tariff Jul 2020'!T19+'Tariff Jul 2020'!R19+'Tariff Jul 2020'!P19),(($C$5-('Tariff Jul 2020'!R19+'Tariff Jul 2020'!P19))*'Tariff Jul 2020'!S19/100),('Tariff Jul 2020'!T19*'Tariff Jul 2020'!S19/100))),0)</f>
        <v>0</v>
      </c>
      <c r="G25" s="201">
        <v>0</v>
      </c>
      <c r="H25" s="201">
        <f>IF(AND('Tariff Jul 2020'!R19&gt;0,'Tariff Jul 2020'!T19&gt;0),IF(($C$5&lt;'Tariff Jul 2020'!T19),(0),($C$5-'Tariff Jul 2020'!T19)*'Tariff Jul 2020'!U19/100),IF(AND('Tariff Jul 2020'!R19&gt;0,'Tariff Jul 2020'!T19=""),IF(($C$5&lt;'Tariff Jul 2020'!R19+'Tariff Jul 2020'!P19),(0),(($C$5-('Tariff Jul 2020'!R19+'Tariff Jul 2020'!P19))*'Tariff Jul 2020'!S19/100)),IF(AND('Tariff Jul 2020'!P19&gt;0,'Tariff Jul 2020'!R19=""&gt;0),IF(($C$5&lt;'Tariff Jul 2020'!P19),(0),($C$5-'Tariff Jul 2020'!P19)*'Tariff Jul 2020'!Q19/100),0)))</f>
        <v>0</v>
      </c>
      <c r="I25" s="201">
        <f t="shared" si="0"/>
        <v>572.17999999999984</v>
      </c>
      <c r="J25" s="252">
        <f t="shared" si="1"/>
        <v>1872.545454545454</v>
      </c>
      <c r="K25" s="203">
        <f>I25*4</f>
        <v>2288.7199999999993</v>
      </c>
      <c r="L25" s="203">
        <f t="shared" si="4"/>
        <v>2517.5919999999996</v>
      </c>
      <c r="M25" s="200">
        <f>'Tariff Jul 2020'!AZ19</f>
        <v>0</v>
      </c>
      <c r="N25" s="200">
        <f>'Tariff Jul 2020'!BA19</f>
        <v>0</v>
      </c>
      <c r="O25" s="200">
        <f>'Tariff Jul 2020'!BB19</f>
        <v>0</v>
      </c>
      <c r="P25" s="200">
        <f>'Tariff Jul 2020'!BC19</f>
        <v>0</v>
      </c>
      <c r="Q25" s="204" t="str">
        <f t="shared" si="5"/>
        <v>No discount</v>
      </c>
      <c r="R25" s="205" t="str">
        <f t="shared" si="2"/>
        <v>Exclusive</v>
      </c>
      <c r="S25" s="254">
        <f t="shared" si="6"/>
        <v>2288.7199999999993</v>
      </c>
      <c r="T25" s="252">
        <f t="shared" si="7"/>
        <v>2288.7199999999993</v>
      </c>
      <c r="U25" s="260">
        <f t="shared" ref="U25:V25" si="9">S25*1.1</f>
        <v>2517.5919999999996</v>
      </c>
      <c r="V25" s="260">
        <f t="shared" si="9"/>
        <v>2517.5919999999996</v>
      </c>
      <c r="W25" s="206">
        <f>'Tariff Jul 2020'!BL19</f>
        <v>0</v>
      </c>
      <c r="X25" s="207" t="str">
        <f>'Tariff Jul 2020'!BM19</f>
        <v>n</v>
      </c>
    </row>
    <row r="26" spans="1:24" x14ac:dyDescent="0.15">
      <c r="A26" s="199" t="str">
        <f>'Tariff Jul 2020'!K20</f>
        <v>DC Power Co</v>
      </c>
      <c r="B26" s="200" t="str">
        <f>'Tariff Jul 2020'!L20</f>
        <v>Market offer</v>
      </c>
      <c r="C26" s="201">
        <f>IF('Tariff Jul 2020'!BP20=0,91*'Tariff Jul 2020'!M20/100,(91*'Tariff Jul 2020'!M20/100)+'Tariff Jul 2020'!BP20/4)</f>
        <v>117.83154545454545</v>
      </c>
      <c r="D26" s="201">
        <f>IF('Tariff Jul 2020'!O20="",$C$5*'Tariff Jul 2020'!N20/100,IF($C$5&gt;='Tariff Jul 2020'!P20,('Tariff Jul 2020'!P20*'Tariff Jul 2020'!N20/100),($C$5*'Tariff Jul 2020'!N20/100)))</f>
        <v>453.40909090909082</v>
      </c>
      <c r="E26" s="201">
        <f>IF(AND('Tariff Jul 2020'!P20&gt;0,'Tariff Jul 2020'!R20&gt;0),IF($C$5&lt;'Tariff Jul 2020'!P20,0,IF($C$5&lt;=('Tariff Jul 2020'!R20+'Tariff Jul 2020'!P20),(($C$5-'Tariff Jul 2020'!P20)*'Tariff Jul 2020'!Q20/100),(('Tariff Jul 2020'!R20)*'Tariff Jul 2020'!Q20/100))),0)</f>
        <v>0</v>
      </c>
      <c r="F26" s="202">
        <f>IF(AND('Tariff Jul 2020'!Q20&gt;0,'Tariff Jul 2020'!S20&gt;0),IF($C$5&lt;('Tariff Jul 2020'!R20+'Tariff Jul 2020'!P20),0,IF($C$5&lt;=('Tariff Jul 2020'!T20+'Tariff Jul 2020'!R20+'Tariff Jul 2020'!P20),(($C$5-('Tariff Jul 2020'!R20+'Tariff Jul 2020'!P20))*'Tariff Jul 2020'!S20/100),('Tariff Jul 2020'!T20*'Tariff Jul 2020'!S20/100))),0)</f>
        <v>0</v>
      </c>
      <c r="G26" s="201">
        <v>0</v>
      </c>
      <c r="H26" s="201">
        <f>IF(AND('Tariff Jul 2020'!R20&gt;0,'Tariff Jul 2020'!T20&gt;0),IF(($C$5&lt;'Tariff Jul 2020'!T20),(0),($C$5-'Tariff Jul 2020'!T20)*'Tariff Jul 2020'!U20/100),IF(AND('Tariff Jul 2020'!R20&gt;0,'Tariff Jul 2020'!T20=""),IF(($C$5&lt;'Tariff Jul 2020'!R20+'Tariff Jul 2020'!P20),(0),(($C$5-('Tariff Jul 2020'!R20+'Tariff Jul 2020'!P20))*'Tariff Jul 2020'!S20/100)),IF(AND('Tariff Jul 2020'!P20&gt;0,'Tariff Jul 2020'!R20=""&gt;0),IF(($C$5&lt;'Tariff Jul 2020'!P20),(0),($C$5-'Tariff Jul 2020'!P20)*'Tariff Jul 2020'!Q20/100),0)))</f>
        <v>0</v>
      </c>
      <c r="I26" s="201">
        <f t="shared" ref="I26:I32" si="10">SUM(C26:H26)</f>
        <v>571.24063636363621</v>
      </c>
      <c r="J26" s="252">
        <f t="shared" ref="J26:J32" si="11">(I26-C26)*4</f>
        <v>1813.6363636363631</v>
      </c>
      <c r="K26" s="203">
        <f t="shared" ref="K26:K32" si="12">I26*4</f>
        <v>2284.9625454545449</v>
      </c>
      <c r="L26" s="203">
        <f t="shared" ref="L26:L32" si="13">K26*1.1</f>
        <v>2513.4587999999994</v>
      </c>
      <c r="M26" s="200">
        <f>'Tariff Jul 2020'!AZ20</f>
        <v>0</v>
      </c>
      <c r="N26" s="200">
        <f>'Tariff Jul 2020'!BA20</f>
        <v>0</v>
      </c>
      <c r="O26" s="200">
        <f>'Tariff Jul 2020'!BB20</f>
        <v>0</v>
      </c>
      <c r="P26" s="200">
        <f>'Tariff Jul 2020'!BC20</f>
        <v>0</v>
      </c>
      <c r="Q26" s="204" t="str">
        <f t="shared" ref="Q26:Q32" si="14">IF(SUM(M26:P26)=0,"No discount",IF(M26&gt;0,"Guaranteed off bill",IF(N26&gt;0,"Guaranteed off usage",IF(O26&gt;0,"Pay-on-time off bill","Pay-on-time off usage"))))</f>
        <v>No discount</v>
      </c>
      <c r="R26" s="205" t="str">
        <f t="shared" ref="R26:R32" si="15">IF(OR(A26="Origin Energy",A26="Red Energy",A26="Powershop"),"Inclusive","Exclusive")</f>
        <v>Exclusive</v>
      </c>
      <c r="S26" s="254">
        <f t="shared" ref="S26:S32" si="16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2284.9625454545449</v>
      </c>
      <c r="T26" s="252">
        <f t="shared" ref="T26:T32" si="17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2284.9625454545449</v>
      </c>
      <c r="U26" s="260">
        <f t="shared" ref="U26:U32" si="18">S26*1.1</f>
        <v>2513.4587999999994</v>
      </c>
      <c r="V26" s="260">
        <f t="shared" ref="V26:V32" si="19">T26*1.1</f>
        <v>2513.4587999999994</v>
      </c>
      <c r="W26" s="206">
        <f>'Tariff Jul 2020'!BL20</f>
        <v>0</v>
      </c>
      <c r="X26" s="207" t="str">
        <f>'Tariff Jul 2020'!BM20</f>
        <v>n</v>
      </c>
    </row>
    <row r="27" spans="1:24" x14ac:dyDescent="0.15">
      <c r="A27" s="199" t="str">
        <f>'Tariff Jul 2020'!K21</f>
        <v>Discover Energy</v>
      </c>
      <c r="B27" s="200" t="str">
        <f>'Tariff Jul 2020'!L21</f>
        <v>Economy Saver</v>
      </c>
      <c r="C27" s="201">
        <f>IF('Tariff Jul 2020'!BP21=0,91*'Tariff Jul 2020'!M21/100,(91*'Tariff Jul 2020'!M21/100)+'Tariff Jul 2020'!BP21/4)</f>
        <v>86.044636363636357</v>
      </c>
      <c r="D27" s="201">
        <f>IF('Tariff Jul 2020'!O21="",$C$5*'Tariff Jul 2020'!N21/100,IF($C$5&gt;='Tariff Jul 2020'!P21,('Tariff Jul 2020'!P21*'Tariff Jul 2020'!N21/100),($C$5*'Tariff Jul 2020'!N21/100)))</f>
        <v>494.99999999999994</v>
      </c>
      <c r="E27" s="201">
        <f>IF(AND('Tariff Jul 2020'!P21&gt;0,'Tariff Jul 2020'!R21&gt;0),IF($C$5&lt;'Tariff Jul 2020'!P21,0,IF($C$5&lt;=('Tariff Jul 2020'!R21+'Tariff Jul 2020'!P21),(($C$5-'Tariff Jul 2020'!P21)*'Tariff Jul 2020'!Q21/100),(('Tariff Jul 2020'!R21)*'Tariff Jul 2020'!Q21/100))),0)</f>
        <v>0</v>
      </c>
      <c r="F27" s="202">
        <f>IF(AND('Tariff Jul 2020'!Q21&gt;0,'Tariff Jul 2020'!S21&gt;0),IF($C$5&lt;('Tariff Jul 2020'!R21+'Tariff Jul 2020'!P21),0,IF($C$5&lt;=('Tariff Jul 2020'!T21+'Tariff Jul 2020'!R21+'Tariff Jul 2020'!P21),(($C$5-('Tariff Jul 2020'!R21+'Tariff Jul 2020'!P21))*'Tariff Jul 2020'!S21/100),('Tariff Jul 2020'!T21*'Tariff Jul 2020'!S21/100))),0)</f>
        <v>0</v>
      </c>
      <c r="G27" s="201">
        <v>0</v>
      </c>
      <c r="H27" s="201">
        <f>IF(AND('Tariff Jul 2020'!R21&gt;0,'Tariff Jul 2020'!T21&gt;0),IF(($C$5&lt;'Tariff Jul 2020'!T21),(0),($C$5-'Tariff Jul 2020'!T21)*'Tariff Jul 2020'!U21/100),IF(AND('Tariff Jul 2020'!R21&gt;0,'Tariff Jul 2020'!T21=""),IF(($C$5&lt;'Tariff Jul 2020'!R21+'Tariff Jul 2020'!P21),(0),(($C$5-('Tariff Jul 2020'!R21+'Tariff Jul 2020'!P21))*'Tariff Jul 2020'!S21/100)),IF(AND('Tariff Jul 2020'!P21&gt;0,'Tariff Jul 2020'!R21=""&gt;0),IF(($C$5&lt;'Tariff Jul 2020'!P21),(0),($C$5-'Tariff Jul 2020'!P21)*'Tariff Jul 2020'!Q21/100),0)))</f>
        <v>0</v>
      </c>
      <c r="I27" s="201">
        <f t="shared" si="10"/>
        <v>581.0446363636363</v>
      </c>
      <c r="J27" s="252">
        <f t="shared" si="11"/>
        <v>1979.9999999999998</v>
      </c>
      <c r="K27" s="203">
        <f t="shared" si="12"/>
        <v>2324.1785454545452</v>
      </c>
      <c r="L27" s="203">
        <f t="shared" si="13"/>
        <v>2556.5963999999999</v>
      </c>
      <c r="M27" s="200">
        <f>'Tariff Jul 2020'!AZ21</f>
        <v>0</v>
      </c>
      <c r="N27" s="200">
        <f>'Tariff Jul 2020'!BA21</f>
        <v>10</v>
      </c>
      <c r="O27" s="200">
        <f>'Tariff Jul 2020'!BB21</f>
        <v>0</v>
      </c>
      <c r="P27" s="200">
        <f>'Tariff Jul 2020'!BC21</f>
        <v>0</v>
      </c>
      <c r="Q27" s="204" t="str">
        <f t="shared" si="14"/>
        <v>Guaranteed off usage</v>
      </c>
      <c r="R27" s="205" t="str">
        <f t="shared" si="15"/>
        <v>Exclusive</v>
      </c>
      <c r="S27" s="254">
        <f t="shared" si="16"/>
        <v>2126.1785454545452</v>
      </c>
      <c r="T27" s="252">
        <f t="shared" si="17"/>
        <v>2126.1785454545452</v>
      </c>
      <c r="U27" s="260">
        <f t="shared" si="18"/>
        <v>2338.7963999999997</v>
      </c>
      <c r="V27" s="260">
        <f t="shared" si="19"/>
        <v>2338.7963999999997</v>
      </c>
      <c r="W27" s="206">
        <f>'Tariff Jul 2020'!BL21</f>
        <v>0</v>
      </c>
      <c r="X27" s="207" t="str">
        <f>'Tariff Jul 2020'!BM21</f>
        <v>n</v>
      </c>
    </row>
    <row r="28" spans="1:24" x14ac:dyDescent="0.15">
      <c r="A28" s="199" t="str">
        <f>'Tariff Jul 2020'!K22</f>
        <v>Future X Power</v>
      </c>
      <c r="B28" s="200" t="str">
        <f>'Tariff Jul 2020'!L22</f>
        <v>Flexi Saver</v>
      </c>
      <c r="C28" s="201">
        <f>IF('Tariff Jul 2020'!BP22=0,91*'Tariff Jul 2020'!M22/100,(91*'Tariff Jul 2020'!M22/100)+'Tariff Jul 2020'!BP22/4)</f>
        <v>78.077999999999989</v>
      </c>
      <c r="D28" s="201">
        <f>IF('Tariff Jul 2020'!O22="",$C$5*'Tariff Jul 2020'!N22/100,IF($C$5&gt;='Tariff Jul 2020'!P22,('Tariff Jul 2020'!P22*'Tariff Jul 2020'!N22/100),($C$5*'Tariff Jul 2020'!N22/100)))</f>
        <v>423.81818181818176</v>
      </c>
      <c r="E28" s="201">
        <f>IF(AND('Tariff Jul 2020'!P22&gt;0,'Tariff Jul 2020'!R22&gt;0),IF($C$5&lt;'Tariff Jul 2020'!P22,0,IF($C$5&lt;=('Tariff Jul 2020'!R22+'Tariff Jul 2020'!P22),(($C$5-'Tariff Jul 2020'!P22)*'Tariff Jul 2020'!Q22/100),(('Tariff Jul 2020'!R22)*'Tariff Jul 2020'!Q22/100))),0)</f>
        <v>0</v>
      </c>
      <c r="F28" s="202">
        <f>IF(AND('Tariff Jul 2020'!Q22&gt;0,'Tariff Jul 2020'!S22&gt;0),IF($C$5&lt;('Tariff Jul 2020'!R22+'Tariff Jul 2020'!P22),0,IF($C$5&lt;=('Tariff Jul 2020'!T22+'Tariff Jul 2020'!R22+'Tariff Jul 2020'!P22),(($C$5-('Tariff Jul 2020'!R22+'Tariff Jul 2020'!P22))*'Tariff Jul 2020'!S22/100),('Tariff Jul 2020'!T22*'Tariff Jul 2020'!S22/100))),0)</f>
        <v>0</v>
      </c>
      <c r="G28" s="201">
        <v>0</v>
      </c>
      <c r="H28" s="201">
        <f>IF(AND('Tariff Jul 2020'!R22&gt;0,'Tariff Jul 2020'!T22&gt;0),IF(($C$5&lt;'Tariff Jul 2020'!T22),(0),($C$5-'Tariff Jul 2020'!T22)*'Tariff Jul 2020'!U22/100),IF(AND('Tariff Jul 2020'!R22&gt;0,'Tariff Jul 2020'!T22=""),IF(($C$5&lt;'Tariff Jul 2020'!R22+'Tariff Jul 2020'!P22),(0),(($C$5-('Tariff Jul 2020'!R22+'Tariff Jul 2020'!P22))*'Tariff Jul 2020'!S22/100)),IF(AND('Tariff Jul 2020'!P22&gt;0,'Tariff Jul 2020'!R22=""&gt;0),IF(($C$5&lt;'Tariff Jul 2020'!P22),(0),($C$5-'Tariff Jul 2020'!P22)*'Tariff Jul 2020'!Q22/100),0)))</f>
        <v>0</v>
      </c>
      <c r="I28" s="201">
        <f t="shared" si="10"/>
        <v>501.89618181818173</v>
      </c>
      <c r="J28" s="252">
        <f t="shared" si="11"/>
        <v>1695.272727272727</v>
      </c>
      <c r="K28" s="203">
        <f t="shared" si="12"/>
        <v>2007.5847272727269</v>
      </c>
      <c r="L28" s="203">
        <f t="shared" si="13"/>
        <v>2208.3431999999998</v>
      </c>
      <c r="M28" s="200">
        <f>'Tariff Jul 2020'!AZ22</f>
        <v>0</v>
      </c>
      <c r="N28" s="200">
        <f>'Tariff Jul 2020'!BA22</f>
        <v>0</v>
      </c>
      <c r="O28" s="200">
        <f>'Tariff Jul 2020'!BB22</f>
        <v>0</v>
      </c>
      <c r="P28" s="200">
        <f>'Tariff Jul 2020'!BC22</f>
        <v>0</v>
      </c>
      <c r="Q28" s="204" t="str">
        <f t="shared" si="14"/>
        <v>No discount</v>
      </c>
      <c r="R28" s="205" t="str">
        <f t="shared" si="15"/>
        <v>Exclusive</v>
      </c>
      <c r="S28" s="254">
        <f t="shared" si="16"/>
        <v>2007.5847272727269</v>
      </c>
      <c r="T28" s="252">
        <f t="shared" si="17"/>
        <v>2007.5847272727269</v>
      </c>
      <c r="U28" s="260">
        <f t="shared" si="18"/>
        <v>2208.3431999999998</v>
      </c>
      <c r="V28" s="260">
        <f t="shared" si="19"/>
        <v>2208.3431999999998</v>
      </c>
      <c r="W28" s="206">
        <f>'Tariff Jul 2020'!BL22</f>
        <v>0</v>
      </c>
      <c r="X28" s="207" t="str">
        <f>'Tariff Jul 2020'!BM22</f>
        <v>n</v>
      </c>
    </row>
    <row r="29" spans="1:24" x14ac:dyDescent="0.15">
      <c r="A29" s="199" t="str">
        <f>'Tariff Jul 2020'!K23</f>
        <v>GloBird Energy</v>
      </c>
      <c r="B29" s="200" t="str">
        <f>'Tariff Jul 2020'!L23</f>
        <v>GloSave</v>
      </c>
      <c r="C29" s="201">
        <f>IF('Tariff Jul 2020'!BP23=0,91*'Tariff Jul 2020'!M23/100,(91*'Tariff Jul 2020'!M23/100)+'Tariff Jul 2020'!BP23/4)</f>
        <v>90.999999999999986</v>
      </c>
      <c r="D29" s="201">
        <f>IF('Tariff Jul 2020'!O23="",$C$5*'Tariff Jul 2020'!N23/100,IF($C$5&gt;='Tariff Jul 2020'!P23,('Tariff Jul 2020'!P23*'Tariff Jul 2020'!N23/100),($C$5*'Tariff Jul 2020'!N23/100)))</f>
        <v>257</v>
      </c>
      <c r="E29" s="201">
        <f>IF(AND('Tariff Jul 2020'!P23&gt;0,'Tariff Jul 2020'!R23&gt;0),IF($C$5&lt;'Tariff Jul 2020'!P23,0,IF($C$5&lt;=('Tariff Jul 2020'!R23+'Tariff Jul 2020'!P23),(($C$5-'Tariff Jul 2020'!P23)*'Tariff Jul 2020'!Q23/100),(('Tariff Jul 2020'!R23)*'Tariff Jul 2020'!Q23/100))),0)</f>
        <v>0</v>
      </c>
      <c r="F29" s="202">
        <f>IF(AND('Tariff Jul 2020'!Q23&gt;0,'Tariff Jul 2020'!S23&gt;0),IF($C$5&lt;('Tariff Jul 2020'!R23+'Tariff Jul 2020'!P23),0,IF($C$5&lt;=('Tariff Jul 2020'!T23+'Tariff Jul 2020'!R23+'Tariff Jul 2020'!P23),(($C$5-('Tariff Jul 2020'!R23+'Tariff Jul 2020'!P23))*'Tariff Jul 2020'!S23/100),('Tariff Jul 2020'!T23*'Tariff Jul 2020'!S23/100))),0)</f>
        <v>0</v>
      </c>
      <c r="G29" s="201">
        <v>0</v>
      </c>
      <c r="H29" s="201">
        <f>IF(AND('Tariff Jul 2020'!R23&gt;0,'Tariff Jul 2020'!T23&gt;0),IF(($C$5&lt;'Tariff Jul 2020'!T23),(0),($C$5-'Tariff Jul 2020'!T23)*'Tariff Jul 2020'!U23/100),IF(AND('Tariff Jul 2020'!R23&gt;0,'Tariff Jul 2020'!T23=""),IF(($C$5&lt;'Tariff Jul 2020'!R23+'Tariff Jul 2020'!P23),(0),(($C$5-('Tariff Jul 2020'!R23+'Tariff Jul 2020'!P23))*'Tariff Jul 2020'!S23/100)),IF(AND('Tariff Jul 2020'!P23&gt;0,'Tariff Jul 2020'!R23=""&gt;0),IF(($C$5&lt;'Tariff Jul 2020'!P23),(0),($C$5-'Tariff Jul 2020'!P23)*'Tariff Jul 2020'!Q23/100),0)))</f>
        <v>169.99999999999997</v>
      </c>
      <c r="I29" s="201">
        <f t="shared" si="10"/>
        <v>518</v>
      </c>
      <c r="J29" s="252">
        <f t="shared" si="11"/>
        <v>1708</v>
      </c>
      <c r="K29" s="203">
        <f t="shared" si="12"/>
        <v>2072</v>
      </c>
      <c r="L29" s="203">
        <f t="shared" si="13"/>
        <v>2279.2000000000003</v>
      </c>
      <c r="M29" s="200">
        <f>'Tariff Jul 2020'!AZ23</f>
        <v>0</v>
      </c>
      <c r="N29" s="200">
        <f>'Tariff Jul 2020'!BA23</f>
        <v>0</v>
      </c>
      <c r="O29" s="200">
        <f>'Tariff Jul 2020'!BB23</f>
        <v>7</v>
      </c>
      <c r="P29" s="200">
        <f>'Tariff Jul 2020'!BC23</f>
        <v>0</v>
      </c>
      <c r="Q29" s="204" t="str">
        <f t="shared" si="14"/>
        <v>Pay-on-time off bill</v>
      </c>
      <c r="R29" s="205" t="str">
        <f t="shared" si="15"/>
        <v>Exclusive</v>
      </c>
      <c r="S29" s="254">
        <f t="shared" si="16"/>
        <v>2072</v>
      </c>
      <c r="T29" s="252">
        <f t="shared" si="17"/>
        <v>1926.96</v>
      </c>
      <c r="U29" s="260">
        <f t="shared" si="18"/>
        <v>2279.2000000000003</v>
      </c>
      <c r="V29" s="260">
        <f t="shared" si="19"/>
        <v>2119.6560000000004</v>
      </c>
      <c r="W29" s="206">
        <f>'Tariff Jul 2020'!BL23</f>
        <v>0</v>
      </c>
      <c r="X29" s="207" t="str">
        <f>'Tariff Jul 2020'!BM23</f>
        <v>n</v>
      </c>
    </row>
    <row r="30" spans="1:24" x14ac:dyDescent="0.15">
      <c r="A30" s="199" t="str">
        <f>'Tariff Jul 2020'!K24</f>
        <v>Kogan Energy</v>
      </c>
      <c r="B30" s="200" t="str">
        <f>'Tariff Jul 2020'!L24</f>
        <v>Market offer</v>
      </c>
      <c r="C30" s="201">
        <f>IF('Tariff Jul 2020'!BP24=0,91*'Tariff Jul 2020'!M24/100,(91*'Tariff Jul 2020'!M24/100)+'Tariff Jul 2020'!BP24/4)</f>
        <v>96.939818181818197</v>
      </c>
      <c r="D30" s="201">
        <f>IF('Tariff Jul 2020'!O24="",$C$5*'Tariff Jul 2020'!N24/100,IF($C$5&gt;='Tariff Jul 2020'!P24,('Tariff Jul 2020'!P24*'Tariff Jul 2020'!N24/100),($C$5*'Tariff Jul 2020'!N24/100)))</f>
        <v>356.86363636363632</v>
      </c>
      <c r="E30" s="201">
        <f>IF(AND('Tariff Jul 2020'!P24&gt;0,'Tariff Jul 2020'!R24&gt;0),IF($C$5&lt;'Tariff Jul 2020'!P24,0,IF($C$5&lt;=('Tariff Jul 2020'!R24+'Tariff Jul 2020'!P24),(($C$5-'Tariff Jul 2020'!P24)*'Tariff Jul 2020'!Q24/100),(('Tariff Jul 2020'!R24)*'Tariff Jul 2020'!Q24/100))),0)</f>
        <v>0</v>
      </c>
      <c r="F30" s="202">
        <f>IF(AND('Tariff Jul 2020'!Q24&gt;0,'Tariff Jul 2020'!S24&gt;0),IF($C$5&lt;('Tariff Jul 2020'!R24+'Tariff Jul 2020'!P24),0,IF($C$5&lt;=('Tariff Jul 2020'!T24+'Tariff Jul 2020'!R24+'Tariff Jul 2020'!P24),(($C$5-('Tariff Jul 2020'!R24+'Tariff Jul 2020'!P24))*'Tariff Jul 2020'!S24/100),('Tariff Jul 2020'!T24*'Tariff Jul 2020'!S24/100))),0)</f>
        <v>0</v>
      </c>
      <c r="G30" s="201">
        <v>0</v>
      </c>
      <c r="H30" s="201">
        <f>IF(AND('Tariff Jul 2020'!R24&gt;0,'Tariff Jul 2020'!T24&gt;0),IF(($C$5&lt;'Tariff Jul 2020'!T24),(0),($C$5-'Tariff Jul 2020'!T24)*'Tariff Jul 2020'!U24/100),IF(AND('Tariff Jul 2020'!R24&gt;0,'Tariff Jul 2020'!T24=""),IF(($C$5&lt;'Tariff Jul 2020'!R24+'Tariff Jul 2020'!P24),(0),(($C$5-('Tariff Jul 2020'!R24+'Tariff Jul 2020'!P24))*'Tariff Jul 2020'!S24/100)),IF(AND('Tariff Jul 2020'!P24&gt;0,'Tariff Jul 2020'!R24=""&gt;0),IF(($C$5&lt;'Tariff Jul 2020'!P24),(0),($C$5-'Tariff Jul 2020'!P24)*'Tariff Jul 2020'!Q24/100),0)))</f>
        <v>0</v>
      </c>
      <c r="I30" s="201">
        <f t="shared" si="10"/>
        <v>453.80345454545454</v>
      </c>
      <c r="J30" s="252">
        <f t="shared" si="11"/>
        <v>1427.4545454545455</v>
      </c>
      <c r="K30" s="203">
        <f t="shared" si="12"/>
        <v>1815.2138181818182</v>
      </c>
      <c r="L30" s="203">
        <f t="shared" si="13"/>
        <v>1996.7352000000001</v>
      </c>
      <c r="M30" s="200">
        <f>'Tariff Jul 2020'!AZ24</f>
        <v>0</v>
      </c>
      <c r="N30" s="200">
        <f>'Tariff Jul 2020'!BA24</f>
        <v>0</v>
      </c>
      <c r="O30" s="200">
        <f>'Tariff Jul 2020'!BB24</f>
        <v>0</v>
      </c>
      <c r="P30" s="200">
        <f>'Tariff Jul 2020'!BC24</f>
        <v>0</v>
      </c>
      <c r="Q30" s="204" t="str">
        <f t="shared" si="14"/>
        <v>No discount</v>
      </c>
      <c r="R30" s="205" t="str">
        <f t="shared" si="15"/>
        <v>Exclusive</v>
      </c>
      <c r="S30" s="254">
        <f t="shared" si="16"/>
        <v>1815.2138181818182</v>
      </c>
      <c r="T30" s="252">
        <f t="shared" si="17"/>
        <v>1815.2138181818182</v>
      </c>
      <c r="U30" s="260">
        <f t="shared" si="18"/>
        <v>1996.7352000000001</v>
      </c>
      <c r="V30" s="260">
        <f t="shared" si="19"/>
        <v>1996.7352000000001</v>
      </c>
      <c r="W30" s="206">
        <f>'Tariff Jul 2020'!BL24</f>
        <v>0</v>
      </c>
      <c r="X30" s="207" t="str">
        <f>'Tariff Jul 2020'!BM24</f>
        <v>n</v>
      </c>
    </row>
    <row r="31" spans="1:24" x14ac:dyDescent="0.15">
      <c r="A31" s="199" t="str">
        <f>'Tariff Jul 2020'!K25</f>
        <v>OVO Energy</v>
      </c>
      <c r="B31" s="200" t="str">
        <f>'Tariff Jul 2020'!L25</f>
        <v>The One Plan</v>
      </c>
      <c r="C31" s="201">
        <f>IF('Tariff Jul 2020'!BP25=0,91*'Tariff Jul 2020'!M25/100,(91*'Tariff Jul 2020'!M25/100)+'Tariff Jul 2020'!BP25/4)</f>
        <v>90.999999999999986</v>
      </c>
      <c r="D31" s="201">
        <f>IF('Tariff Jul 2020'!O25="",$C$5*'Tariff Jul 2020'!N25/100,IF($C$5&gt;='Tariff Jul 2020'!P25,('Tariff Jul 2020'!P25*'Tariff Jul 2020'!N25/100),($C$5*'Tariff Jul 2020'!N25/100)))</f>
        <v>412.49999999999994</v>
      </c>
      <c r="E31" s="201">
        <f>IF(AND('Tariff Jul 2020'!P25&gt;0,'Tariff Jul 2020'!R25&gt;0),IF($C$5&lt;'Tariff Jul 2020'!P25,0,IF($C$5&lt;=('Tariff Jul 2020'!R25+'Tariff Jul 2020'!P25),(($C$5-'Tariff Jul 2020'!P25)*'Tariff Jul 2020'!Q25/100),(('Tariff Jul 2020'!R25)*'Tariff Jul 2020'!Q25/100))),0)</f>
        <v>0</v>
      </c>
      <c r="F31" s="202">
        <f>IF(AND('Tariff Jul 2020'!Q25&gt;0,'Tariff Jul 2020'!S25&gt;0),IF($C$5&lt;('Tariff Jul 2020'!R25+'Tariff Jul 2020'!P25),0,IF($C$5&lt;=('Tariff Jul 2020'!T25+'Tariff Jul 2020'!R25+'Tariff Jul 2020'!P25),(($C$5-('Tariff Jul 2020'!R25+'Tariff Jul 2020'!P25))*'Tariff Jul 2020'!S25/100),('Tariff Jul 2020'!T25*'Tariff Jul 2020'!S25/100))),0)</f>
        <v>0</v>
      </c>
      <c r="G31" s="201">
        <v>0</v>
      </c>
      <c r="H31" s="201">
        <f>IF(AND('Tariff Jul 2020'!R25&gt;0,'Tariff Jul 2020'!T25&gt;0),IF(($C$5&lt;'Tariff Jul 2020'!T25),(0),($C$5-'Tariff Jul 2020'!T25)*'Tariff Jul 2020'!U25/100),IF(AND('Tariff Jul 2020'!R25&gt;0,'Tariff Jul 2020'!T25=""),IF(($C$5&lt;'Tariff Jul 2020'!R25+'Tariff Jul 2020'!P25),(0),(($C$5-('Tariff Jul 2020'!R25+'Tariff Jul 2020'!P25))*'Tariff Jul 2020'!S25/100)),IF(AND('Tariff Jul 2020'!P25&gt;0,'Tariff Jul 2020'!R25=""&gt;0),IF(($C$5&lt;'Tariff Jul 2020'!P25),(0),($C$5-'Tariff Jul 2020'!P25)*'Tariff Jul 2020'!Q25/100),0)))</f>
        <v>0</v>
      </c>
      <c r="I31" s="201">
        <f t="shared" si="10"/>
        <v>503.49999999999994</v>
      </c>
      <c r="J31" s="252">
        <f t="shared" si="11"/>
        <v>1649.9999999999998</v>
      </c>
      <c r="K31" s="203">
        <f t="shared" si="12"/>
        <v>2013.9999999999998</v>
      </c>
      <c r="L31" s="203">
        <f t="shared" si="13"/>
        <v>2215.4</v>
      </c>
      <c r="M31" s="200">
        <f>'Tariff Jul 2020'!AZ25</f>
        <v>0</v>
      </c>
      <c r="N31" s="200">
        <f>'Tariff Jul 2020'!BA25</f>
        <v>0</v>
      </c>
      <c r="O31" s="200">
        <f>'Tariff Jul 2020'!BB25</f>
        <v>0</v>
      </c>
      <c r="P31" s="200">
        <f>'Tariff Jul 2020'!BC25</f>
        <v>0</v>
      </c>
      <c r="Q31" s="204" t="str">
        <f t="shared" si="14"/>
        <v>No discount</v>
      </c>
      <c r="R31" s="205" t="str">
        <f t="shared" si="15"/>
        <v>Exclusive</v>
      </c>
      <c r="S31" s="254">
        <f t="shared" si="16"/>
        <v>2013.9999999999998</v>
      </c>
      <c r="T31" s="252">
        <f t="shared" si="17"/>
        <v>2013.9999999999998</v>
      </c>
      <c r="U31" s="260">
        <f t="shared" si="18"/>
        <v>2215.4</v>
      </c>
      <c r="V31" s="260">
        <f t="shared" si="19"/>
        <v>2215.4</v>
      </c>
      <c r="W31" s="206">
        <f>'Tariff Jul 2020'!BL25</f>
        <v>0</v>
      </c>
      <c r="X31" s="207" t="str">
        <f>'Tariff Jul 2020'!BM25</f>
        <v>n</v>
      </c>
    </row>
    <row r="32" spans="1:24" ht="15" thickBot="1" x14ac:dyDescent="0.2">
      <c r="A32" s="208" t="str">
        <f>'Tariff Jul 2020'!K26</f>
        <v>ReAmped Energy</v>
      </c>
      <c r="B32" s="209" t="str">
        <f>'Tariff Jul 2020'!L26</f>
        <v>Classic</v>
      </c>
      <c r="C32" s="210">
        <f>IF('Tariff Jul 2020'!BP26=0,91*'Tariff Jul 2020'!M26/100,(91*'Tariff Jul 2020'!M26/100)+'Tariff Jul 2020'!BP26/4)</f>
        <v>61.961900000000007</v>
      </c>
      <c r="D32" s="210">
        <f>IF('Tariff Jul 2020'!O26="",$C$5*'Tariff Jul 2020'!N26/100,IF($C$5&gt;='Tariff Jul 2020'!P26,('Tariff Jul 2020'!P26*'Tariff Jul 2020'!N26/100),($C$5*'Tariff Jul 2020'!N26/100)))</f>
        <v>441.6</v>
      </c>
      <c r="E32" s="210">
        <f>IF(AND('Tariff Jul 2020'!P26&gt;0,'Tariff Jul 2020'!R26&gt;0),IF($C$5&lt;'Tariff Jul 2020'!P26,0,IF($C$5&lt;=('Tariff Jul 2020'!R26+'Tariff Jul 2020'!P26),(($C$5-'Tariff Jul 2020'!P26)*'Tariff Jul 2020'!Q26/100),(('Tariff Jul 2020'!R26)*'Tariff Jul 2020'!Q26/100))),0)</f>
        <v>0</v>
      </c>
      <c r="F32" s="211">
        <f>IF(AND('Tariff Jul 2020'!Q26&gt;0,'Tariff Jul 2020'!S26&gt;0),IF($C$5&lt;('Tariff Jul 2020'!R26+'Tariff Jul 2020'!P26),0,IF($C$5&lt;=('Tariff Jul 2020'!T26+'Tariff Jul 2020'!R26+'Tariff Jul 2020'!P26),(($C$5-('Tariff Jul 2020'!R26+'Tariff Jul 2020'!P26))*'Tariff Jul 2020'!S26/100),('Tariff Jul 2020'!T26*'Tariff Jul 2020'!S26/100))),0)</f>
        <v>0</v>
      </c>
      <c r="G32" s="210">
        <v>0</v>
      </c>
      <c r="H32" s="210">
        <f>IF(AND('Tariff Jul 2020'!R26&gt;0,'Tariff Jul 2020'!T26&gt;0),IF(($C$5&lt;'Tariff Jul 2020'!T26),(0),($C$5-'Tariff Jul 2020'!T26)*'Tariff Jul 2020'!U26/100),IF(AND('Tariff Jul 2020'!R26&gt;0,'Tariff Jul 2020'!T26=""),IF(($C$5&lt;'Tariff Jul 2020'!R26+'Tariff Jul 2020'!P26),(0),(($C$5-('Tariff Jul 2020'!R26+'Tariff Jul 2020'!P26))*'Tariff Jul 2020'!S26/100)),IF(AND('Tariff Jul 2020'!P26&gt;0,'Tariff Jul 2020'!R26=""&gt;0),IF(($C$5&lt;'Tariff Jul 2020'!P26),(0),($C$5-'Tariff Jul 2020'!P26)*'Tariff Jul 2020'!Q26/100),0)))</f>
        <v>0</v>
      </c>
      <c r="I32" s="210">
        <f t="shared" si="10"/>
        <v>503.56190000000004</v>
      </c>
      <c r="J32" s="253">
        <f t="shared" si="11"/>
        <v>1766.4</v>
      </c>
      <c r="K32" s="212">
        <f t="shared" si="12"/>
        <v>2014.2476000000001</v>
      </c>
      <c r="L32" s="212">
        <f t="shared" si="13"/>
        <v>2215.6723600000005</v>
      </c>
      <c r="M32" s="209">
        <f>'Tariff Jul 2020'!AZ26</f>
        <v>0</v>
      </c>
      <c r="N32" s="209">
        <f>'Tariff Jul 2020'!BA26</f>
        <v>0</v>
      </c>
      <c r="O32" s="209">
        <f>'Tariff Jul 2020'!BB26</f>
        <v>0</v>
      </c>
      <c r="P32" s="209">
        <f>'Tariff Jul 2020'!BC26</f>
        <v>0</v>
      </c>
      <c r="Q32" s="213" t="str">
        <f t="shared" si="14"/>
        <v>No discount</v>
      </c>
      <c r="R32" s="214" t="str">
        <f t="shared" si="15"/>
        <v>Exclusive</v>
      </c>
      <c r="S32" s="255">
        <f t="shared" si="16"/>
        <v>2014.2476000000001</v>
      </c>
      <c r="T32" s="253">
        <f t="shared" si="17"/>
        <v>2014.2476000000001</v>
      </c>
      <c r="U32" s="261">
        <f t="shared" si="18"/>
        <v>2215.6723600000005</v>
      </c>
      <c r="V32" s="261">
        <f t="shared" si="19"/>
        <v>2215.6723600000005</v>
      </c>
      <c r="W32" s="215">
        <f>'Tariff Jul 2020'!BL26</f>
        <v>0</v>
      </c>
      <c r="X32" s="216" t="str">
        <f>'Tariff Jul 2020'!BM26</f>
        <v>n</v>
      </c>
    </row>
    <row r="34" spans="1:24" ht="15" thickBot="1" x14ac:dyDescent="0.2"/>
    <row r="35" spans="1:24" x14ac:dyDescent="0.15">
      <c r="A35" s="116" t="s">
        <v>865</v>
      </c>
      <c r="B35" s="117"/>
      <c r="C35" s="117"/>
      <c r="D35" s="137"/>
      <c r="E35" s="137"/>
      <c r="F35" s="137"/>
      <c r="G35" s="138"/>
      <c r="H35" s="138"/>
      <c r="I35" s="117"/>
      <c r="J35" s="117"/>
      <c r="K35" s="138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8"/>
    </row>
    <row r="36" spans="1:24" x14ac:dyDescent="0.15">
      <c r="A36" s="119" t="s">
        <v>72</v>
      </c>
      <c r="B36" s="60"/>
      <c r="C36" s="143">
        <v>1875</v>
      </c>
      <c r="D36" s="139"/>
      <c r="E36" s="139"/>
      <c r="F36" s="139"/>
      <c r="G36" s="140"/>
      <c r="H36" s="140"/>
      <c r="I36" s="60"/>
      <c r="J36" s="60"/>
      <c r="K36" s="14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120"/>
    </row>
    <row r="37" spans="1:24" x14ac:dyDescent="0.15">
      <c r="A37" s="119" t="s">
        <v>241</v>
      </c>
      <c r="B37" s="60"/>
      <c r="C37" s="144">
        <v>0.8</v>
      </c>
      <c r="D37" s="139"/>
      <c r="E37" s="139"/>
      <c r="F37" s="139"/>
      <c r="G37" s="140"/>
      <c r="H37" s="140"/>
      <c r="I37" s="60"/>
      <c r="J37" s="60"/>
      <c r="K37" s="14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20"/>
    </row>
    <row r="38" spans="1:24" x14ac:dyDescent="0.15">
      <c r="A38" s="119" t="s">
        <v>143</v>
      </c>
      <c r="B38" s="60"/>
      <c r="C38" s="144">
        <v>0.2</v>
      </c>
      <c r="D38" s="139"/>
      <c r="E38" s="139"/>
      <c r="F38" s="139"/>
      <c r="G38" s="140"/>
      <c r="H38" s="140"/>
      <c r="I38" s="60"/>
      <c r="J38" s="60"/>
      <c r="K38" s="14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120"/>
    </row>
    <row r="39" spans="1:24" x14ac:dyDescent="0.15">
      <c r="A39" s="119"/>
      <c r="B39" s="60"/>
      <c r="C39" s="139"/>
      <c r="D39" s="139"/>
      <c r="E39" s="139"/>
      <c r="F39" s="139"/>
      <c r="G39" s="140"/>
      <c r="H39" s="140"/>
      <c r="I39" s="60"/>
      <c r="J39" s="60"/>
      <c r="K39" s="14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120"/>
    </row>
    <row r="40" spans="1:24" ht="75" x14ac:dyDescent="0.15">
      <c r="A40" s="239" t="s">
        <v>278</v>
      </c>
      <c r="B40" s="240" t="s">
        <v>73</v>
      </c>
      <c r="C40" s="248" t="s">
        <v>74</v>
      </c>
      <c r="D40" s="248" t="s">
        <v>852</v>
      </c>
      <c r="E40" s="248" t="s">
        <v>853</v>
      </c>
      <c r="F40" s="248" t="s">
        <v>854</v>
      </c>
      <c r="G40" s="248" t="s">
        <v>856</v>
      </c>
      <c r="H40" s="248" t="s">
        <v>866</v>
      </c>
      <c r="I40" s="248" t="s">
        <v>958</v>
      </c>
      <c r="J40" s="249" t="s">
        <v>857</v>
      </c>
      <c r="K40" s="249" t="s">
        <v>172</v>
      </c>
      <c r="L40" s="242" t="s">
        <v>858</v>
      </c>
      <c r="M40" s="243" t="s">
        <v>174</v>
      </c>
      <c r="N40" s="243" t="s">
        <v>175</v>
      </c>
      <c r="O40" s="243" t="s">
        <v>76</v>
      </c>
      <c r="P40" s="243" t="s">
        <v>77</v>
      </c>
      <c r="Q40" s="251" t="s">
        <v>859</v>
      </c>
      <c r="R40" s="251" t="s">
        <v>860</v>
      </c>
      <c r="S40" s="250" t="s">
        <v>861</v>
      </c>
      <c r="T40" s="250" t="s">
        <v>862</v>
      </c>
      <c r="U40" s="245" t="s">
        <v>353</v>
      </c>
      <c r="V40" s="244" t="s">
        <v>354</v>
      </c>
      <c r="W40" s="246" t="s">
        <v>359</v>
      </c>
      <c r="X40" s="247" t="s">
        <v>360</v>
      </c>
    </row>
    <row r="41" spans="1:24" x14ac:dyDescent="0.15">
      <c r="A41" s="199" t="str">
        <f>'Tariff Jul 2020'!K27</f>
        <v>AGL</v>
      </c>
      <c r="B41" s="200" t="str">
        <f>'Tariff Jul 2020'!L27</f>
        <v>Essentials Saver</v>
      </c>
      <c r="C41" s="217">
        <f>IF('Tariff Jul 2020'!BP27=0,91*'Tariff Jul 2020'!M27/100,(91*'Tariff Jul 2020'!M27/100)+'Tariff Jul 2020'!BP27/4)</f>
        <v>63.633818181818178</v>
      </c>
      <c r="D41" s="217">
        <f>IF('Tariff Jul 2020'!O27="",$C$36*$C$37*'Tariff Jul 2020'!N27/100,IF($C$36*$C$37&gt;='Tariff Jul 2020'!P27,('Tariff Jul 2020'!P27*'Tariff Jul 2020'!N27/100),($C$36*$C$37*'Tariff Jul 2020'!N27/100)))</f>
        <v>447.54545454545456</v>
      </c>
      <c r="E41" s="217">
        <f>IF(AND('Tariff Jul 2020'!P27&gt;0,'Tariff Jul 2020'!R27&gt;0),IF($C$36*$C$37&lt;'Tariff Jul 2020'!P27,0,IF($C$36*$C$37&lt;=('Tariff Jul 2020'!R27+'Tariff Jul 2020'!P27),(($C$36*$C$37-'Tariff Jul 2020'!P27)*'Tariff Jul 2020'!Q27/100),(('Tariff Jul 2020'!R27)*'Tariff Jul 2020'!Q27/100))),0)</f>
        <v>0</v>
      </c>
      <c r="F41" s="217">
        <f>IF(AND('Tariff Jul 2020'!Q27&gt;0,'Tariff Jul 2020'!S27&gt;0),IF($C$36*$C$37&lt;('Tariff Jul 2020'!R27+'Tariff Jul 2020'!P27),0,IF($C$36*$C$37&lt;=('Tariff Jul 2020'!T27+'Tariff Jul 2020'!R27+'Tariff Jul 2020'!P27),(($C$36*$C$37-('Tariff Jul 2020'!R27+'Tariff Jul 2020'!P27))*'Tariff Jul 2020'!S27/100),('Tariff Jul 2020'!T27*'Tariff Jul 2020'!S27/100))),0)</f>
        <v>0</v>
      </c>
      <c r="G41" s="217">
        <f>IF(AND('Tariff Jul 2020'!R27&gt;0,'Tariff Jul 2020'!T27&gt;0),IF(($C$36*$C$37&lt;'Tariff Jul 2020'!T27),(0),($C$36*$C$37-'Tariff Jul 2020'!T27)*'Tariff Jul 2020'!U27/100),IF(AND('Tariff Jul 2020'!R27&gt;0,'Tariff Jul 2020'!T27=""),IF(($C$36*$C$37&lt;'Tariff Jul 2020'!R27+'Tariff Jul 2020'!P27),(0),(($C$36*$C$37-('Tariff Jul 2020'!R27+'Tariff Jul 2020'!P27))*'Tariff Jul 2020'!S27/100)),IF(AND('Tariff Jul 2020'!P27&gt;0,'Tariff Jul 2020'!R27=""&gt;0),IF(($C$36*$C$37&lt;'Tariff Jul 2020'!P27),(0),($C$36*$C$37-'Tariff Jul 2020'!P27)*'Tariff Jul 2020'!Q27/100),0)))</f>
        <v>0</v>
      </c>
      <c r="H41" s="217">
        <f>($C$36*$C$38)*'Tariff Jul 2020'!AE27/100</f>
        <v>55.43181818181818</v>
      </c>
      <c r="I41" s="217">
        <f t="shared" ref="I41:I56" si="20">SUM(C41:H41)</f>
        <v>566.61109090909088</v>
      </c>
      <c r="J41" s="252">
        <f t="shared" ref="J41:J56" si="21">(I41-C41)*4</f>
        <v>2011.9090909090908</v>
      </c>
      <c r="K41" s="203">
        <f>I41*4</f>
        <v>2266.4443636363635</v>
      </c>
      <c r="L41" s="203">
        <f>K41*1.1</f>
        <v>2493.0888</v>
      </c>
      <c r="M41" s="200">
        <f>'Tariff Jul 2020'!AZ27</f>
        <v>0</v>
      </c>
      <c r="N41" s="200">
        <f>'Tariff Jul 2020'!BA27</f>
        <v>0</v>
      </c>
      <c r="O41" s="200">
        <f>'Tariff Jul 2020'!BB27</f>
        <v>0</v>
      </c>
      <c r="P41" s="200">
        <f>'Tariff Jul 2020'!BC27</f>
        <v>0</v>
      </c>
      <c r="Q41" s="204" t="str">
        <f>IF(SUM(M41:P41)=0,"No discount",IF(M41&gt;0,"Guaranteed off bill",IF(N41&gt;0,"Guaranteed off usage",IF(O41&gt;0,"Pay-on-time off bill","Pay-on-time off usage"))))</f>
        <v>No discount</v>
      </c>
      <c r="R41" s="205" t="str">
        <f>IF(OR(A41="Origin Energy",A41="Red Energy",A41="Powershop"),"Inclusive","Exclusive")</f>
        <v>Exclusive</v>
      </c>
      <c r="S41" s="254">
        <f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2266.4443636363635</v>
      </c>
      <c r="T41" s="252">
        <f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2266.4443636363635</v>
      </c>
      <c r="U41" s="259">
        <f>S41*1.1</f>
        <v>2493.0888</v>
      </c>
      <c r="V41" s="259">
        <f>T41*1.1</f>
        <v>2493.0888</v>
      </c>
      <c r="W41" s="206">
        <f>'Tariff Jul 2020'!BL27</f>
        <v>0</v>
      </c>
      <c r="X41" s="207" t="str">
        <f>'Tariff Jul 2020'!BM27</f>
        <v>n</v>
      </c>
    </row>
    <row r="42" spans="1:24" x14ac:dyDescent="0.15">
      <c r="A42" s="199" t="str">
        <f>'Tariff Jul 2020'!K28</f>
        <v>Alinta Energy</v>
      </c>
      <c r="B42" s="200" t="str">
        <f>'Tariff Jul 2020'!L28</f>
        <v>No fuss</v>
      </c>
      <c r="C42" s="217">
        <f>IF('Tariff Jul 2020'!BP28=0,91*'Tariff Jul 2020'!M28/100,(91*'Tariff Jul 2020'!M28/100)+'Tariff Jul 2020'!BP28/4)</f>
        <v>75.53</v>
      </c>
      <c r="D42" s="217">
        <f>IF('Tariff Jul 2020'!O28="",$C$36*$C$37*'Tariff Jul 2020'!N28/100,IF($C$36*$C$37&gt;='Tariff Jul 2020'!P28,('Tariff Jul 2020'!P28*'Tariff Jul 2020'!N28/100),($C$36*$C$37*'Tariff Jul 2020'!N28/100)))</f>
        <v>90.463636363636354</v>
      </c>
      <c r="E42" s="217">
        <f>IF(AND('Tariff Jul 2020'!P28&gt;0,'Tariff Jul 2020'!R28&gt;0),IF($C$36*$C$37&lt;'Tariff Jul 2020'!P28,0,IF($C$36*$C$37&lt;=('Tariff Jul 2020'!R28+'Tariff Jul 2020'!P28),(($C$36*$C$37-'Tariff Jul 2020'!P28)*'Tariff Jul 2020'!Q28/100),(('Tariff Jul 2020'!R28)*'Tariff Jul 2020'!Q28/100))),0)</f>
        <v>0</v>
      </c>
      <c r="F42" s="217">
        <f>IF(AND('Tariff Jul 2020'!Q28&gt;0,'Tariff Jul 2020'!S28&gt;0),IF($C$36*$C$37&lt;('Tariff Jul 2020'!R28+'Tariff Jul 2020'!P28),0,IF($C$36*$C$37&lt;=('Tariff Jul 2020'!T28+'Tariff Jul 2020'!R28+'Tariff Jul 2020'!P28),(($C$36*$C$37-('Tariff Jul 2020'!R28+'Tariff Jul 2020'!P28))*'Tariff Jul 2020'!S28/100),('Tariff Jul 2020'!T28*'Tariff Jul 2020'!S28/100))),0)</f>
        <v>0</v>
      </c>
      <c r="G42" s="217">
        <f>IF(AND('Tariff Jul 2020'!R28&gt;0,'Tariff Jul 2020'!T28&gt;0),IF(($C$36*$C$37&lt;'Tariff Jul 2020'!T28),(0),($C$36*$C$37-'Tariff Jul 2020'!T28)*'Tariff Jul 2020'!U28/100),IF(AND('Tariff Jul 2020'!R28&gt;0,'Tariff Jul 2020'!T28=""),IF(($C$36*$C$37&lt;'Tariff Jul 2020'!R28+'Tariff Jul 2020'!P28),(0),(($C$36*$C$37-('Tariff Jul 2020'!R28+'Tariff Jul 2020'!P28))*'Tariff Jul 2020'!S28/100)),IF(AND('Tariff Jul 2020'!P28&gt;0,'Tariff Jul 2020'!R28=""&gt;0),IF(($C$36*$C$37&lt;'Tariff Jul 2020'!P28),(0),($C$36*$C$37-'Tariff Jul 2020'!P28)*'Tariff Jul 2020'!Q28/100),0)))</f>
        <v>403.09090909090912</v>
      </c>
      <c r="H42" s="217">
        <f>($C$36*$C$38)*'Tariff Jul 2020'!AE28/100</f>
        <v>62.318181818181813</v>
      </c>
      <c r="I42" s="217">
        <f t="shared" si="20"/>
        <v>631.40272727272736</v>
      </c>
      <c r="J42" s="252">
        <f t="shared" si="21"/>
        <v>2223.4909090909096</v>
      </c>
      <c r="K42" s="203">
        <f t="shared" ref="K42:K56" si="22">I42*4</f>
        <v>2525.6109090909094</v>
      </c>
      <c r="L42" s="203">
        <f t="shared" ref="L42:L56" si="23">K42*1.1</f>
        <v>2778.1720000000005</v>
      </c>
      <c r="M42" s="200">
        <f>'Tariff Jul 2020'!AZ28</f>
        <v>0</v>
      </c>
      <c r="N42" s="200">
        <f>'Tariff Jul 2020'!BA28</f>
        <v>0</v>
      </c>
      <c r="O42" s="200">
        <f>'Tariff Jul 2020'!BB28</f>
        <v>0</v>
      </c>
      <c r="P42" s="200">
        <f>'Tariff Jul 2020'!BC28</f>
        <v>0</v>
      </c>
      <c r="Q42" s="204" t="str">
        <f t="shared" ref="Q42:Q56" si="24">IF(SUM(M42:P42)=0,"No discount",IF(M42&gt;0,"Guaranteed off bill",IF(N42&gt;0,"Guaranteed off usage",IF(O42&gt;0,"Pay-on-time off bill","Pay-on-time off usage"))))</f>
        <v>No discount</v>
      </c>
      <c r="R42" s="205" t="str">
        <f>IF(OR(A42="Origin Energy",A42="Red Energy",A42="Powershop"),"Inclusive","Exclusive")</f>
        <v>Exclusive</v>
      </c>
      <c r="S42" s="254">
        <f t="shared" ref="S42:S56" si="25">IF(AND(Q42="Guaranteed off bill",R42="Inclusive"),((K42*1.1)-((K42*1.1)*M42/100))/1.1,IF(AND(Q42="Guaranteed off usage",R42="Inclusive"),((K42*1.1)-((J42*1.1)*N42/100))/1.1,IF(AND(Q42="Guaranteed off bill",R42="Exclusive"),K42-(K42*M42/100),IF(AND(Q42="Guaranteed off usage",R42="Exclusive"),K42-(J42*N42/100),IF(R42="Inclusive",((K42*1.1))/1.1,K42)))))</f>
        <v>2525.6109090909094</v>
      </c>
      <c r="T42" s="252">
        <f t="shared" ref="T42:T56" si="26">IF(AND(Q42="Pay-on-time off bill",R42="Inclusive"),((S42*1.1)-((S42*1.1)*O42/100))/1.1,IF(AND(Q42="Pay-on-time off usage",R42="Inclusive"),((S42*1.1)-((J42*1.1)*P42/100))/1.1,IF(AND(Q42="Pay-on-time off bill",R42="Exclusive"),S42-(S42*O42/100),IF(AND(Q42="Pay-on-time off usage",R42="Exclusive"),S42-(J42*P42/100),IF(R42="Inclusive",((S42*1.1))/1.1,S42)))))</f>
        <v>2525.6109090909094</v>
      </c>
      <c r="U42" s="260">
        <f t="shared" ref="U42:V56" si="27">S42*1.1</f>
        <v>2778.1720000000005</v>
      </c>
      <c r="V42" s="260">
        <f t="shared" si="27"/>
        <v>2778.1720000000005</v>
      </c>
      <c r="W42" s="206">
        <f>'Tariff Jul 2020'!BL28</f>
        <v>0</v>
      </c>
      <c r="X42" s="207" t="str">
        <f>'Tariff Jul 2020'!BM28</f>
        <v>n</v>
      </c>
    </row>
    <row r="43" spans="1:24" x14ac:dyDescent="0.15">
      <c r="A43" s="199" t="str">
        <f>'Tariff Jul 2020'!K29</f>
        <v>Click Energy</v>
      </c>
      <c r="B43" s="200" t="str">
        <f>'Tariff Jul 2020'!L29</f>
        <v>Flora</v>
      </c>
      <c r="C43" s="217">
        <f>IF('Tariff Jul 2020'!BP29=0,91*'Tariff Jul 2020'!M29/100,(91*'Tariff Jul 2020'!M29/100)+'Tariff Jul 2020'!BP29/4)</f>
        <v>72.311909090909083</v>
      </c>
      <c r="D43" s="217">
        <f>IF('Tariff Jul 2020'!O29="",$C$36*$C$37*'Tariff Jul 2020'!N29/100,IF($C$36*$C$37&gt;='Tariff Jul 2020'!P29,('Tariff Jul 2020'!P29*'Tariff Jul 2020'!N29/100),($C$36*$C$37*'Tariff Jul 2020'!N29/100)))</f>
        <v>428.31818181818176</v>
      </c>
      <c r="E43" s="217">
        <f>IF(AND('Tariff Jul 2020'!P29&gt;0,'Tariff Jul 2020'!R29&gt;0),IF($C$36*$C$37&lt;'Tariff Jul 2020'!P29,0,IF($C$36*$C$37&lt;=('Tariff Jul 2020'!R29+'Tariff Jul 2020'!P29),(($C$36*$C$37-'Tariff Jul 2020'!P29)*'Tariff Jul 2020'!Q29/100),(('Tariff Jul 2020'!R29)*'Tariff Jul 2020'!Q29/100))),0)</f>
        <v>0</v>
      </c>
      <c r="F43" s="217">
        <f>IF(AND('Tariff Jul 2020'!Q29&gt;0,'Tariff Jul 2020'!S29&gt;0),IF($C$36*$C$37&lt;('Tariff Jul 2020'!R29+'Tariff Jul 2020'!P29),0,IF($C$36*$C$37&lt;=('Tariff Jul 2020'!T29+'Tariff Jul 2020'!R29+'Tariff Jul 2020'!P29),(($C$36*$C$37-('Tariff Jul 2020'!R29+'Tariff Jul 2020'!P29))*'Tariff Jul 2020'!S29/100),('Tariff Jul 2020'!T29*'Tariff Jul 2020'!S29/100))),0)</f>
        <v>0</v>
      </c>
      <c r="G43" s="217">
        <f>IF(AND('Tariff Jul 2020'!R29&gt;0,'Tariff Jul 2020'!T29&gt;0),IF(($C$36*$C$37&lt;'Tariff Jul 2020'!T29),(0),($C$36*$C$37-'Tariff Jul 2020'!T29)*'Tariff Jul 2020'!U29/100),IF(AND('Tariff Jul 2020'!R29&gt;0,'Tariff Jul 2020'!T29=""),IF(($C$36*$C$37&lt;'Tariff Jul 2020'!R29+'Tariff Jul 2020'!P29),(0),(($C$36*$C$37-('Tariff Jul 2020'!R29+'Tariff Jul 2020'!P29))*'Tariff Jul 2020'!S29/100)),IF(AND('Tariff Jul 2020'!P29&gt;0,'Tariff Jul 2020'!R29=""&gt;0),IF(($C$36*$C$37&lt;'Tariff Jul 2020'!P29),(0),($C$36*$C$37-'Tariff Jul 2020'!P29)*'Tariff Jul 2020'!Q29/100),0)))</f>
        <v>0</v>
      </c>
      <c r="H43" s="217">
        <f>($C$36*$C$38)*'Tariff Jul 2020'!AE29/100</f>
        <v>55.22727272727272</v>
      </c>
      <c r="I43" s="217">
        <f t="shared" si="20"/>
        <v>555.85736363636352</v>
      </c>
      <c r="J43" s="252">
        <f t="shared" si="21"/>
        <v>1934.1818181818178</v>
      </c>
      <c r="K43" s="203">
        <f t="shared" si="22"/>
        <v>2223.4294545454541</v>
      </c>
      <c r="L43" s="203">
        <f t="shared" si="23"/>
        <v>2445.7723999999998</v>
      </c>
      <c r="M43" s="200">
        <f>'Tariff Jul 2020'!AZ29</f>
        <v>0</v>
      </c>
      <c r="N43" s="200">
        <f>'Tariff Jul 2020'!BA29</f>
        <v>0</v>
      </c>
      <c r="O43" s="200">
        <f>'Tariff Jul 2020'!BB29</f>
        <v>0</v>
      </c>
      <c r="P43" s="200">
        <f>'Tariff Jul 2020'!BC29</f>
        <v>0</v>
      </c>
      <c r="Q43" s="204" t="str">
        <f t="shared" si="24"/>
        <v>No discount</v>
      </c>
      <c r="R43" s="205" t="str">
        <f>IF(OR(A43="Origin Energy",A43="Red Energy",A43="Powershop"),"Inclusive","Exclusive")</f>
        <v>Exclusive</v>
      </c>
      <c r="S43" s="254">
        <f t="shared" si="25"/>
        <v>2223.4294545454541</v>
      </c>
      <c r="T43" s="252">
        <f t="shared" si="26"/>
        <v>2223.4294545454541</v>
      </c>
      <c r="U43" s="260">
        <f t="shared" si="27"/>
        <v>2445.7723999999998</v>
      </c>
      <c r="V43" s="260">
        <f t="shared" si="27"/>
        <v>2445.7723999999998</v>
      </c>
      <c r="W43" s="206">
        <f>'Tariff Jul 2020'!BL29</f>
        <v>0</v>
      </c>
      <c r="X43" s="207" t="str">
        <f>'Tariff Jul 2020'!BM29</f>
        <v>n</v>
      </c>
    </row>
    <row r="44" spans="1:24" x14ac:dyDescent="0.15">
      <c r="A44" s="199" t="str">
        <f>'Tariff Jul 2020'!K30</f>
        <v>Commander</v>
      </c>
      <c r="B44" s="200" t="str">
        <f>'Tariff Jul 2020'!L30</f>
        <v>Market offer</v>
      </c>
      <c r="C44" s="217">
        <f>IF('Tariff Jul 2020'!BP30=0,91*'Tariff Jul 2020'!M30/100,(91*'Tariff Jul 2020'!M30/100)+'Tariff Jul 2020'!BP30/4)</f>
        <v>80.808000000000007</v>
      </c>
      <c r="D44" s="217">
        <f>IF('Tariff Jul 2020'!O30="",$C$36*$C$37*'Tariff Jul 2020'!N30/100,IF($C$36*$C$37&gt;='Tariff Jul 2020'!P30,('Tariff Jul 2020'!P30*'Tariff Jul 2020'!N30/100),($C$36*$C$37*'Tariff Jul 2020'!N30/100)))</f>
        <v>324.09090909090907</v>
      </c>
      <c r="E44" s="217">
        <f>IF(AND('Tariff Jul 2020'!P30&gt;0,'Tariff Jul 2020'!R30&gt;0),IF($C$36*$C$37&lt;'Tariff Jul 2020'!P30,0,IF($C$36*$C$37&lt;=('Tariff Jul 2020'!R30+'Tariff Jul 2020'!P30),(($C$36*$C$37-'Tariff Jul 2020'!P30)*'Tariff Jul 2020'!Q30/100),(('Tariff Jul 2020'!R30)*'Tariff Jul 2020'!Q30/100))),0)</f>
        <v>0</v>
      </c>
      <c r="F44" s="217">
        <f>IF(AND('Tariff Jul 2020'!Q30&gt;0,'Tariff Jul 2020'!S30&gt;0),IF($C$36*$C$37&lt;('Tariff Jul 2020'!R30+'Tariff Jul 2020'!P30),0,IF($C$36*$C$37&lt;=('Tariff Jul 2020'!T30+'Tariff Jul 2020'!R30+'Tariff Jul 2020'!P30),(($C$36*$C$37-('Tariff Jul 2020'!R30+'Tariff Jul 2020'!P30))*'Tariff Jul 2020'!S30/100),('Tariff Jul 2020'!T30*'Tariff Jul 2020'!S30/100))),0)</f>
        <v>0</v>
      </c>
      <c r="G44" s="217">
        <f>IF(AND('Tariff Jul 2020'!R30&gt;0,'Tariff Jul 2020'!T30&gt;0),IF(($C$36*$C$37&lt;'Tariff Jul 2020'!T30),(0),($C$36*$C$37-'Tariff Jul 2020'!T30)*'Tariff Jul 2020'!U30/100),IF(AND('Tariff Jul 2020'!R30&gt;0,'Tariff Jul 2020'!T30=""),IF(($C$36*$C$37&lt;'Tariff Jul 2020'!R30+'Tariff Jul 2020'!P30),(0),(($C$36*$C$37-('Tariff Jul 2020'!R30+'Tariff Jul 2020'!P30))*'Tariff Jul 2020'!S30/100)),IF(AND('Tariff Jul 2020'!P30&gt;0,'Tariff Jul 2020'!R30=""&gt;0),IF(($C$36*$C$37&lt;'Tariff Jul 2020'!P30),(0),($C$36*$C$37-'Tariff Jul 2020'!P30)*'Tariff Jul 2020'!Q30/100),0)))</f>
        <v>166.27272727272725</v>
      </c>
      <c r="H44" s="217">
        <f>($C$36*$C$38)*'Tariff Jul 2020'!AE30/100</f>
        <v>67.772727272727266</v>
      </c>
      <c r="I44" s="217">
        <f t="shared" si="20"/>
        <v>638.94436363636351</v>
      </c>
      <c r="J44" s="252">
        <f t="shared" si="21"/>
        <v>2232.545454545454</v>
      </c>
      <c r="K44" s="203">
        <f t="shared" si="22"/>
        <v>2555.777454545454</v>
      </c>
      <c r="L44" s="203">
        <f t="shared" si="23"/>
        <v>2811.3551999999995</v>
      </c>
      <c r="M44" s="200">
        <f>'Tariff Jul 2020'!AZ30</f>
        <v>0</v>
      </c>
      <c r="N44" s="200">
        <f>'Tariff Jul 2020'!BA30</f>
        <v>0</v>
      </c>
      <c r="O44" s="200">
        <f>'Tariff Jul 2020'!BB30</f>
        <v>0</v>
      </c>
      <c r="P44" s="200">
        <f>'Tariff Jul 2020'!BC30</f>
        <v>0</v>
      </c>
      <c r="Q44" s="204" t="str">
        <f t="shared" si="24"/>
        <v>No discount</v>
      </c>
      <c r="R44" s="205" t="str">
        <f t="shared" ref="R44:R56" si="28">IF(OR(A44="Origin Energy",A44="Red Energy",A44="Powershop"),"Inclusive","Exclusive")</f>
        <v>Exclusive</v>
      </c>
      <c r="S44" s="254">
        <f t="shared" si="25"/>
        <v>2555.777454545454</v>
      </c>
      <c r="T44" s="252">
        <f t="shared" si="26"/>
        <v>2555.777454545454</v>
      </c>
      <c r="U44" s="260">
        <f t="shared" si="27"/>
        <v>2811.3551999999995</v>
      </c>
      <c r="V44" s="260">
        <f t="shared" si="27"/>
        <v>2811.3551999999995</v>
      </c>
      <c r="W44" s="206">
        <f>'Tariff Jul 2020'!BL30</f>
        <v>0</v>
      </c>
      <c r="X44" s="207" t="str">
        <f>'Tariff Jul 2020'!BM30</f>
        <v>n</v>
      </c>
    </row>
    <row r="45" spans="1:24" x14ac:dyDescent="0.15">
      <c r="A45" s="199" t="str">
        <f>'Tariff Jul 2020'!K31</f>
        <v>Diamond Energy</v>
      </c>
      <c r="B45" s="200" t="str">
        <f>'Tariff Jul 2020'!L31</f>
        <v>Renewable Saver POT</v>
      </c>
      <c r="C45" s="217">
        <f>IF('Tariff Jul 2020'!BP31=0,91*'Tariff Jul 2020'!M31/100,(91*'Tariff Jul 2020'!M31/100)+'Tariff Jul 2020'!BP31/4)</f>
        <v>79.124499999999998</v>
      </c>
      <c r="D45" s="217">
        <f>IF('Tariff Jul 2020'!O31="",$C$36*$C$37*'Tariff Jul 2020'!N31/100,IF($C$36*$C$37&gt;='Tariff Jul 2020'!P31,('Tariff Jul 2020'!P31*'Tariff Jul 2020'!N31/100),($C$36*$C$37*'Tariff Jul 2020'!N31/100)))</f>
        <v>99.78</v>
      </c>
      <c r="E45" s="217">
        <f>IF(AND('Tariff Jul 2020'!P31&gt;0,'Tariff Jul 2020'!R31&gt;0),IF($C$36*$C$37&lt;'Tariff Jul 2020'!P31,0,IF($C$36*$C$37&lt;=('Tariff Jul 2020'!R31+'Tariff Jul 2020'!P31),(($C$36*$C$37-'Tariff Jul 2020'!P31)*'Tariff Jul 2020'!Q31/100),(('Tariff Jul 2020'!R31)*'Tariff Jul 2020'!Q31/100))),0)</f>
        <v>251.23</v>
      </c>
      <c r="F45" s="217">
        <f>IF(AND('Tariff Jul 2020'!Q31&gt;0,'Tariff Jul 2020'!S31&gt;0),IF($C$36*$C$37&lt;('Tariff Jul 2020'!R31+'Tariff Jul 2020'!P31),0,IF($C$36*$C$37&lt;=('Tariff Jul 2020'!T31+'Tariff Jul 2020'!R31+'Tariff Jul 2020'!P31),(($C$36*$C$37-('Tariff Jul 2020'!R31+'Tariff Jul 2020'!P31))*'Tariff Jul 2020'!S31/100),('Tariff Jul 2020'!T31*'Tariff Jul 2020'!S31/100))),0)</f>
        <v>194.75</v>
      </c>
      <c r="G45" s="217">
        <f>IF(AND('Tariff Jul 2020'!R31&gt;0,'Tariff Jul 2020'!T31&gt;0),IF(($C$36*$C$37&lt;'Tariff Jul 2020'!T31),(0),($C$36*$C$37-'Tariff Jul 2020'!T31)*'Tariff Jul 2020'!U31/100),IF(AND('Tariff Jul 2020'!R31&gt;0,'Tariff Jul 2020'!T31=""),IF(($C$36*$C$37&lt;'Tariff Jul 2020'!R31+'Tariff Jul 2020'!P31),(0),(($C$36*$C$37-('Tariff Jul 2020'!R31+'Tariff Jul 2020'!P31))*'Tariff Jul 2020'!S31/100)),IF(AND('Tariff Jul 2020'!P31&gt;0,'Tariff Jul 2020'!R31=""&gt;0),IF(($C$36*$C$37&lt;'Tariff Jul 2020'!P31),(0),($C$36*$C$37-'Tariff Jul 2020'!P31)*'Tariff Jul 2020'!Q31/100),0)))</f>
        <v>0</v>
      </c>
      <c r="H45" s="217">
        <f>($C$36*$C$38)*'Tariff Jul 2020'!AE31/100</f>
        <v>74.829545454545453</v>
      </c>
      <c r="I45" s="217">
        <f t="shared" si="20"/>
        <v>699.7140454545455</v>
      </c>
      <c r="J45" s="252">
        <f t="shared" si="21"/>
        <v>2482.3581818181819</v>
      </c>
      <c r="K45" s="203">
        <f t="shared" si="22"/>
        <v>2798.856181818182</v>
      </c>
      <c r="L45" s="203">
        <f t="shared" si="23"/>
        <v>3078.7418000000002</v>
      </c>
      <c r="M45" s="200">
        <f>'Tariff Jul 2020'!AZ31</f>
        <v>0</v>
      </c>
      <c r="N45" s="200">
        <f>'Tariff Jul 2020'!BA31</f>
        <v>0</v>
      </c>
      <c r="O45" s="200">
        <f>'Tariff Jul 2020'!BB31</f>
        <v>7</v>
      </c>
      <c r="P45" s="200">
        <f>'Tariff Jul 2020'!BC31</f>
        <v>0</v>
      </c>
      <c r="Q45" s="204" t="str">
        <f t="shared" si="24"/>
        <v>Pay-on-time off bill</v>
      </c>
      <c r="R45" s="205" t="str">
        <f t="shared" si="28"/>
        <v>Exclusive</v>
      </c>
      <c r="S45" s="254">
        <f t="shared" si="25"/>
        <v>2798.856181818182</v>
      </c>
      <c r="T45" s="252">
        <f t="shared" si="26"/>
        <v>2602.9362490909093</v>
      </c>
      <c r="U45" s="260">
        <f t="shared" si="27"/>
        <v>3078.7418000000002</v>
      </c>
      <c r="V45" s="260">
        <f t="shared" si="27"/>
        <v>2863.2298740000006</v>
      </c>
      <c r="W45" s="206">
        <f>'Tariff Jul 2020'!BL31</f>
        <v>0</v>
      </c>
      <c r="X45" s="207" t="str">
        <f>'Tariff Jul 2020'!BM31</f>
        <v>n</v>
      </c>
    </row>
    <row r="46" spans="1:24" x14ac:dyDescent="0.15">
      <c r="A46" s="199" t="str">
        <f>'Tariff Jul 2020'!K32</f>
        <v>Dodo Power &amp; Gas</v>
      </c>
      <c r="B46" s="200" t="str">
        <f>'Tariff Jul 2020'!L32</f>
        <v>Market offer</v>
      </c>
      <c r="C46" s="217">
        <f>IF('Tariff Jul 2020'!BP32=0,91*'Tariff Jul 2020'!M32/100,(91*'Tariff Jul 2020'!M32/100)+'Tariff Jul 2020'!BP32/4)</f>
        <v>80.808000000000007</v>
      </c>
      <c r="D46" s="217">
        <f>IF('Tariff Jul 2020'!O32="",$C$36*$C$37*'Tariff Jul 2020'!N32/100,IF($C$36*$C$37&gt;='Tariff Jul 2020'!P32,('Tariff Jul 2020'!P32*'Tariff Jul 2020'!N32/100),($C$36*$C$37*'Tariff Jul 2020'!N32/100)))</f>
        <v>324.09090909090907</v>
      </c>
      <c r="E46" s="217">
        <f>IF(AND('Tariff Jul 2020'!P32&gt;0,'Tariff Jul 2020'!R32&gt;0),IF($C$36*$C$37&lt;'Tariff Jul 2020'!P32,0,IF($C$36*$C$37&lt;=('Tariff Jul 2020'!R32+'Tariff Jul 2020'!P32),(($C$36*$C$37-'Tariff Jul 2020'!P32)*'Tariff Jul 2020'!Q32/100),(('Tariff Jul 2020'!R32)*'Tariff Jul 2020'!Q32/100))),0)</f>
        <v>0</v>
      </c>
      <c r="F46" s="217">
        <f>IF(AND('Tariff Jul 2020'!Q32&gt;0,'Tariff Jul 2020'!S32&gt;0),IF($C$36*$C$37&lt;('Tariff Jul 2020'!R32+'Tariff Jul 2020'!P32),0,IF($C$36*$C$37&lt;=('Tariff Jul 2020'!T32+'Tariff Jul 2020'!R32+'Tariff Jul 2020'!P32),(($C$36*$C$37-('Tariff Jul 2020'!R32+'Tariff Jul 2020'!P32))*'Tariff Jul 2020'!S32/100),('Tariff Jul 2020'!T32*'Tariff Jul 2020'!S32/100))),0)</f>
        <v>0</v>
      </c>
      <c r="G46" s="217">
        <f>IF(AND('Tariff Jul 2020'!R32&gt;0,'Tariff Jul 2020'!T32&gt;0),IF(($C$36*$C$37&lt;'Tariff Jul 2020'!T32),(0),($C$36*$C$37-'Tariff Jul 2020'!T32)*'Tariff Jul 2020'!U32/100),IF(AND('Tariff Jul 2020'!R32&gt;0,'Tariff Jul 2020'!T32=""),IF(($C$36*$C$37&lt;'Tariff Jul 2020'!R32+'Tariff Jul 2020'!P32),(0),(($C$36*$C$37-('Tariff Jul 2020'!R32+'Tariff Jul 2020'!P32))*'Tariff Jul 2020'!S32/100)),IF(AND('Tariff Jul 2020'!P32&gt;0,'Tariff Jul 2020'!R32=""&gt;0),IF(($C$36*$C$37&lt;'Tariff Jul 2020'!P32),(0),($C$36*$C$37-'Tariff Jul 2020'!P32)*'Tariff Jul 2020'!Q32/100),0)))</f>
        <v>166.27272727272725</v>
      </c>
      <c r="H46" s="217">
        <f>($C$36*$C$38)*'Tariff Jul 2020'!AE32/100</f>
        <v>67.772727272727266</v>
      </c>
      <c r="I46" s="217">
        <f t="shared" si="20"/>
        <v>638.94436363636351</v>
      </c>
      <c r="J46" s="252">
        <f t="shared" si="21"/>
        <v>2232.545454545454</v>
      </c>
      <c r="K46" s="203">
        <f t="shared" si="22"/>
        <v>2555.777454545454</v>
      </c>
      <c r="L46" s="203">
        <f t="shared" si="23"/>
        <v>2811.3551999999995</v>
      </c>
      <c r="M46" s="200">
        <f>'Tariff Jul 2020'!AZ32</f>
        <v>0</v>
      </c>
      <c r="N46" s="200">
        <f>'Tariff Jul 2020'!BA32</f>
        <v>0</v>
      </c>
      <c r="O46" s="200">
        <f>'Tariff Jul 2020'!BB32</f>
        <v>0</v>
      </c>
      <c r="P46" s="200">
        <f>'Tariff Jul 2020'!BC32</f>
        <v>0</v>
      </c>
      <c r="Q46" s="204" t="str">
        <f t="shared" si="24"/>
        <v>No discount</v>
      </c>
      <c r="R46" s="205" t="str">
        <f t="shared" si="28"/>
        <v>Exclusive</v>
      </c>
      <c r="S46" s="254">
        <f t="shared" si="25"/>
        <v>2555.777454545454</v>
      </c>
      <c r="T46" s="252">
        <f t="shared" si="26"/>
        <v>2555.777454545454</v>
      </c>
      <c r="U46" s="260">
        <f t="shared" si="27"/>
        <v>2811.3551999999995</v>
      </c>
      <c r="V46" s="260">
        <f t="shared" si="27"/>
        <v>2811.3551999999995</v>
      </c>
      <c r="W46" s="206">
        <f>'Tariff Jul 2020'!BL32</f>
        <v>0</v>
      </c>
      <c r="X46" s="207" t="str">
        <f>'Tariff Jul 2020'!BM32</f>
        <v>n</v>
      </c>
    </row>
    <row r="47" spans="1:24" x14ac:dyDescent="0.15">
      <c r="A47" s="199" t="str">
        <f>'Tariff Jul 2020'!K33</f>
        <v>EnergyAustralia</v>
      </c>
      <c r="B47" s="200" t="str">
        <f>'Tariff Jul 2020'!L33</f>
        <v>Total Plan Home</v>
      </c>
      <c r="C47" s="217">
        <f>IF('Tariff Jul 2020'!BP33=0,91*'Tariff Jul 2020'!M33/100,(91*'Tariff Jul 2020'!M33/100)+'Tariff Jul 2020'!BP33/4)</f>
        <v>70.97999999999999</v>
      </c>
      <c r="D47" s="217">
        <f>IF('Tariff Jul 2020'!O33="",$C$36*$C$37*'Tariff Jul 2020'!N33/100,IF($C$36*$C$37&gt;='Tariff Jul 2020'!P33,('Tariff Jul 2020'!P33*'Tariff Jul 2020'!N33/100),($C$36*$C$37*'Tariff Jul 2020'!N33/100)))</f>
        <v>517.77272727272725</v>
      </c>
      <c r="E47" s="217">
        <f>IF(AND('Tariff Jul 2020'!P33&gt;0,'Tariff Jul 2020'!R33&gt;0),IF($C$36*$C$37&lt;'Tariff Jul 2020'!P33,0,IF($C$36*$C$37&lt;=('Tariff Jul 2020'!R33+'Tariff Jul 2020'!P33),(($C$36*$C$37-'Tariff Jul 2020'!P33)*'Tariff Jul 2020'!Q33/100),(('Tariff Jul 2020'!R33)*'Tariff Jul 2020'!Q33/100))),0)</f>
        <v>0</v>
      </c>
      <c r="F47" s="217">
        <f>IF(AND('Tariff Jul 2020'!Q33&gt;0,'Tariff Jul 2020'!S33&gt;0),IF($C$36*$C$37&lt;('Tariff Jul 2020'!R33+'Tariff Jul 2020'!P33),0,IF($C$36*$C$37&lt;=('Tariff Jul 2020'!T33+'Tariff Jul 2020'!R33+'Tariff Jul 2020'!P33),(($C$36*$C$37-('Tariff Jul 2020'!R33+'Tariff Jul 2020'!P33))*'Tariff Jul 2020'!S33/100),('Tariff Jul 2020'!T33*'Tariff Jul 2020'!S33/100))),0)</f>
        <v>0</v>
      </c>
      <c r="G47" s="217">
        <f>IF(AND('Tariff Jul 2020'!R33&gt;0,'Tariff Jul 2020'!T33&gt;0),IF(($C$36*$C$37&lt;'Tariff Jul 2020'!T33),(0),($C$36*$C$37-'Tariff Jul 2020'!T33)*'Tariff Jul 2020'!U33/100),IF(AND('Tariff Jul 2020'!R33&gt;0,'Tariff Jul 2020'!T33=""),IF(($C$36*$C$37&lt;'Tariff Jul 2020'!R33+'Tariff Jul 2020'!P33),(0),(($C$36*$C$37-('Tariff Jul 2020'!R33+'Tariff Jul 2020'!P33))*'Tariff Jul 2020'!S33/100)),IF(AND('Tariff Jul 2020'!P33&gt;0,'Tariff Jul 2020'!R33=""&gt;0),IF(($C$36*$C$37&lt;'Tariff Jul 2020'!P33),(0),($C$36*$C$37-'Tariff Jul 2020'!P33)*'Tariff Jul 2020'!Q33/100),0)))</f>
        <v>0</v>
      </c>
      <c r="H47" s="217">
        <f>($C$36*$C$38)*'Tariff Jul 2020'!AE33/100</f>
        <v>63.647727272727273</v>
      </c>
      <c r="I47" s="217">
        <f t="shared" si="20"/>
        <v>652.40045454545452</v>
      </c>
      <c r="J47" s="252">
        <f t="shared" si="21"/>
        <v>2325.681818181818</v>
      </c>
      <c r="K47" s="203">
        <f t="shared" si="22"/>
        <v>2609.6018181818181</v>
      </c>
      <c r="L47" s="203">
        <f t="shared" si="23"/>
        <v>2870.5620000000004</v>
      </c>
      <c r="M47" s="200">
        <f>'Tariff Jul 2020'!AZ33</f>
        <v>6</v>
      </c>
      <c r="N47" s="200">
        <f>'Tariff Jul 2020'!BA33</f>
        <v>0</v>
      </c>
      <c r="O47" s="200">
        <f>'Tariff Jul 2020'!BB33</f>
        <v>0</v>
      </c>
      <c r="P47" s="200">
        <f>'Tariff Jul 2020'!BC33</f>
        <v>0</v>
      </c>
      <c r="Q47" s="204" t="str">
        <f t="shared" si="24"/>
        <v>Guaranteed off bill</v>
      </c>
      <c r="R47" s="205" t="str">
        <f t="shared" si="28"/>
        <v>Exclusive</v>
      </c>
      <c r="S47" s="254">
        <f t="shared" si="25"/>
        <v>2453.025709090909</v>
      </c>
      <c r="T47" s="252">
        <f t="shared" si="26"/>
        <v>2453.025709090909</v>
      </c>
      <c r="U47" s="260">
        <f t="shared" si="27"/>
        <v>2698.3282800000002</v>
      </c>
      <c r="V47" s="260">
        <f t="shared" si="27"/>
        <v>2698.3282800000002</v>
      </c>
      <c r="W47" s="206">
        <f>'Tariff Jul 2020'!BL33</f>
        <v>0</v>
      </c>
      <c r="X47" s="207" t="str">
        <f>'Tariff Jul 2020'!BM33</f>
        <v>n</v>
      </c>
    </row>
    <row r="48" spans="1:24" x14ac:dyDescent="0.15">
      <c r="A48" s="199" t="str">
        <f>'Tariff Jul 2020'!K34</f>
        <v>Lumo Energy</v>
      </c>
      <c r="B48" s="200" t="str">
        <f>'Tariff Jul 2020'!L34</f>
        <v>Plus</v>
      </c>
      <c r="C48" s="217">
        <f>IF('Tariff Jul 2020'!BP34=0,91*'Tariff Jul 2020'!M34/100,(91*'Tariff Jul 2020'!M34/100)+'Tariff Jul 2020'!BP34/4)</f>
        <v>75.124636363636355</v>
      </c>
      <c r="D48" s="217">
        <f>IF('Tariff Jul 2020'!O34="",$C$36*$C$37*'Tariff Jul 2020'!N34/100,IF($C$36*$C$37&gt;='Tariff Jul 2020'!P34,('Tariff Jul 2020'!P34*'Tariff Jul 2020'!N34/100),($C$36*$C$37*'Tariff Jul 2020'!N34/100)))</f>
        <v>309.5454545454545</v>
      </c>
      <c r="E48" s="217">
        <f>IF(AND('Tariff Jul 2020'!P34&gt;0,'Tariff Jul 2020'!R34&gt;0),IF($C$36*$C$37&lt;'Tariff Jul 2020'!P34,0,IF($C$36*$C$37&lt;=('Tariff Jul 2020'!R34+'Tariff Jul 2020'!P34),(($C$36*$C$37-'Tariff Jul 2020'!P34)*'Tariff Jul 2020'!Q34/100),(('Tariff Jul 2020'!R34)*'Tariff Jul 2020'!Q34/100))),0)</f>
        <v>0</v>
      </c>
      <c r="F48" s="217">
        <f>IF(AND('Tariff Jul 2020'!Q34&gt;0,'Tariff Jul 2020'!S34&gt;0),IF($C$36*$C$37&lt;('Tariff Jul 2020'!R34+'Tariff Jul 2020'!P34),0,IF($C$36*$C$37&lt;=('Tariff Jul 2020'!T34+'Tariff Jul 2020'!R34+'Tariff Jul 2020'!P34),(($C$36*$C$37-('Tariff Jul 2020'!R34+'Tariff Jul 2020'!P34))*'Tariff Jul 2020'!S34/100),('Tariff Jul 2020'!T34*'Tariff Jul 2020'!S34/100))),0)</f>
        <v>0</v>
      </c>
      <c r="G48" s="217">
        <f>IF(AND('Tariff Jul 2020'!R34&gt;0,'Tariff Jul 2020'!T34&gt;0),IF(($C$36*$C$37&lt;'Tariff Jul 2020'!T34),(0),($C$36*$C$37-'Tariff Jul 2020'!T34)*'Tariff Jul 2020'!U34/100),IF(AND('Tariff Jul 2020'!R34&gt;0,'Tariff Jul 2020'!T34=""),IF(($C$36*$C$37&lt;'Tariff Jul 2020'!R34+'Tariff Jul 2020'!P34),(0),(($C$36*$C$37-('Tariff Jul 2020'!R34+'Tariff Jul 2020'!P34))*'Tariff Jul 2020'!S34/100)),IF(AND('Tariff Jul 2020'!P34&gt;0,'Tariff Jul 2020'!R34=""&gt;0),IF(($C$36*$C$37&lt;'Tariff Jul 2020'!P34),(0),($C$36*$C$37-'Tariff Jul 2020'!P34)*'Tariff Jul 2020'!Q34/100),0)))</f>
        <v>158.04545454545453</v>
      </c>
      <c r="H48" s="217">
        <f>($C$36*$C$38)*'Tariff Jul 2020'!AE34/100</f>
        <v>70.056818181818173</v>
      </c>
      <c r="I48" s="217">
        <f t="shared" si="20"/>
        <v>612.77236363636348</v>
      </c>
      <c r="J48" s="252">
        <f t="shared" si="21"/>
        <v>2150.5909090909086</v>
      </c>
      <c r="K48" s="203">
        <f t="shared" si="22"/>
        <v>2451.0894545454539</v>
      </c>
      <c r="L48" s="203">
        <f t="shared" si="23"/>
        <v>2696.1983999999993</v>
      </c>
      <c r="M48" s="200">
        <f>'Tariff Jul 2020'!AZ34</f>
        <v>0</v>
      </c>
      <c r="N48" s="200">
        <f>'Tariff Jul 2020'!BA34</f>
        <v>0</v>
      </c>
      <c r="O48" s="200">
        <f>'Tariff Jul 2020'!BB34</f>
        <v>0</v>
      </c>
      <c r="P48" s="200">
        <f>'Tariff Jul 2020'!BC34</f>
        <v>0</v>
      </c>
      <c r="Q48" s="204" t="str">
        <f t="shared" si="24"/>
        <v>No discount</v>
      </c>
      <c r="R48" s="205" t="str">
        <f t="shared" si="28"/>
        <v>Exclusive</v>
      </c>
      <c r="S48" s="254">
        <f t="shared" si="25"/>
        <v>2451.0894545454539</v>
      </c>
      <c r="T48" s="252">
        <f t="shared" si="26"/>
        <v>2451.0894545454539</v>
      </c>
      <c r="U48" s="260">
        <f t="shared" si="27"/>
        <v>2696.1983999999993</v>
      </c>
      <c r="V48" s="260">
        <f t="shared" si="27"/>
        <v>2696.1983999999993</v>
      </c>
      <c r="W48" s="206">
        <f>'Tariff Jul 2020'!BL34</f>
        <v>0</v>
      </c>
      <c r="X48" s="207" t="str">
        <f>'Tariff Jul 2020'!BM34</f>
        <v>n</v>
      </c>
    </row>
    <row r="49" spans="1:24" x14ac:dyDescent="0.15">
      <c r="A49" s="199" t="str">
        <f>'Tariff Jul 2020'!K35</f>
        <v>Momentum Energy</v>
      </c>
      <c r="B49" s="200" t="str">
        <f>'Tariff Jul 2020'!L35</f>
        <v>SmilePower Flexi</v>
      </c>
      <c r="C49" s="217">
        <f>IF('Tariff Jul 2020'!BP35=0,91*'Tariff Jul 2020'!M35/100,(91*'Tariff Jul 2020'!M35/100)+'Tariff Jul 2020'!BP35/4)</f>
        <v>88.840818181818179</v>
      </c>
      <c r="D49" s="217">
        <f>IF('Tariff Jul 2020'!O35="",$C$36*$C$37*'Tariff Jul 2020'!N35/100,IF($C$36*$C$37&gt;='Tariff Jul 2020'!P35,('Tariff Jul 2020'!P35*'Tariff Jul 2020'!N35/100),($C$36*$C$37*'Tariff Jul 2020'!N35/100)))</f>
        <v>498.81818181818176</v>
      </c>
      <c r="E49" s="217">
        <f>IF(AND('Tariff Jul 2020'!P35&gt;0,'Tariff Jul 2020'!R35&gt;0),IF($C$36*$C$37&lt;'Tariff Jul 2020'!P35,0,IF($C$36*$C$37&lt;=('Tariff Jul 2020'!R35+'Tariff Jul 2020'!P35),(($C$36*$C$37-'Tariff Jul 2020'!P35)*'Tariff Jul 2020'!Q35/100),(('Tariff Jul 2020'!R35)*'Tariff Jul 2020'!Q35/100))),0)</f>
        <v>0</v>
      </c>
      <c r="F49" s="217">
        <f>IF(AND('Tariff Jul 2020'!Q35&gt;0,'Tariff Jul 2020'!S35&gt;0),IF($C$36*$C$37&lt;('Tariff Jul 2020'!R35+'Tariff Jul 2020'!P35),0,IF($C$36*$C$37&lt;=('Tariff Jul 2020'!T35+'Tariff Jul 2020'!R35+'Tariff Jul 2020'!P35),(($C$36*$C$37-('Tariff Jul 2020'!R35+'Tariff Jul 2020'!P35))*'Tariff Jul 2020'!S35/100),('Tariff Jul 2020'!T35*'Tariff Jul 2020'!S35/100))),0)</f>
        <v>0</v>
      </c>
      <c r="G49" s="217">
        <f>IF(AND('Tariff Jul 2020'!R35&gt;0,'Tariff Jul 2020'!T35&gt;0),IF(($C$36*$C$37&lt;'Tariff Jul 2020'!T35),(0),($C$36*$C$37-'Tariff Jul 2020'!T35)*'Tariff Jul 2020'!U35/100),IF(AND('Tariff Jul 2020'!R35&gt;0,'Tariff Jul 2020'!T35=""),IF(($C$36*$C$37&lt;'Tariff Jul 2020'!R35+'Tariff Jul 2020'!P35),(0),(($C$36*$C$37-('Tariff Jul 2020'!R35+'Tariff Jul 2020'!P35))*'Tariff Jul 2020'!S35/100)),IF(AND('Tariff Jul 2020'!P35&gt;0,'Tariff Jul 2020'!R35=""&gt;0),IF(($C$36*$C$37&lt;'Tariff Jul 2020'!P35),(0),($C$36*$C$37-'Tariff Jul 2020'!P35)*'Tariff Jul 2020'!Q35/100),0)))</f>
        <v>0</v>
      </c>
      <c r="H49" s="217">
        <f>($C$36*$C$38)*'Tariff Jul 2020'!AE35/100</f>
        <v>51.340909090909093</v>
      </c>
      <c r="I49" s="217">
        <f t="shared" si="20"/>
        <v>638.999909090909</v>
      </c>
      <c r="J49" s="252">
        <f t="shared" si="21"/>
        <v>2200.6363636363631</v>
      </c>
      <c r="K49" s="203">
        <f t="shared" si="22"/>
        <v>2555.999636363636</v>
      </c>
      <c r="L49" s="203">
        <f t="shared" si="23"/>
        <v>2811.5996</v>
      </c>
      <c r="M49" s="200">
        <f>'Tariff Jul 2020'!AZ35</f>
        <v>0</v>
      </c>
      <c r="N49" s="200">
        <f>'Tariff Jul 2020'!BA35</f>
        <v>0</v>
      </c>
      <c r="O49" s="200">
        <f>'Tariff Jul 2020'!BB35</f>
        <v>0</v>
      </c>
      <c r="P49" s="200">
        <f>'Tariff Jul 2020'!BC35</f>
        <v>0</v>
      </c>
      <c r="Q49" s="204" t="str">
        <f t="shared" si="24"/>
        <v>No discount</v>
      </c>
      <c r="R49" s="205" t="str">
        <f t="shared" si="28"/>
        <v>Exclusive</v>
      </c>
      <c r="S49" s="254">
        <f t="shared" si="25"/>
        <v>2555.999636363636</v>
      </c>
      <c r="T49" s="252">
        <f t="shared" si="26"/>
        <v>2555.999636363636</v>
      </c>
      <c r="U49" s="260">
        <f t="shared" si="27"/>
        <v>2811.5996</v>
      </c>
      <c r="V49" s="260">
        <f t="shared" si="27"/>
        <v>2811.5996</v>
      </c>
      <c r="W49" s="206">
        <f>'Tariff Jul 2020'!BL35</f>
        <v>0</v>
      </c>
      <c r="X49" s="207" t="str">
        <f>'Tariff Jul 2020'!BM35</f>
        <v>n</v>
      </c>
    </row>
    <row r="50" spans="1:24" x14ac:dyDescent="0.15">
      <c r="A50" s="199" t="str">
        <f>'Tariff Jul 2020'!K36</f>
        <v>Origin Energy</v>
      </c>
      <c r="B50" s="200" t="str">
        <f>'Tariff Jul 2020'!L36</f>
        <v>Flexi</v>
      </c>
      <c r="C50" s="217">
        <f>IF('Tariff Jul 2020'!BP36=0,91*'Tariff Jul 2020'!M36/100,(91*'Tariff Jul 2020'!M36/100)+'Tariff Jul 2020'!BP36/4)</f>
        <v>70.905545454545447</v>
      </c>
      <c r="D50" s="217">
        <f>IF('Tariff Jul 2020'!O36="",$C$36*$C$37*'Tariff Jul 2020'!N36/100,IF($C$36*$C$37&gt;='Tariff Jul 2020'!P36,('Tariff Jul 2020'!P36*'Tariff Jul 2020'!N36/100),($C$36*$C$37*'Tariff Jul 2020'!N36/100)))</f>
        <v>345.2727272727272</v>
      </c>
      <c r="E50" s="217">
        <f>IF(AND('Tariff Jul 2020'!P36&gt;0,'Tariff Jul 2020'!R36&gt;0),IF($C$36*$C$37&lt;'Tariff Jul 2020'!P36,0,IF($C$36*$C$37&lt;=('Tariff Jul 2020'!R36+'Tariff Jul 2020'!P36),(($C$36*$C$37-'Tariff Jul 2020'!P36)*'Tariff Jul 2020'!Q36/100),(('Tariff Jul 2020'!R36)*'Tariff Jul 2020'!Q36/100))),0)</f>
        <v>0</v>
      </c>
      <c r="F50" s="217">
        <f>IF(AND('Tariff Jul 2020'!Q36&gt;0,'Tariff Jul 2020'!S36&gt;0),IF($C$36*$C$37&lt;('Tariff Jul 2020'!R36+'Tariff Jul 2020'!P36),0,IF($C$36*$C$37&lt;=('Tariff Jul 2020'!T36+'Tariff Jul 2020'!R36+'Tariff Jul 2020'!P36),(($C$36*$C$37-('Tariff Jul 2020'!R36+'Tariff Jul 2020'!P36))*'Tariff Jul 2020'!S36/100),('Tariff Jul 2020'!T36*'Tariff Jul 2020'!S36/100))),0)</f>
        <v>0</v>
      </c>
      <c r="G50" s="217">
        <f>IF(AND('Tariff Jul 2020'!R36&gt;0,'Tariff Jul 2020'!T36&gt;0),IF(($C$36*$C$37&lt;'Tariff Jul 2020'!T36),(0),($C$36*$C$37-'Tariff Jul 2020'!T36)*'Tariff Jul 2020'!U36/100),IF(AND('Tariff Jul 2020'!R36&gt;0,'Tariff Jul 2020'!T36=""),IF(($C$36*$C$37&lt;'Tariff Jul 2020'!R36+'Tariff Jul 2020'!P36),(0),(($C$36*$C$37-('Tariff Jul 2020'!R36+'Tariff Jul 2020'!P36))*'Tariff Jul 2020'!S36/100)),IF(AND('Tariff Jul 2020'!P36&gt;0,'Tariff Jul 2020'!R36=""&gt;0),IF(($C$36*$C$37&lt;'Tariff Jul 2020'!P36),(0),($C$36*$C$37-'Tariff Jul 2020'!P36)*'Tariff Jul 2020'!Q36/100),0)))</f>
        <v>184.22727272727272</v>
      </c>
      <c r="H50" s="217">
        <f>($C$36*$C$38)*'Tariff Jul 2020'!AE36/100</f>
        <v>62.69318181818182</v>
      </c>
      <c r="I50" s="217">
        <f t="shared" si="20"/>
        <v>663.09872727272727</v>
      </c>
      <c r="J50" s="252">
        <f t="shared" si="21"/>
        <v>2368.7727272727275</v>
      </c>
      <c r="K50" s="203">
        <f t="shared" si="22"/>
        <v>2652.3949090909091</v>
      </c>
      <c r="L50" s="203">
        <f t="shared" si="23"/>
        <v>2917.6344000000004</v>
      </c>
      <c r="M50" s="200">
        <f>'Tariff Jul 2020'!AZ36</f>
        <v>13</v>
      </c>
      <c r="N50" s="200">
        <f>'Tariff Jul 2020'!BA36</f>
        <v>0</v>
      </c>
      <c r="O50" s="200">
        <f>'Tariff Jul 2020'!BB36</f>
        <v>0</v>
      </c>
      <c r="P50" s="200">
        <f>'Tariff Jul 2020'!BC36</f>
        <v>0</v>
      </c>
      <c r="Q50" s="204" t="str">
        <f t="shared" si="24"/>
        <v>Guaranteed off bill</v>
      </c>
      <c r="R50" s="205" t="str">
        <f t="shared" si="28"/>
        <v>Inclusive</v>
      </c>
      <c r="S50" s="254">
        <f t="shared" si="25"/>
        <v>2307.5835709090911</v>
      </c>
      <c r="T50" s="252">
        <f t="shared" si="26"/>
        <v>2307.5835709090911</v>
      </c>
      <c r="U50" s="260">
        <f t="shared" si="27"/>
        <v>2538.3419280000003</v>
      </c>
      <c r="V50" s="260">
        <f t="shared" si="27"/>
        <v>2538.3419280000003</v>
      </c>
      <c r="W50" s="206">
        <f>'Tariff Jul 2020'!BL36</f>
        <v>0</v>
      </c>
      <c r="X50" s="207" t="str">
        <f>'Tariff Jul 2020'!BM36</f>
        <v>n</v>
      </c>
    </row>
    <row r="51" spans="1:24" x14ac:dyDescent="0.15">
      <c r="A51" s="199" t="str">
        <f>'Tariff Jul 2020'!K37</f>
        <v>Powerdirect</v>
      </c>
      <c r="B51" s="200" t="str">
        <f>'Tariff Jul 2020'!L37</f>
        <v>Rate Saver</v>
      </c>
      <c r="C51" s="217">
        <f>IF('Tariff Jul 2020'!BP37=0,91*'Tariff Jul 2020'!M37/100,(91*'Tariff Jul 2020'!M37/100)+'Tariff Jul 2020'!BP37/4)</f>
        <v>65.098090909090899</v>
      </c>
      <c r="D51" s="217">
        <f>IF('Tariff Jul 2020'!O37="",$C$36*$C$37*'Tariff Jul 2020'!N37/100,IF($C$36*$C$37&gt;='Tariff Jul 2020'!P37,('Tariff Jul 2020'!P37*'Tariff Jul 2020'!N37/100),($C$36*$C$37*'Tariff Jul 2020'!N37/100)))</f>
        <v>457.7727272727272</v>
      </c>
      <c r="E51" s="217">
        <f>IF(AND('Tariff Jul 2020'!P37&gt;0,'Tariff Jul 2020'!R37&gt;0),IF($C$36*$C$37&lt;'Tariff Jul 2020'!P37,0,IF($C$36*$C$37&lt;=('Tariff Jul 2020'!R37+'Tariff Jul 2020'!P37),(($C$36*$C$37-'Tariff Jul 2020'!P37)*'Tariff Jul 2020'!Q37/100),(('Tariff Jul 2020'!R37)*'Tariff Jul 2020'!Q37/100))),0)</f>
        <v>0</v>
      </c>
      <c r="F51" s="217">
        <f>IF(AND('Tariff Jul 2020'!Q37&gt;0,'Tariff Jul 2020'!S37&gt;0),IF($C$36*$C$37&lt;('Tariff Jul 2020'!R37+'Tariff Jul 2020'!P37),0,IF($C$36*$C$37&lt;=('Tariff Jul 2020'!T37+'Tariff Jul 2020'!R37+'Tariff Jul 2020'!P37),(($C$36*$C$37-('Tariff Jul 2020'!R37+'Tariff Jul 2020'!P37))*'Tariff Jul 2020'!S37/100),('Tariff Jul 2020'!T37*'Tariff Jul 2020'!S37/100))),0)</f>
        <v>0</v>
      </c>
      <c r="G51" s="217">
        <f>IF(AND('Tariff Jul 2020'!R37&gt;0,'Tariff Jul 2020'!T37&gt;0),IF(($C$36*$C$37&lt;'Tariff Jul 2020'!T37),(0),($C$36*$C$37-'Tariff Jul 2020'!T37)*'Tariff Jul 2020'!U37/100),IF(AND('Tariff Jul 2020'!R37&gt;0,'Tariff Jul 2020'!T37=""),IF(($C$36*$C$37&lt;'Tariff Jul 2020'!R37+'Tariff Jul 2020'!P37),(0),(($C$36*$C$37-('Tariff Jul 2020'!R37+'Tariff Jul 2020'!P37))*'Tariff Jul 2020'!S37/100)),IF(AND('Tariff Jul 2020'!P37&gt;0,'Tariff Jul 2020'!R37=""&gt;0),IF(($C$36*$C$37&lt;'Tariff Jul 2020'!P37),(0),($C$36*$C$37-'Tariff Jul 2020'!P37)*'Tariff Jul 2020'!Q37/100),0)))</f>
        <v>0</v>
      </c>
      <c r="H51" s="217">
        <f>($C$36*$C$38)*'Tariff Jul 2020'!AE37/100</f>
        <v>56.693181818181813</v>
      </c>
      <c r="I51" s="217">
        <f t="shared" si="20"/>
        <v>579.56399999999985</v>
      </c>
      <c r="J51" s="252">
        <f t="shared" si="21"/>
        <v>2057.863636363636</v>
      </c>
      <c r="K51" s="203">
        <f t="shared" si="22"/>
        <v>2318.2559999999994</v>
      </c>
      <c r="L51" s="203">
        <f t="shared" si="23"/>
        <v>2550.0815999999995</v>
      </c>
      <c r="M51" s="200">
        <f>'Tariff Jul 2020'!AZ37</f>
        <v>0</v>
      </c>
      <c r="N51" s="200">
        <f>'Tariff Jul 2020'!BA37</f>
        <v>0</v>
      </c>
      <c r="O51" s="200">
        <f>'Tariff Jul 2020'!BB37</f>
        <v>0</v>
      </c>
      <c r="P51" s="200">
        <f>'Tariff Jul 2020'!BC37</f>
        <v>0</v>
      </c>
      <c r="Q51" s="204" t="str">
        <f t="shared" si="24"/>
        <v>No discount</v>
      </c>
      <c r="R51" s="205" t="str">
        <f t="shared" si="28"/>
        <v>Exclusive</v>
      </c>
      <c r="S51" s="254">
        <f t="shared" si="25"/>
        <v>2318.2559999999994</v>
      </c>
      <c r="T51" s="252">
        <f t="shared" si="26"/>
        <v>2318.2559999999994</v>
      </c>
      <c r="U51" s="260">
        <f t="shared" si="27"/>
        <v>2550.0815999999995</v>
      </c>
      <c r="V51" s="260">
        <f t="shared" si="27"/>
        <v>2550.0815999999995</v>
      </c>
      <c r="W51" s="206">
        <f>'Tariff Jul 2020'!BL37</f>
        <v>0</v>
      </c>
      <c r="X51" s="207" t="str">
        <f>'Tariff Jul 2020'!BM37</f>
        <v>n</v>
      </c>
    </row>
    <row r="52" spans="1:24" x14ac:dyDescent="0.15">
      <c r="A52" s="199" t="str">
        <f>'Tariff Jul 2020'!K38</f>
        <v>Red Energy</v>
      </c>
      <c r="B52" s="200" t="str">
        <f>'Tariff Jul 2020'!L38</f>
        <v>Living Energy Saver</v>
      </c>
      <c r="C52" s="217">
        <f>IF('Tariff Jul 2020'!BP38=0,91*'Tariff Jul 2020'!M38/100,(91*'Tariff Jul 2020'!M38/100)+'Tariff Jul 2020'!BP38/4)</f>
        <v>97.37</v>
      </c>
      <c r="D52" s="217">
        <f>IF('Tariff Jul 2020'!O38="",$C$36*$C$37*'Tariff Jul 2020'!N38/100,IF($C$36*$C$37&gt;='Tariff Jul 2020'!P38,('Tariff Jul 2020'!P38*'Tariff Jul 2020'!N38/100),($C$36*$C$37*'Tariff Jul 2020'!N38/100)))</f>
        <v>476.72727272727275</v>
      </c>
      <c r="E52" s="217">
        <f>IF(AND('Tariff Jul 2020'!P38&gt;0,'Tariff Jul 2020'!R38&gt;0),IF($C$36*$C$37&lt;'Tariff Jul 2020'!P38,0,IF($C$36*$C$37&lt;=('Tariff Jul 2020'!R38+'Tariff Jul 2020'!P38),(($C$36*$C$37-'Tariff Jul 2020'!P38)*'Tariff Jul 2020'!Q38/100),(('Tariff Jul 2020'!R38)*'Tariff Jul 2020'!Q38/100))),0)</f>
        <v>0</v>
      </c>
      <c r="F52" s="217">
        <f>IF(AND('Tariff Jul 2020'!Q38&gt;0,'Tariff Jul 2020'!S38&gt;0),IF($C$36*$C$37&lt;('Tariff Jul 2020'!R38+'Tariff Jul 2020'!P38),0,IF($C$36*$C$37&lt;=('Tariff Jul 2020'!T38+'Tariff Jul 2020'!R38+'Tariff Jul 2020'!P38),(($C$36*$C$37-('Tariff Jul 2020'!R38+'Tariff Jul 2020'!P38))*'Tariff Jul 2020'!S38/100),('Tariff Jul 2020'!T38*'Tariff Jul 2020'!S38/100))),0)</f>
        <v>0</v>
      </c>
      <c r="G52" s="217">
        <f>IF(AND('Tariff Jul 2020'!R38&gt;0,'Tariff Jul 2020'!T38&gt;0),IF(($C$36*$C$37&lt;'Tariff Jul 2020'!T38),(0),($C$36*$C$37-'Tariff Jul 2020'!T38)*'Tariff Jul 2020'!U38/100),IF(AND('Tariff Jul 2020'!R38&gt;0,'Tariff Jul 2020'!T38=""),IF(($C$36*$C$37&lt;'Tariff Jul 2020'!R38+'Tariff Jul 2020'!P38),(0),(($C$36*$C$37-('Tariff Jul 2020'!R38+'Tariff Jul 2020'!P38))*'Tariff Jul 2020'!S38/100)),IF(AND('Tariff Jul 2020'!P38&gt;0,'Tariff Jul 2020'!R38=""&gt;0),IF(($C$36*$C$37&lt;'Tariff Jul 2020'!P38),(0),($C$36*$C$37-'Tariff Jul 2020'!P38)*'Tariff Jul 2020'!Q38/100),0)))</f>
        <v>0</v>
      </c>
      <c r="H52" s="217">
        <f>($C$36*$C$38)*'Tariff Jul 2020'!AE38/100</f>
        <v>65.454545454545453</v>
      </c>
      <c r="I52" s="217">
        <f t="shared" si="20"/>
        <v>639.55181818181825</v>
      </c>
      <c r="J52" s="252">
        <f t="shared" si="21"/>
        <v>2168.727272727273</v>
      </c>
      <c r="K52" s="203">
        <f t="shared" si="22"/>
        <v>2558.207272727273</v>
      </c>
      <c r="L52" s="203">
        <f t="shared" si="23"/>
        <v>2814.0280000000007</v>
      </c>
      <c r="M52" s="200">
        <f>'Tariff Jul 2020'!AZ38</f>
        <v>0</v>
      </c>
      <c r="N52" s="200">
        <f>'Tariff Jul 2020'!BA38</f>
        <v>0</v>
      </c>
      <c r="O52" s="200">
        <f>'Tariff Jul 2020'!BB38</f>
        <v>0</v>
      </c>
      <c r="P52" s="200">
        <f>'Tariff Jul 2020'!BC38</f>
        <v>0</v>
      </c>
      <c r="Q52" s="204" t="str">
        <f t="shared" si="24"/>
        <v>No discount</v>
      </c>
      <c r="R52" s="205" t="str">
        <f t="shared" si="28"/>
        <v>Inclusive</v>
      </c>
      <c r="S52" s="254">
        <f t="shared" si="25"/>
        <v>2558.207272727273</v>
      </c>
      <c r="T52" s="252">
        <f t="shared" si="26"/>
        <v>2558.207272727273</v>
      </c>
      <c r="U52" s="260">
        <f t="shared" si="27"/>
        <v>2814.0280000000007</v>
      </c>
      <c r="V52" s="260">
        <f t="shared" si="27"/>
        <v>2814.0280000000007</v>
      </c>
      <c r="W52" s="206">
        <f>'Tariff Jul 2020'!BL38</f>
        <v>0</v>
      </c>
      <c r="X52" s="207" t="str">
        <f>'Tariff Jul 2020'!BM38</f>
        <v>n</v>
      </c>
    </row>
    <row r="53" spans="1:24" x14ac:dyDescent="0.15">
      <c r="A53" s="199" t="str">
        <f>'Tariff Jul 2020'!K39</f>
        <v>Energy Locals</v>
      </c>
      <c r="B53" s="200" t="str">
        <f>'Tariff Jul 2020'!L39</f>
        <v>Local Saver</v>
      </c>
      <c r="C53" s="217">
        <f>IF('Tariff Jul 2020'!BP39=0,91*'Tariff Jul 2020'!M39/100,(91*'Tariff Jul 2020'!M39/100)+'Tariff Jul 2020'!BP39/4)</f>
        <v>110.03749999999999</v>
      </c>
      <c r="D53" s="217">
        <f>IF('Tariff Jul 2020'!O39="",$C$36*$C$37*'Tariff Jul 2020'!N39/100,IF($C$36*$C$37&gt;='Tariff Jul 2020'!P39,('Tariff Jul 2020'!P39*'Tariff Jul 2020'!N39/100),($C$36*$C$37*'Tariff Jul 2020'!N39/100)))</f>
        <v>409.05</v>
      </c>
      <c r="E53" s="217">
        <f>IF(AND('Tariff Jul 2020'!P39&gt;0,'Tariff Jul 2020'!R39&gt;0),IF($C$36*$C$37&lt;'Tariff Jul 2020'!P39,0,IF($C$36*$C$37&lt;=('Tariff Jul 2020'!R39+'Tariff Jul 2020'!P39),(($C$36*$C$37-'Tariff Jul 2020'!P39)*'Tariff Jul 2020'!Q39/100),(('Tariff Jul 2020'!R39)*'Tariff Jul 2020'!Q39/100))),0)</f>
        <v>0</v>
      </c>
      <c r="F53" s="217">
        <f>IF(AND('Tariff Jul 2020'!Q39&gt;0,'Tariff Jul 2020'!S39&gt;0),IF($C$36*$C$37&lt;('Tariff Jul 2020'!R39+'Tariff Jul 2020'!P39),0,IF($C$36*$C$37&lt;=('Tariff Jul 2020'!T39+'Tariff Jul 2020'!R39+'Tariff Jul 2020'!P39),(($C$36*$C$37-('Tariff Jul 2020'!R39+'Tariff Jul 2020'!P39))*'Tariff Jul 2020'!S39/100),('Tariff Jul 2020'!T39*'Tariff Jul 2020'!S39/100))),0)</f>
        <v>0</v>
      </c>
      <c r="G53" s="217">
        <f>IF(AND('Tariff Jul 2020'!R39&gt;0,'Tariff Jul 2020'!T39&gt;0),IF(($C$36*$C$37&lt;'Tariff Jul 2020'!T39),(0),($C$36*$C$37-'Tariff Jul 2020'!T39)*'Tariff Jul 2020'!U39/100),IF(AND('Tariff Jul 2020'!R39&gt;0,'Tariff Jul 2020'!T39=""),IF(($C$36*$C$37&lt;'Tariff Jul 2020'!R39+'Tariff Jul 2020'!P39),(0),(($C$36*$C$37-('Tariff Jul 2020'!R39+'Tariff Jul 2020'!P39))*'Tariff Jul 2020'!S39/100)),IF(AND('Tariff Jul 2020'!P39&gt;0,'Tariff Jul 2020'!R39=""&gt;0),IF(($C$36*$C$37&lt;'Tariff Jul 2020'!P39),(0),($C$36*$C$37-'Tariff Jul 2020'!P39)*'Tariff Jul 2020'!Q39/100),0)))</f>
        <v>0</v>
      </c>
      <c r="H53" s="217">
        <f>($C$36*$C$38)*'Tariff Jul 2020'!AE39/100</f>
        <v>68.174999999999997</v>
      </c>
      <c r="I53" s="217">
        <f t="shared" si="20"/>
        <v>587.26249999999993</v>
      </c>
      <c r="J53" s="252">
        <f t="shared" si="21"/>
        <v>1908.8999999999996</v>
      </c>
      <c r="K53" s="203">
        <f t="shared" si="22"/>
        <v>2349.0499999999997</v>
      </c>
      <c r="L53" s="203">
        <f t="shared" si="23"/>
        <v>2583.9549999999999</v>
      </c>
      <c r="M53" s="200">
        <f>'Tariff Jul 2020'!AZ39</f>
        <v>0</v>
      </c>
      <c r="N53" s="200">
        <f>'Tariff Jul 2020'!BA39</f>
        <v>0</v>
      </c>
      <c r="O53" s="200">
        <f>'Tariff Jul 2020'!BB39</f>
        <v>0</v>
      </c>
      <c r="P53" s="200">
        <f>'Tariff Jul 2020'!BC39</f>
        <v>0</v>
      </c>
      <c r="Q53" s="204" t="str">
        <f t="shared" si="24"/>
        <v>No discount</v>
      </c>
      <c r="R53" s="205" t="str">
        <f t="shared" si="28"/>
        <v>Exclusive</v>
      </c>
      <c r="S53" s="254">
        <f t="shared" si="25"/>
        <v>2349.0499999999997</v>
      </c>
      <c r="T53" s="252">
        <f t="shared" si="26"/>
        <v>2349.0499999999997</v>
      </c>
      <c r="U53" s="260">
        <f t="shared" si="27"/>
        <v>2583.9549999999999</v>
      </c>
      <c r="V53" s="260">
        <f t="shared" si="27"/>
        <v>2583.9549999999999</v>
      </c>
      <c r="W53" s="206">
        <f>'Tariff Jul 2020'!BL39</f>
        <v>0</v>
      </c>
      <c r="X53" s="207" t="str">
        <f>'Tariff Jul 2020'!BM39</f>
        <v>n</v>
      </c>
    </row>
    <row r="54" spans="1:24" x14ac:dyDescent="0.15">
      <c r="A54" s="199" t="str">
        <f>'Tariff Jul 2020'!K40</f>
        <v>Simply Energy</v>
      </c>
      <c r="B54" s="200" t="str">
        <f>'Tariff Jul 2020'!L40</f>
        <v>Saver</v>
      </c>
      <c r="C54" s="217">
        <f>IF('Tariff Jul 2020'!BP40=0,91*'Tariff Jul 2020'!M40/100,(91*'Tariff Jul 2020'!M40/100)+'Tariff Jul 2020'!BP40/4)</f>
        <v>88.27</v>
      </c>
      <c r="D54" s="217">
        <f>IF('Tariff Jul 2020'!O40="",$C$36*$C$37*'Tariff Jul 2020'!N40/100,IF($C$36*$C$37&gt;='Tariff Jul 2020'!P40,('Tariff Jul 2020'!P40*'Tariff Jul 2020'!N40/100),($C$36*$C$37*'Tariff Jul 2020'!N40/100)))</f>
        <v>491.72727272727275</v>
      </c>
      <c r="E54" s="217">
        <f>IF(AND('Tariff Jul 2020'!P40&gt;0,'Tariff Jul 2020'!R40&gt;0),IF($C$36*$C$37&lt;'Tariff Jul 2020'!P40,0,IF($C$36*$C$37&lt;=('Tariff Jul 2020'!R40+'Tariff Jul 2020'!P40),(($C$36*$C$37-'Tariff Jul 2020'!P40)*'Tariff Jul 2020'!Q40/100),(('Tariff Jul 2020'!R40)*'Tariff Jul 2020'!Q40/100))),0)</f>
        <v>0</v>
      </c>
      <c r="F54" s="217">
        <f>IF(AND('Tariff Jul 2020'!Q40&gt;0,'Tariff Jul 2020'!S40&gt;0),IF($C$36*$C$37&lt;('Tariff Jul 2020'!R40+'Tariff Jul 2020'!P40),0,IF($C$36*$C$37&lt;=('Tariff Jul 2020'!T40+'Tariff Jul 2020'!R40+'Tariff Jul 2020'!P40),(($C$36*$C$37-('Tariff Jul 2020'!R40+'Tariff Jul 2020'!P40))*'Tariff Jul 2020'!S40/100),('Tariff Jul 2020'!T40*'Tariff Jul 2020'!S40/100))),0)</f>
        <v>0</v>
      </c>
      <c r="G54" s="217">
        <f>IF(AND('Tariff Jul 2020'!R40&gt;0,'Tariff Jul 2020'!T40&gt;0),IF(($C$36*$C$37&lt;'Tariff Jul 2020'!T40),(0),($C$36*$C$37-'Tariff Jul 2020'!T40)*'Tariff Jul 2020'!U40/100),IF(AND('Tariff Jul 2020'!R40&gt;0,'Tariff Jul 2020'!T40=""),IF(($C$36*$C$37&lt;'Tariff Jul 2020'!R40+'Tariff Jul 2020'!P40),(0),(($C$36*$C$37-('Tariff Jul 2020'!R40+'Tariff Jul 2020'!P40))*'Tariff Jul 2020'!S40/100)),IF(AND('Tariff Jul 2020'!P40&gt;0,'Tariff Jul 2020'!R40=""&gt;0),IF(($C$36*$C$37&lt;'Tariff Jul 2020'!P40),(0),($C$36*$C$37-'Tariff Jul 2020'!P40)*'Tariff Jul 2020'!Q40/100),0)))</f>
        <v>0</v>
      </c>
      <c r="H54" s="217">
        <f>($C$36*$C$38)*'Tariff Jul 2020'!AE40/100</f>
        <v>64.397727272727266</v>
      </c>
      <c r="I54" s="217">
        <f t="shared" si="20"/>
        <v>644.39499999999998</v>
      </c>
      <c r="J54" s="252">
        <f t="shared" si="21"/>
        <v>2224.5</v>
      </c>
      <c r="K54" s="203">
        <f t="shared" si="22"/>
        <v>2577.58</v>
      </c>
      <c r="L54" s="203">
        <f t="shared" si="23"/>
        <v>2835.3380000000002</v>
      </c>
      <c r="M54" s="200">
        <f>'Tariff Jul 2020'!AZ40</f>
        <v>0</v>
      </c>
      <c r="N54" s="200">
        <f>'Tariff Jul 2020'!BA40</f>
        <v>8</v>
      </c>
      <c r="O54" s="200">
        <f>'Tariff Jul 2020'!BB40</f>
        <v>0</v>
      </c>
      <c r="P54" s="200">
        <f>'Tariff Jul 2020'!BC40</f>
        <v>0</v>
      </c>
      <c r="Q54" s="204" t="str">
        <f t="shared" si="24"/>
        <v>Guaranteed off usage</v>
      </c>
      <c r="R54" s="205" t="str">
        <f t="shared" si="28"/>
        <v>Exclusive</v>
      </c>
      <c r="S54" s="254">
        <f t="shared" si="25"/>
        <v>2399.62</v>
      </c>
      <c r="T54" s="252">
        <f t="shared" si="26"/>
        <v>2399.62</v>
      </c>
      <c r="U54" s="260">
        <f t="shared" si="27"/>
        <v>2639.5819999999999</v>
      </c>
      <c r="V54" s="260">
        <f t="shared" si="27"/>
        <v>2639.5819999999999</v>
      </c>
      <c r="W54" s="206">
        <f>'Tariff Jul 2020'!BL40</f>
        <v>0</v>
      </c>
      <c r="X54" s="207" t="str">
        <f>'Tariff Jul 2020'!BM40</f>
        <v>n</v>
      </c>
    </row>
    <row r="55" spans="1:24" x14ac:dyDescent="0.15">
      <c r="A55" s="199" t="str">
        <f>'Tariff Jul 2020'!K41</f>
        <v>Amaysim</v>
      </c>
      <c r="B55" s="200" t="str">
        <f>'Tariff Jul 2020'!L41</f>
        <v>Post-paid Electricity</v>
      </c>
      <c r="C55" s="217">
        <f>IF('Tariff Jul 2020'!BP41=0,91*'Tariff Jul 2020'!M41/100,(91*'Tariff Jul 2020'!M41/100)+'Tariff Jul 2020'!BP41/4)</f>
        <v>77.35827272727272</v>
      </c>
      <c r="D55" s="217">
        <f>IF('Tariff Jul 2020'!O41="",$C$36*$C$37*'Tariff Jul 2020'!N41/100,IF($C$36*$C$37&gt;='Tariff Jul 2020'!P41,('Tariff Jul 2020'!P41*'Tariff Jul 2020'!N41/100),($C$36*$C$37*'Tariff Jul 2020'!N41/100)))</f>
        <v>305.45454545454544</v>
      </c>
      <c r="E55" s="217">
        <f>IF(AND('Tariff Jul 2020'!P41&gt;0,'Tariff Jul 2020'!R41&gt;0),IF($C$36*$C$37&lt;'Tariff Jul 2020'!P41,0,IF($C$36*$C$37&lt;=('Tariff Jul 2020'!R41+'Tariff Jul 2020'!P41),(($C$36*$C$37-'Tariff Jul 2020'!P41)*'Tariff Jul 2020'!Q41/100),(('Tariff Jul 2020'!R41)*'Tariff Jul 2020'!Q41/100))),0)</f>
        <v>0</v>
      </c>
      <c r="F55" s="217">
        <f>IF(AND('Tariff Jul 2020'!Q41&gt;0,'Tariff Jul 2020'!S41&gt;0),IF($C$36*$C$37&lt;('Tariff Jul 2020'!R41+'Tariff Jul 2020'!P41),0,IF($C$36*$C$37&lt;=('Tariff Jul 2020'!T41+'Tariff Jul 2020'!R41+'Tariff Jul 2020'!P41),(($C$36*$C$37-('Tariff Jul 2020'!R41+'Tariff Jul 2020'!P41))*'Tariff Jul 2020'!S41/100),('Tariff Jul 2020'!T41*'Tariff Jul 2020'!S41/100))),0)</f>
        <v>0</v>
      </c>
      <c r="G55" s="217">
        <f>IF(AND('Tariff Jul 2020'!R41&gt;0,'Tariff Jul 2020'!T41&gt;0),IF(($C$36*$C$37&lt;'Tariff Jul 2020'!T41),(0),($C$36*$C$37-'Tariff Jul 2020'!T41)*'Tariff Jul 2020'!U41/100),IF(AND('Tariff Jul 2020'!R41&gt;0,'Tariff Jul 2020'!T41=""),IF(($C$36*$C$37&lt;'Tariff Jul 2020'!R41+'Tariff Jul 2020'!P41),(0),(($C$36*$C$37-('Tariff Jul 2020'!R41+'Tariff Jul 2020'!P41))*'Tariff Jul 2020'!S41/100)),IF(AND('Tariff Jul 2020'!P41&gt;0,'Tariff Jul 2020'!R41=""&gt;0),IF(($C$36*$C$37&lt;'Tariff Jul 2020'!P41),(0),($C$36*$C$37-'Tariff Jul 2020'!P41)*'Tariff Jul 2020'!Q41/100),0)))</f>
        <v>152.72727272727272</v>
      </c>
      <c r="H55" s="217">
        <f>($C$36*$C$38)*'Tariff Jul 2020'!AE41/100</f>
        <v>59.079545454545439</v>
      </c>
      <c r="I55" s="217">
        <f t="shared" si="20"/>
        <v>594.61963636363635</v>
      </c>
      <c r="J55" s="252">
        <f t="shared" si="21"/>
        <v>2069.0454545454545</v>
      </c>
      <c r="K55" s="203">
        <f t="shared" si="22"/>
        <v>2378.4785454545454</v>
      </c>
      <c r="L55" s="203">
        <f t="shared" si="23"/>
        <v>2616.3263999999999</v>
      </c>
      <c r="M55" s="200">
        <f>'Tariff Jul 2020'!AZ41</f>
        <v>0</v>
      </c>
      <c r="N55" s="200">
        <f>'Tariff Jul 2020'!BA41</f>
        <v>0</v>
      </c>
      <c r="O55" s="200">
        <f>'Tariff Jul 2020'!BB41</f>
        <v>0</v>
      </c>
      <c r="P55" s="200">
        <f>'Tariff Jul 2020'!BC41</f>
        <v>0</v>
      </c>
      <c r="Q55" s="204" t="str">
        <f t="shared" si="24"/>
        <v>No discount</v>
      </c>
      <c r="R55" s="205" t="str">
        <f t="shared" si="28"/>
        <v>Exclusive</v>
      </c>
      <c r="S55" s="254">
        <f t="shared" si="25"/>
        <v>2378.4785454545454</v>
      </c>
      <c r="T55" s="252">
        <f t="shared" si="26"/>
        <v>2378.4785454545454</v>
      </c>
      <c r="U55" s="260">
        <f t="shared" si="27"/>
        <v>2616.3263999999999</v>
      </c>
      <c r="V55" s="260">
        <f t="shared" si="27"/>
        <v>2616.3263999999999</v>
      </c>
      <c r="W55" s="206">
        <f>'Tariff Jul 2020'!BL41</f>
        <v>0</v>
      </c>
      <c r="X55" s="207" t="str">
        <f>'Tariff Jul 2020'!BM41</f>
        <v>n</v>
      </c>
    </row>
    <row r="56" spans="1:24" x14ac:dyDescent="0.15">
      <c r="A56" s="199" t="str">
        <f>'Tariff Jul 2020'!K42</f>
        <v>Powershop</v>
      </c>
      <c r="B56" s="200" t="str">
        <f>'Tariff Jul 2020'!L42</f>
        <v>Shopper with Mega Pack</v>
      </c>
      <c r="C56" s="217">
        <f>IF('Tariff Jul 2020'!BP42=0,91*'Tariff Jul 2020'!M42/100,(91*'Tariff Jul 2020'!M42/100)+'Tariff Jul 2020'!BP42/4)</f>
        <v>94.300818181818158</v>
      </c>
      <c r="D56" s="217">
        <f>IF('Tariff Jul 2020'!O42="",$C$36*$C$37*'Tariff Jul 2020'!N42/100,IF($C$36*$C$37&gt;='Tariff Jul 2020'!P42,('Tariff Jul 2020'!P42*'Tariff Jul 2020'!N42/100),($C$36*$C$37*'Tariff Jul 2020'!N42/100)))</f>
        <v>400.90909090909082</v>
      </c>
      <c r="E56" s="217">
        <f>IF(AND('Tariff Jul 2020'!P42&gt;0,'Tariff Jul 2020'!R42&gt;0),IF($C$36*$C$37&lt;'Tariff Jul 2020'!P42,0,IF($C$36*$C$37&lt;=('Tariff Jul 2020'!R42+'Tariff Jul 2020'!P42),(($C$36*$C$37-'Tariff Jul 2020'!P42)*'Tariff Jul 2020'!Q42/100),(('Tariff Jul 2020'!R42)*'Tariff Jul 2020'!Q42/100))),0)</f>
        <v>0</v>
      </c>
      <c r="F56" s="217">
        <f>IF(AND('Tariff Jul 2020'!Q42&gt;0,'Tariff Jul 2020'!S42&gt;0),IF($C$36*$C$37&lt;('Tariff Jul 2020'!R42+'Tariff Jul 2020'!P42),0,IF($C$36*$C$37&lt;=('Tariff Jul 2020'!T42+'Tariff Jul 2020'!R42+'Tariff Jul 2020'!P42),(($C$36*$C$37-('Tariff Jul 2020'!R42+'Tariff Jul 2020'!P42))*'Tariff Jul 2020'!S42/100),('Tariff Jul 2020'!T42*'Tariff Jul 2020'!S42/100))),0)</f>
        <v>0</v>
      </c>
      <c r="G56" s="217">
        <f>IF(AND('Tariff Jul 2020'!R42&gt;0,'Tariff Jul 2020'!T42&gt;0),IF(($C$36*$C$37&lt;'Tariff Jul 2020'!T42),(0),($C$36*$C$37-'Tariff Jul 2020'!T42)*'Tariff Jul 2020'!U42/100),IF(AND('Tariff Jul 2020'!R42&gt;0,'Tariff Jul 2020'!T42=""),IF(($C$36*$C$37&lt;'Tariff Jul 2020'!R42+'Tariff Jul 2020'!P42),(0),(($C$36*$C$37-('Tariff Jul 2020'!R42+'Tariff Jul 2020'!P42))*'Tariff Jul 2020'!S42/100)),IF(AND('Tariff Jul 2020'!P42&gt;0,'Tariff Jul 2020'!R42=""&gt;0),IF(($C$36*$C$37&lt;'Tariff Jul 2020'!P42),(0),($C$36*$C$37-'Tariff Jul 2020'!P42)*'Tariff Jul 2020'!Q42/100),0)))</f>
        <v>0</v>
      </c>
      <c r="H56" s="217">
        <f>($C$36*$C$38)*'Tariff Jul 2020'!AE42/100</f>
        <v>61.534090909090907</v>
      </c>
      <c r="I56" s="217">
        <f t="shared" si="20"/>
        <v>556.74399999999991</v>
      </c>
      <c r="J56" s="252">
        <f t="shared" si="21"/>
        <v>1849.772727272727</v>
      </c>
      <c r="K56" s="203">
        <f t="shared" si="22"/>
        <v>2226.9759999999997</v>
      </c>
      <c r="L56" s="203">
        <f t="shared" si="23"/>
        <v>2449.6735999999996</v>
      </c>
      <c r="M56" s="200">
        <f>'Tariff Jul 2020'!AZ42</f>
        <v>0</v>
      </c>
      <c r="N56" s="200">
        <f>'Tariff Jul 2020'!BA42</f>
        <v>0</v>
      </c>
      <c r="O56" s="200">
        <f>'Tariff Jul 2020'!BB42</f>
        <v>6</v>
      </c>
      <c r="P56" s="200">
        <f>'Tariff Jul 2020'!BC42</f>
        <v>0</v>
      </c>
      <c r="Q56" s="204" t="str">
        <f t="shared" si="24"/>
        <v>Pay-on-time off bill</v>
      </c>
      <c r="R56" s="205" t="str">
        <f t="shared" si="28"/>
        <v>Inclusive</v>
      </c>
      <c r="S56" s="254">
        <f t="shared" si="25"/>
        <v>2226.9759999999997</v>
      </c>
      <c r="T56" s="252">
        <f t="shared" si="26"/>
        <v>2093.3574399999998</v>
      </c>
      <c r="U56" s="260">
        <f t="shared" si="27"/>
        <v>2449.6735999999996</v>
      </c>
      <c r="V56" s="260">
        <f t="shared" si="27"/>
        <v>2302.6931839999997</v>
      </c>
      <c r="W56" s="206">
        <f>'Tariff Jul 2020'!BL42</f>
        <v>0</v>
      </c>
      <c r="X56" s="207" t="str">
        <f>'Tariff Jul 2020'!BM42</f>
        <v>n</v>
      </c>
    </row>
    <row r="57" spans="1:24" x14ac:dyDescent="0.15">
      <c r="A57" s="199" t="str">
        <f>'Tariff Jul 2020'!K43</f>
        <v>Amber Electric</v>
      </c>
      <c r="B57" s="200" t="str">
        <f>'Tariff Jul 2020'!L43</f>
        <v>Amber 10</v>
      </c>
      <c r="C57" s="217">
        <f>IF('Tariff Jul 2020'!BP43=0,91*'Tariff Jul 2020'!M43/100,(91*'Tariff Jul 2020'!M43/100)+'Tariff Jul 2020'!BP43/4)</f>
        <v>104.04363636363635</v>
      </c>
      <c r="D57" s="217">
        <f>IF('Tariff Jul 2020'!O43="",$C$36*$C$37*'Tariff Jul 2020'!N43/100,IF($C$36*$C$37&gt;='Tariff Jul 2020'!P43,('Tariff Jul 2020'!P43*'Tariff Jul 2020'!N43/100),($C$36*$C$37*'Tariff Jul 2020'!N43/100)))</f>
        <v>468.13636363636351</v>
      </c>
      <c r="E57" s="217">
        <f>IF(AND('Tariff Jul 2020'!P43&gt;0,'Tariff Jul 2020'!R43&gt;0),IF($C$36*$C$37&lt;'Tariff Jul 2020'!P43,0,IF($C$36*$C$37&lt;=('Tariff Jul 2020'!R43+'Tariff Jul 2020'!P43),(($C$36*$C$37-'Tariff Jul 2020'!P43)*'Tariff Jul 2020'!Q43/100),(('Tariff Jul 2020'!R43)*'Tariff Jul 2020'!Q43/100))),0)</f>
        <v>0</v>
      </c>
      <c r="F57" s="217">
        <f>IF(AND('Tariff Jul 2020'!Q43&gt;0,'Tariff Jul 2020'!S43&gt;0),IF($C$36*$C$37&lt;('Tariff Jul 2020'!R43+'Tariff Jul 2020'!P43),0,IF($C$36*$C$37&lt;=('Tariff Jul 2020'!T43+'Tariff Jul 2020'!R43+'Tariff Jul 2020'!P43),(($C$36*$C$37-('Tariff Jul 2020'!R43+'Tariff Jul 2020'!P43))*'Tariff Jul 2020'!S43/100),('Tariff Jul 2020'!T43*'Tariff Jul 2020'!S43/100))),0)</f>
        <v>0</v>
      </c>
      <c r="G57" s="217">
        <f>IF(AND('Tariff Jul 2020'!R43&gt;0,'Tariff Jul 2020'!T43&gt;0),IF(($C$36*$C$37&lt;'Tariff Jul 2020'!T43),(0),($C$36*$C$37-'Tariff Jul 2020'!T43)*'Tariff Jul 2020'!U43/100),IF(AND('Tariff Jul 2020'!R43&gt;0,'Tariff Jul 2020'!T43=""),IF(($C$36*$C$37&lt;'Tariff Jul 2020'!R43+'Tariff Jul 2020'!P43),(0),(($C$36*$C$37-('Tariff Jul 2020'!R43+'Tariff Jul 2020'!P43))*'Tariff Jul 2020'!S43/100)),IF(AND('Tariff Jul 2020'!P43&gt;0,'Tariff Jul 2020'!R43=""&gt;0),IF(($C$36*$C$37&lt;'Tariff Jul 2020'!P43),(0),($C$36*$C$37-'Tariff Jul 2020'!P43)*'Tariff Jul 2020'!Q43/100),0)))</f>
        <v>0</v>
      </c>
      <c r="H57" s="217">
        <f>($C$36*$C$38)*'Tariff Jul 2020'!AE43/100</f>
        <v>65.011363636363626</v>
      </c>
      <c r="I57" s="217">
        <f t="shared" ref="I57:I64" si="29">SUM(C57:H57)</f>
        <v>637.19136363636346</v>
      </c>
      <c r="J57" s="252">
        <f t="shared" ref="J57:J64" si="30">(I57-C57)*4</f>
        <v>2132.5909090909086</v>
      </c>
      <c r="K57" s="203">
        <f t="shared" ref="K57:K64" si="31">I57*4</f>
        <v>2548.7654545454538</v>
      </c>
      <c r="L57" s="203">
        <f t="shared" ref="L57:L64" si="32">K57*1.1</f>
        <v>2803.6419999999994</v>
      </c>
      <c r="M57" s="200">
        <f>'Tariff Jul 2020'!AZ43</f>
        <v>0</v>
      </c>
      <c r="N57" s="200">
        <f>'Tariff Jul 2020'!BA43</f>
        <v>0</v>
      </c>
      <c r="O57" s="200">
        <f>'Tariff Jul 2020'!BB43</f>
        <v>0</v>
      </c>
      <c r="P57" s="200">
        <f>'Tariff Jul 2020'!BC43</f>
        <v>0</v>
      </c>
      <c r="Q57" s="204" t="str">
        <f t="shared" ref="Q57:Q64" si="33">IF(SUM(M57:P57)=0,"No discount",IF(M57&gt;0,"Guaranteed off bill",IF(N57&gt;0,"Guaranteed off usage",IF(O57&gt;0,"Pay-on-time off bill","Pay-on-time off usage"))))</f>
        <v>No discount</v>
      </c>
      <c r="R57" s="205" t="str">
        <f t="shared" ref="R57:R64" si="34">IF(OR(A57="Origin Energy",A57="Red Energy",A57="Powershop"),"Inclusive","Exclusive")</f>
        <v>Exclusive</v>
      </c>
      <c r="S57" s="254">
        <f t="shared" ref="S57:S64" si="35"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2548.7654545454538</v>
      </c>
      <c r="T57" s="252">
        <f t="shared" ref="T57:T64" si="36"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2548.7654545454538</v>
      </c>
      <c r="U57" s="260">
        <f t="shared" ref="U57:U64" si="37">S57*1.1</f>
        <v>2803.6419999999994</v>
      </c>
      <c r="V57" s="260">
        <f t="shared" ref="V57:V64" si="38">T57*1.1</f>
        <v>2803.6419999999994</v>
      </c>
      <c r="W57" s="206">
        <f>'Tariff Jul 2020'!BL43</f>
        <v>0</v>
      </c>
      <c r="X57" s="207" t="str">
        <f>'Tariff Jul 2020'!BM43</f>
        <v>n</v>
      </c>
    </row>
    <row r="58" spans="1:24" x14ac:dyDescent="0.15">
      <c r="A58" s="199" t="str">
        <f>'Tariff Jul 2020'!K44</f>
        <v>DC Power Co</v>
      </c>
      <c r="B58" s="200" t="str">
        <f>'Tariff Jul 2020'!L44</f>
        <v>Market offer</v>
      </c>
      <c r="C58" s="217">
        <f>IF('Tariff Jul 2020'!BP44=0,91*'Tariff Jul 2020'!M44/100,(91*'Tariff Jul 2020'!M44/100)+'Tariff Jul 2020'!BP44/4)</f>
        <v>117.83154545454545</v>
      </c>
      <c r="D58" s="217">
        <f>IF('Tariff Jul 2020'!O44="",$C$36*$C$37*'Tariff Jul 2020'!N44/100,IF($C$36*$C$37&gt;='Tariff Jul 2020'!P44,('Tariff Jul 2020'!P44*'Tariff Jul 2020'!N44/100),($C$36*$C$37*'Tariff Jul 2020'!N44/100)))</f>
        <v>453.40909090909082</v>
      </c>
      <c r="E58" s="217">
        <f>IF(AND('Tariff Jul 2020'!P44&gt;0,'Tariff Jul 2020'!R44&gt;0),IF($C$36*$C$37&lt;'Tariff Jul 2020'!P44,0,IF($C$36*$C$37&lt;=('Tariff Jul 2020'!R44+'Tariff Jul 2020'!P44),(($C$36*$C$37-'Tariff Jul 2020'!P44)*'Tariff Jul 2020'!Q44/100),(('Tariff Jul 2020'!R44)*'Tariff Jul 2020'!Q44/100))),0)</f>
        <v>0</v>
      </c>
      <c r="F58" s="217">
        <f>IF(AND('Tariff Jul 2020'!Q44&gt;0,'Tariff Jul 2020'!S44&gt;0),IF($C$36*$C$37&lt;('Tariff Jul 2020'!R44+'Tariff Jul 2020'!P44),0,IF($C$36*$C$37&lt;=('Tariff Jul 2020'!T44+'Tariff Jul 2020'!R44+'Tariff Jul 2020'!P44),(($C$36*$C$37-('Tariff Jul 2020'!R44+'Tariff Jul 2020'!P44))*'Tariff Jul 2020'!S44/100),('Tariff Jul 2020'!T44*'Tariff Jul 2020'!S44/100))),0)</f>
        <v>0</v>
      </c>
      <c r="G58" s="217">
        <f>IF(AND('Tariff Jul 2020'!R44&gt;0,'Tariff Jul 2020'!T44&gt;0),IF(($C$36*$C$37&lt;'Tariff Jul 2020'!T44),(0),($C$36*$C$37-'Tariff Jul 2020'!T44)*'Tariff Jul 2020'!U44/100),IF(AND('Tariff Jul 2020'!R44&gt;0,'Tariff Jul 2020'!T44=""),IF(($C$36*$C$37&lt;'Tariff Jul 2020'!R44+'Tariff Jul 2020'!P44),(0),(($C$36*$C$37-('Tariff Jul 2020'!R44+'Tariff Jul 2020'!P44))*'Tariff Jul 2020'!S44/100)),IF(AND('Tariff Jul 2020'!P44&gt;0,'Tariff Jul 2020'!R44=""&gt;0),IF(($C$36*$C$37&lt;'Tariff Jul 2020'!P44),(0),($C$36*$C$37-'Tariff Jul 2020'!P44)*'Tariff Jul 2020'!Q44/100),0)))</f>
        <v>0</v>
      </c>
      <c r="H58" s="217">
        <f>($C$36*$C$38)*'Tariff Jul 2020'!AE44/100</f>
        <v>86.693181818181813</v>
      </c>
      <c r="I58" s="217">
        <f t="shared" si="29"/>
        <v>657.93381818181797</v>
      </c>
      <c r="J58" s="252">
        <f t="shared" si="30"/>
        <v>2160.4090909090901</v>
      </c>
      <c r="K58" s="203">
        <f t="shared" si="31"/>
        <v>2631.7352727272719</v>
      </c>
      <c r="L58" s="203">
        <f t="shared" si="32"/>
        <v>2894.9087999999992</v>
      </c>
      <c r="M58" s="200">
        <f>'Tariff Jul 2020'!AZ44</f>
        <v>0</v>
      </c>
      <c r="N58" s="200">
        <f>'Tariff Jul 2020'!BA44</f>
        <v>0</v>
      </c>
      <c r="O58" s="200">
        <f>'Tariff Jul 2020'!BB44</f>
        <v>0</v>
      </c>
      <c r="P58" s="200">
        <f>'Tariff Jul 2020'!BC44</f>
        <v>0</v>
      </c>
      <c r="Q58" s="204" t="str">
        <f t="shared" si="33"/>
        <v>No discount</v>
      </c>
      <c r="R58" s="205" t="str">
        <f t="shared" si="34"/>
        <v>Exclusive</v>
      </c>
      <c r="S58" s="254">
        <f t="shared" si="35"/>
        <v>2631.7352727272719</v>
      </c>
      <c r="T58" s="252">
        <f t="shared" si="36"/>
        <v>2631.7352727272719</v>
      </c>
      <c r="U58" s="260">
        <f t="shared" si="37"/>
        <v>2894.9087999999992</v>
      </c>
      <c r="V58" s="260">
        <f t="shared" si="38"/>
        <v>2894.9087999999992</v>
      </c>
      <c r="W58" s="206">
        <f>'Tariff Jul 2020'!BL44</f>
        <v>0</v>
      </c>
      <c r="X58" s="207" t="str">
        <f>'Tariff Jul 2020'!BM44</f>
        <v>n</v>
      </c>
    </row>
    <row r="59" spans="1:24" x14ac:dyDescent="0.15">
      <c r="A59" s="199" t="str">
        <f>'Tariff Jul 2020'!K45</f>
        <v>Discover Energy</v>
      </c>
      <c r="B59" s="200" t="str">
        <f>'Tariff Jul 2020'!L45</f>
        <v>Economy Saver</v>
      </c>
      <c r="C59" s="217">
        <f>IF('Tariff Jul 2020'!BP45=0,91*'Tariff Jul 2020'!M45/100,(91*'Tariff Jul 2020'!M45/100)+'Tariff Jul 2020'!BP45/4)</f>
        <v>86.044636363636357</v>
      </c>
      <c r="D59" s="217">
        <f>IF('Tariff Jul 2020'!O45="",$C$36*$C$37*'Tariff Jul 2020'!N45/100,IF($C$36*$C$37&gt;='Tariff Jul 2020'!P45,('Tariff Jul 2020'!P45*'Tariff Jul 2020'!N45/100),($C$36*$C$37*'Tariff Jul 2020'!N45/100)))</f>
        <v>494.99999999999994</v>
      </c>
      <c r="E59" s="217">
        <f>IF(AND('Tariff Jul 2020'!P45&gt;0,'Tariff Jul 2020'!R45&gt;0),IF($C$36*$C$37&lt;'Tariff Jul 2020'!P45,0,IF($C$36*$C$37&lt;=('Tariff Jul 2020'!R45+'Tariff Jul 2020'!P45),(($C$36*$C$37-'Tariff Jul 2020'!P45)*'Tariff Jul 2020'!Q45/100),(('Tariff Jul 2020'!R45)*'Tariff Jul 2020'!Q45/100))),0)</f>
        <v>0</v>
      </c>
      <c r="F59" s="217">
        <f>IF(AND('Tariff Jul 2020'!Q45&gt;0,'Tariff Jul 2020'!S45&gt;0),IF($C$36*$C$37&lt;('Tariff Jul 2020'!R45+'Tariff Jul 2020'!P45),0,IF($C$36*$C$37&lt;=('Tariff Jul 2020'!T45+'Tariff Jul 2020'!R45+'Tariff Jul 2020'!P45),(($C$36*$C$37-('Tariff Jul 2020'!R45+'Tariff Jul 2020'!P45))*'Tariff Jul 2020'!S45/100),('Tariff Jul 2020'!T45*'Tariff Jul 2020'!S45/100))),0)</f>
        <v>0</v>
      </c>
      <c r="G59" s="217">
        <f>IF(AND('Tariff Jul 2020'!R45&gt;0,'Tariff Jul 2020'!T45&gt;0),IF(($C$36*$C$37&lt;'Tariff Jul 2020'!T45),(0),($C$36*$C$37-'Tariff Jul 2020'!T45)*'Tariff Jul 2020'!U45/100),IF(AND('Tariff Jul 2020'!R45&gt;0,'Tariff Jul 2020'!T45=""),IF(($C$36*$C$37&lt;'Tariff Jul 2020'!R45+'Tariff Jul 2020'!P45),(0),(($C$36*$C$37-('Tariff Jul 2020'!R45+'Tariff Jul 2020'!P45))*'Tariff Jul 2020'!S45/100)),IF(AND('Tariff Jul 2020'!P45&gt;0,'Tariff Jul 2020'!R45=""&gt;0),IF(($C$36*$C$37&lt;'Tariff Jul 2020'!P45),(0),($C$36*$C$37-'Tariff Jul 2020'!P45)*'Tariff Jul 2020'!Q45/100),0)))</f>
        <v>0</v>
      </c>
      <c r="H59" s="217">
        <f>($C$36*$C$38)*'Tariff Jul 2020'!AE45/100</f>
        <v>64.363636363636346</v>
      </c>
      <c r="I59" s="217">
        <f t="shared" si="29"/>
        <v>645.40827272727267</v>
      </c>
      <c r="J59" s="252">
        <f t="shared" si="30"/>
        <v>2237.454545454545</v>
      </c>
      <c r="K59" s="203">
        <f t="shared" si="31"/>
        <v>2581.6330909090907</v>
      </c>
      <c r="L59" s="203">
        <f t="shared" si="32"/>
        <v>2839.7964000000002</v>
      </c>
      <c r="M59" s="200">
        <f>'Tariff Jul 2020'!AZ45</f>
        <v>0</v>
      </c>
      <c r="N59" s="200">
        <f>'Tariff Jul 2020'!BA45</f>
        <v>10</v>
      </c>
      <c r="O59" s="200">
        <f>'Tariff Jul 2020'!BB45</f>
        <v>0</v>
      </c>
      <c r="P59" s="200">
        <f>'Tariff Jul 2020'!BC45</f>
        <v>0</v>
      </c>
      <c r="Q59" s="204" t="str">
        <f t="shared" si="33"/>
        <v>Guaranteed off usage</v>
      </c>
      <c r="R59" s="205" t="str">
        <f t="shared" si="34"/>
        <v>Exclusive</v>
      </c>
      <c r="S59" s="254">
        <f t="shared" si="35"/>
        <v>2357.8876363636364</v>
      </c>
      <c r="T59" s="252">
        <f t="shared" si="36"/>
        <v>2357.8876363636364</v>
      </c>
      <c r="U59" s="260">
        <f t="shared" si="37"/>
        <v>2593.6764000000003</v>
      </c>
      <c r="V59" s="260">
        <f t="shared" si="38"/>
        <v>2593.6764000000003</v>
      </c>
      <c r="W59" s="206">
        <f>'Tariff Jul 2020'!BL45</f>
        <v>0</v>
      </c>
      <c r="X59" s="207" t="str">
        <f>'Tariff Jul 2020'!BM45</f>
        <v>n</v>
      </c>
    </row>
    <row r="60" spans="1:24" x14ac:dyDescent="0.15">
      <c r="A60" s="199" t="str">
        <f>'Tariff Jul 2020'!K46</f>
        <v>Future X Power</v>
      </c>
      <c r="B60" s="200" t="str">
        <f>'Tariff Jul 2020'!L46</f>
        <v>Flexi Saver</v>
      </c>
      <c r="C60" s="217">
        <f>IF('Tariff Jul 2020'!BP46=0,91*'Tariff Jul 2020'!M46/100,(91*'Tariff Jul 2020'!M46/100)+'Tariff Jul 2020'!BP46/4)</f>
        <v>78.077999999999989</v>
      </c>
      <c r="D60" s="217">
        <f>IF('Tariff Jul 2020'!O46="",$C$36*$C$37*'Tariff Jul 2020'!N46/100,IF($C$36*$C$37&gt;='Tariff Jul 2020'!P46,('Tariff Jul 2020'!P46*'Tariff Jul 2020'!N46/100),($C$36*$C$37*'Tariff Jul 2020'!N46/100)))</f>
        <v>423.81818181818176</v>
      </c>
      <c r="E60" s="217">
        <f>IF(AND('Tariff Jul 2020'!P46&gt;0,'Tariff Jul 2020'!R46&gt;0),IF($C$36*$C$37&lt;'Tariff Jul 2020'!P46,0,IF($C$36*$C$37&lt;=('Tariff Jul 2020'!R46+'Tariff Jul 2020'!P46),(($C$36*$C$37-'Tariff Jul 2020'!P46)*'Tariff Jul 2020'!Q46/100),(('Tariff Jul 2020'!R46)*'Tariff Jul 2020'!Q46/100))),0)</f>
        <v>0</v>
      </c>
      <c r="F60" s="217">
        <f>IF(AND('Tariff Jul 2020'!Q46&gt;0,'Tariff Jul 2020'!S46&gt;0),IF($C$36*$C$37&lt;('Tariff Jul 2020'!R46+'Tariff Jul 2020'!P46),0,IF($C$36*$C$37&lt;=('Tariff Jul 2020'!T46+'Tariff Jul 2020'!R46+'Tariff Jul 2020'!P46),(($C$36*$C$37-('Tariff Jul 2020'!R46+'Tariff Jul 2020'!P46))*'Tariff Jul 2020'!S46/100),('Tariff Jul 2020'!T46*'Tariff Jul 2020'!S46/100))),0)</f>
        <v>0</v>
      </c>
      <c r="G60" s="217">
        <f>IF(AND('Tariff Jul 2020'!R46&gt;0,'Tariff Jul 2020'!T46&gt;0),IF(($C$36*$C$37&lt;'Tariff Jul 2020'!T46),(0),($C$36*$C$37-'Tariff Jul 2020'!T46)*'Tariff Jul 2020'!U46/100),IF(AND('Tariff Jul 2020'!R46&gt;0,'Tariff Jul 2020'!T46=""),IF(($C$36*$C$37&lt;'Tariff Jul 2020'!R46+'Tariff Jul 2020'!P46),(0),(($C$36*$C$37-('Tariff Jul 2020'!R46+'Tariff Jul 2020'!P46))*'Tariff Jul 2020'!S46/100)),IF(AND('Tariff Jul 2020'!P46&gt;0,'Tariff Jul 2020'!R46=""&gt;0),IF(($C$36*$C$37&lt;'Tariff Jul 2020'!P46),(0),($C$36*$C$37-'Tariff Jul 2020'!P46)*'Tariff Jul 2020'!Q46/100),0)))</f>
        <v>0</v>
      </c>
      <c r="H60" s="217">
        <f>($C$36*$C$38)*'Tariff Jul 2020'!AE46/100</f>
        <v>58.568181818181813</v>
      </c>
      <c r="I60" s="217">
        <f t="shared" si="29"/>
        <v>560.46436363636349</v>
      </c>
      <c r="J60" s="252">
        <f t="shared" si="30"/>
        <v>1929.545454545454</v>
      </c>
      <c r="K60" s="203">
        <f t="shared" si="31"/>
        <v>2241.8574545454539</v>
      </c>
      <c r="L60" s="203">
        <f t="shared" si="32"/>
        <v>2466.0431999999996</v>
      </c>
      <c r="M60" s="200">
        <f>'Tariff Jul 2020'!AZ46</f>
        <v>0</v>
      </c>
      <c r="N60" s="200">
        <f>'Tariff Jul 2020'!BA46</f>
        <v>0</v>
      </c>
      <c r="O60" s="200">
        <f>'Tariff Jul 2020'!BB46</f>
        <v>0</v>
      </c>
      <c r="P60" s="200">
        <f>'Tariff Jul 2020'!BC46</f>
        <v>0</v>
      </c>
      <c r="Q60" s="204" t="str">
        <f t="shared" si="33"/>
        <v>No discount</v>
      </c>
      <c r="R60" s="205" t="str">
        <f t="shared" si="34"/>
        <v>Exclusive</v>
      </c>
      <c r="S60" s="254">
        <f t="shared" si="35"/>
        <v>2241.8574545454539</v>
      </c>
      <c r="T60" s="252">
        <f t="shared" si="36"/>
        <v>2241.8574545454539</v>
      </c>
      <c r="U60" s="260">
        <f t="shared" si="37"/>
        <v>2466.0431999999996</v>
      </c>
      <c r="V60" s="260">
        <f t="shared" si="38"/>
        <v>2466.0431999999996</v>
      </c>
      <c r="W60" s="206">
        <f>'Tariff Jul 2020'!BL46</f>
        <v>0</v>
      </c>
      <c r="X60" s="207" t="str">
        <f>'Tariff Jul 2020'!BM46</f>
        <v>n</v>
      </c>
    </row>
    <row r="61" spans="1:24" x14ac:dyDescent="0.15">
      <c r="A61" s="199" t="str">
        <f>'Tariff Jul 2020'!K47</f>
        <v>GloBird Energy</v>
      </c>
      <c r="B61" s="200" t="str">
        <f>'Tariff Jul 2020'!L47</f>
        <v>GloSave</v>
      </c>
      <c r="C61" s="217">
        <f>IF('Tariff Jul 2020'!BP47=0,91*'Tariff Jul 2020'!M47/100,(91*'Tariff Jul 2020'!M47/100)+'Tariff Jul 2020'!BP47/4)</f>
        <v>90.999999999999986</v>
      </c>
      <c r="D61" s="217">
        <f>IF('Tariff Jul 2020'!O47="",$C$36*$C$37*'Tariff Jul 2020'!N47/100,IF($C$36*$C$37&gt;='Tariff Jul 2020'!P47,('Tariff Jul 2020'!P47*'Tariff Jul 2020'!N47/100),($C$36*$C$37*'Tariff Jul 2020'!N47/100)))</f>
        <v>257</v>
      </c>
      <c r="E61" s="217">
        <f>IF(AND('Tariff Jul 2020'!P47&gt;0,'Tariff Jul 2020'!R47&gt;0),IF($C$36*$C$37&lt;'Tariff Jul 2020'!P47,0,IF($C$36*$C$37&lt;=('Tariff Jul 2020'!R47+'Tariff Jul 2020'!P47),(($C$36*$C$37-'Tariff Jul 2020'!P47)*'Tariff Jul 2020'!Q47/100),(('Tariff Jul 2020'!R47)*'Tariff Jul 2020'!Q47/100))),0)</f>
        <v>0</v>
      </c>
      <c r="F61" s="217">
        <f>IF(AND('Tariff Jul 2020'!Q47&gt;0,'Tariff Jul 2020'!S47&gt;0),IF($C$36*$C$37&lt;('Tariff Jul 2020'!R47+'Tariff Jul 2020'!P47),0,IF($C$36*$C$37&lt;=('Tariff Jul 2020'!T47+'Tariff Jul 2020'!R47+'Tariff Jul 2020'!P47),(($C$36*$C$37-('Tariff Jul 2020'!R47+'Tariff Jul 2020'!P47))*'Tariff Jul 2020'!S47/100),('Tariff Jul 2020'!T47*'Tariff Jul 2020'!S47/100))),0)</f>
        <v>0</v>
      </c>
      <c r="G61" s="217">
        <f>IF(AND('Tariff Jul 2020'!R47&gt;0,'Tariff Jul 2020'!T47&gt;0),IF(($C$36*$C$37&lt;'Tariff Jul 2020'!T47),(0),($C$36*$C$37-'Tariff Jul 2020'!T47)*'Tariff Jul 2020'!U47/100),IF(AND('Tariff Jul 2020'!R47&gt;0,'Tariff Jul 2020'!T47=""),IF(($C$36*$C$37&lt;'Tariff Jul 2020'!R47+'Tariff Jul 2020'!P47),(0),(($C$36*$C$37-('Tariff Jul 2020'!R47+'Tariff Jul 2020'!P47))*'Tariff Jul 2020'!S47/100)),IF(AND('Tariff Jul 2020'!P47&gt;0,'Tariff Jul 2020'!R47=""&gt;0),IF(($C$36*$C$37&lt;'Tariff Jul 2020'!P47),(0),($C$36*$C$37-'Tariff Jul 2020'!P47)*'Tariff Jul 2020'!Q47/100),0)))</f>
        <v>169.99999999999997</v>
      </c>
      <c r="H61" s="217">
        <f>($C$36*$C$38)*'Tariff Jul 2020'!AE47/100</f>
        <v>71.249999999999986</v>
      </c>
      <c r="I61" s="217">
        <f t="shared" si="29"/>
        <v>589.25</v>
      </c>
      <c r="J61" s="252">
        <f t="shared" si="30"/>
        <v>1993</v>
      </c>
      <c r="K61" s="203">
        <f t="shared" si="31"/>
        <v>2357</v>
      </c>
      <c r="L61" s="203">
        <f t="shared" si="32"/>
        <v>2592.7000000000003</v>
      </c>
      <c r="M61" s="200">
        <f>'Tariff Jul 2020'!AZ47</f>
        <v>0</v>
      </c>
      <c r="N61" s="200">
        <f>'Tariff Jul 2020'!BA47</f>
        <v>0</v>
      </c>
      <c r="O61" s="200">
        <f>'Tariff Jul 2020'!BB47</f>
        <v>7</v>
      </c>
      <c r="P61" s="200">
        <f>'Tariff Jul 2020'!BC47</f>
        <v>0</v>
      </c>
      <c r="Q61" s="204" t="str">
        <f t="shared" si="33"/>
        <v>Pay-on-time off bill</v>
      </c>
      <c r="R61" s="205" t="str">
        <f t="shared" si="34"/>
        <v>Exclusive</v>
      </c>
      <c r="S61" s="254">
        <f t="shared" si="35"/>
        <v>2357</v>
      </c>
      <c r="T61" s="252">
        <f t="shared" si="36"/>
        <v>2192.0100000000002</v>
      </c>
      <c r="U61" s="260">
        <f t="shared" si="37"/>
        <v>2592.7000000000003</v>
      </c>
      <c r="V61" s="260">
        <f t="shared" si="38"/>
        <v>2411.2110000000002</v>
      </c>
      <c r="W61" s="206">
        <f>'Tariff Jul 2020'!BL47</f>
        <v>0</v>
      </c>
      <c r="X61" s="207" t="str">
        <f>'Tariff Jul 2020'!BM47</f>
        <v>n</v>
      </c>
    </row>
    <row r="62" spans="1:24" x14ac:dyDescent="0.15">
      <c r="A62" s="199" t="str">
        <f>'Tariff Jul 2020'!K48</f>
        <v>Kogan Energy</v>
      </c>
      <c r="B62" s="200" t="str">
        <f>'Tariff Jul 2020'!L48</f>
        <v>Market offer</v>
      </c>
      <c r="C62" s="217">
        <f>IF('Tariff Jul 2020'!BP48=0,91*'Tariff Jul 2020'!M48/100,(91*'Tariff Jul 2020'!M48/100)+'Tariff Jul 2020'!BP48/4)</f>
        <v>96.939818181818197</v>
      </c>
      <c r="D62" s="217">
        <f>IF('Tariff Jul 2020'!O48="",$C$36*$C$37*'Tariff Jul 2020'!N48/100,IF($C$36*$C$37&gt;='Tariff Jul 2020'!P48,('Tariff Jul 2020'!P48*'Tariff Jul 2020'!N48/100),($C$36*$C$37*'Tariff Jul 2020'!N48/100)))</f>
        <v>356.86363636363632</v>
      </c>
      <c r="E62" s="217">
        <f>IF(AND('Tariff Jul 2020'!P48&gt;0,'Tariff Jul 2020'!R48&gt;0),IF($C$36*$C$37&lt;'Tariff Jul 2020'!P48,0,IF($C$36*$C$37&lt;=('Tariff Jul 2020'!R48+'Tariff Jul 2020'!P48),(($C$36*$C$37-'Tariff Jul 2020'!P48)*'Tariff Jul 2020'!Q48/100),(('Tariff Jul 2020'!R48)*'Tariff Jul 2020'!Q48/100))),0)</f>
        <v>0</v>
      </c>
      <c r="F62" s="217">
        <f>IF(AND('Tariff Jul 2020'!Q48&gt;0,'Tariff Jul 2020'!S48&gt;0),IF($C$36*$C$37&lt;('Tariff Jul 2020'!R48+'Tariff Jul 2020'!P48),0,IF($C$36*$C$37&lt;=('Tariff Jul 2020'!T48+'Tariff Jul 2020'!R48+'Tariff Jul 2020'!P48),(($C$36*$C$37-('Tariff Jul 2020'!R48+'Tariff Jul 2020'!P48))*'Tariff Jul 2020'!S48/100),('Tariff Jul 2020'!T48*'Tariff Jul 2020'!S48/100))),0)</f>
        <v>0</v>
      </c>
      <c r="G62" s="217">
        <f>IF(AND('Tariff Jul 2020'!R48&gt;0,'Tariff Jul 2020'!T48&gt;0),IF(($C$36*$C$37&lt;'Tariff Jul 2020'!T48),(0),($C$36*$C$37-'Tariff Jul 2020'!T48)*'Tariff Jul 2020'!U48/100),IF(AND('Tariff Jul 2020'!R48&gt;0,'Tariff Jul 2020'!T48=""),IF(($C$36*$C$37&lt;'Tariff Jul 2020'!R48+'Tariff Jul 2020'!P48),(0),(($C$36*$C$37-('Tariff Jul 2020'!R48+'Tariff Jul 2020'!P48))*'Tariff Jul 2020'!S48/100)),IF(AND('Tariff Jul 2020'!P48&gt;0,'Tariff Jul 2020'!R48=""&gt;0),IF(($C$36*$C$37&lt;'Tariff Jul 2020'!P48),(0),($C$36*$C$37-'Tariff Jul 2020'!P48)*'Tariff Jul 2020'!Q48/100),0)))</f>
        <v>0</v>
      </c>
      <c r="H62" s="217">
        <f>($C$36*$C$38)*'Tariff Jul 2020'!AE48/100</f>
        <v>66.47727272727272</v>
      </c>
      <c r="I62" s="217">
        <f t="shared" si="29"/>
        <v>520.28072727272729</v>
      </c>
      <c r="J62" s="252">
        <f t="shared" si="30"/>
        <v>1693.3636363636365</v>
      </c>
      <c r="K62" s="203">
        <f t="shared" si="31"/>
        <v>2081.1229090909092</v>
      </c>
      <c r="L62" s="203">
        <f t="shared" si="32"/>
        <v>2289.2352000000001</v>
      </c>
      <c r="M62" s="200">
        <f>'Tariff Jul 2020'!AZ48</f>
        <v>0</v>
      </c>
      <c r="N62" s="200">
        <f>'Tariff Jul 2020'!BA48</f>
        <v>0</v>
      </c>
      <c r="O62" s="200">
        <f>'Tariff Jul 2020'!BB48</f>
        <v>0</v>
      </c>
      <c r="P62" s="200">
        <f>'Tariff Jul 2020'!BC48</f>
        <v>0</v>
      </c>
      <c r="Q62" s="204" t="str">
        <f t="shared" si="33"/>
        <v>No discount</v>
      </c>
      <c r="R62" s="205" t="str">
        <f t="shared" si="34"/>
        <v>Exclusive</v>
      </c>
      <c r="S62" s="254">
        <f t="shared" si="35"/>
        <v>2081.1229090909092</v>
      </c>
      <c r="T62" s="252">
        <f t="shared" si="36"/>
        <v>2081.1229090909092</v>
      </c>
      <c r="U62" s="260">
        <f t="shared" si="37"/>
        <v>2289.2352000000001</v>
      </c>
      <c r="V62" s="260">
        <f t="shared" si="38"/>
        <v>2289.2352000000001</v>
      </c>
      <c r="W62" s="206">
        <f>'Tariff Jul 2020'!BL48</f>
        <v>0</v>
      </c>
      <c r="X62" s="207" t="str">
        <f>'Tariff Jul 2020'!BM48</f>
        <v>n</v>
      </c>
    </row>
    <row r="63" spans="1:24" x14ac:dyDescent="0.15">
      <c r="A63" s="199" t="str">
        <f>'Tariff Jul 2020'!K49</f>
        <v>OVO Energy</v>
      </c>
      <c r="B63" s="200" t="str">
        <f>'Tariff Jul 2020'!L49</f>
        <v>The One Plan</v>
      </c>
      <c r="C63" s="217">
        <f>IF('Tariff Jul 2020'!BP49=0,91*'Tariff Jul 2020'!M49/100,(91*'Tariff Jul 2020'!M49/100)+'Tariff Jul 2020'!BP49/4)</f>
        <v>90.999999999999986</v>
      </c>
      <c r="D63" s="217">
        <f>IF('Tariff Jul 2020'!O49="",$C$36*$C$37*'Tariff Jul 2020'!N49/100,IF($C$36*$C$37&gt;='Tariff Jul 2020'!P49,('Tariff Jul 2020'!P49*'Tariff Jul 2020'!N49/100),($C$36*$C$37*'Tariff Jul 2020'!N49/100)))</f>
        <v>412.49999999999994</v>
      </c>
      <c r="E63" s="217">
        <f>IF(AND('Tariff Jul 2020'!P49&gt;0,'Tariff Jul 2020'!R49&gt;0),IF($C$36*$C$37&lt;'Tariff Jul 2020'!P49,0,IF($C$36*$C$37&lt;=('Tariff Jul 2020'!R49+'Tariff Jul 2020'!P49),(($C$36*$C$37-'Tariff Jul 2020'!P49)*'Tariff Jul 2020'!Q49/100),(('Tariff Jul 2020'!R49)*'Tariff Jul 2020'!Q49/100))),0)</f>
        <v>0</v>
      </c>
      <c r="F63" s="217">
        <f>IF(AND('Tariff Jul 2020'!Q49&gt;0,'Tariff Jul 2020'!S49&gt;0),IF($C$36*$C$37&lt;('Tariff Jul 2020'!R49+'Tariff Jul 2020'!P49),0,IF($C$36*$C$37&lt;=('Tariff Jul 2020'!T49+'Tariff Jul 2020'!R49+'Tariff Jul 2020'!P49),(($C$36*$C$37-('Tariff Jul 2020'!R49+'Tariff Jul 2020'!P49))*'Tariff Jul 2020'!S49/100),('Tariff Jul 2020'!T49*'Tariff Jul 2020'!S49/100))),0)</f>
        <v>0</v>
      </c>
      <c r="G63" s="217">
        <f>IF(AND('Tariff Jul 2020'!R49&gt;0,'Tariff Jul 2020'!T49&gt;0),IF(($C$36*$C$37&lt;'Tariff Jul 2020'!T49),(0),($C$36*$C$37-'Tariff Jul 2020'!T49)*'Tariff Jul 2020'!U49/100),IF(AND('Tariff Jul 2020'!R49&gt;0,'Tariff Jul 2020'!T49=""),IF(($C$36*$C$37&lt;'Tariff Jul 2020'!R49+'Tariff Jul 2020'!P49),(0),(($C$36*$C$37-('Tariff Jul 2020'!R49+'Tariff Jul 2020'!P49))*'Tariff Jul 2020'!S49/100)),IF(AND('Tariff Jul 2020'!P49&gt;0,'Tariff Jul 2020'!R49=""&gt;0),IF(($C$36*$C$37&lt;'Tariff Jul 2020'!P49),(0),($C$36*$C$37-'Tariff Jul 2020'!P49)*'Tariff Jul 2020'!Q49/100),0)))</f>
        <v>0</v>
      </c>
      <c r="H63" s="217">
        <f>($C$36*$C$38)*'Tariff Jul 2020'!AE49/100</f>
        <v>70.772727272727266</v>
      </c>
      <c r="I63" s="217">
        <f t="shared" si="29"/>
        <v>574.27272727272725</v>
      </c>
      <c r="J63" s="252">
        <f t="shared" si="30"/>
        <v>1933.090909090909</v>
      </c>
      <c r="K63" s="203">
        <f t="shared" si="31"/>
        <v>2297.090909090909</v>
      </c>
      <c r="L63" s="203">
        <f t="shared" si="32"/>
        <v>2526.8000000000002</v>
      </c>
      <c r="M63" s="200">
        <f>'Tariff Jul 2020'!AZ49</f>
        <v>0</v>
      </c>
      <c r="N63" s="200">
        <f>'Tariff Jul 2020'!BA49</f>
        <v>0</v>
      </c>
      <c r="O63" s="200">
        <f>'Tariff Jul 2020'!BB49</f>
        <v>0</v>
      </c>
      <c r="P63" s="200">
        <f>'Tariff Jul 2020'!BC49</f>
        <v>0</v>
      </c>
      <c r="Q63" s="204" t="str">
        <f t="shared" si="33"/>
        <v>No discount</v>
      </c>
      <c r="R63" s="205" t="str">
        <f t="shared" si="34"/>
        <v>Exclusive</v>
      </c>
      <c r="S63" s="254">
        <f t="shared" si="35"/>
        <v>2297.090909090909</v>
      </c>
      <c r="T63" s="252">
        <f t="shared" si="36"/>
        <v>2297.090909090909</v>
      </c>
      <c r="U63" s="260">
        <f t="shared" si="37"/>
        <v>2526.8000000000002</v>
      </c>
      <c r="V63" s="260">
        <f t="shared" si="38"/>
        <v>2526.8000000000002</v>
      </c>
      <c r="W63" s="206">
        <f>'Tariff Jul 2020'!BL49</f>
        <v>0</v>
      </c>
      <c r="X63" s="207" t="str">
        <f>'Tariff Jul 2020'!BM49</f>
        <v>n</v>
      </c>
    </row>
    <row r="64" spans="1:24" ht="15" thickBot="1" x14ac:dyDescent="0.2">
      <c r="A64" s="208" t="str">
        <f>'Tariff Jul 2020'!K50</f>
        <v>ReAmped Energy</v>
      </c>
      <c r="B64" s="209" t="str">
        <f>'Tariff Jul 2020'!L50</f>
        <v>Classic</v>
      </c>
      <c r="C64" s="218">
        <f>IF('Tariff Jul 2020'!BP50=0,91*'Tariff Jul 2020'!M50/100,(91*'Tariff Jul 2020'!M50/100)+'Tariff Jul 2020'!BP50/4)</f>
        <v>59.5595</v>
      </c>
      <c r="D64" s="218">
        <f>IF('Tariff Jul 2020'!O50="",$C$36*$C$37*'Tariff Jul 2020'!N50/100,IF($C$36*$C$37&gt;='Tariff Jul 2020'!P50,('Tariff Jul 2020'!P50*'Tariff Jul 2020'!N50/100),($C$36*$C$37*'Tariff Jul 2020'!N50/100)))</f>
        <v>441.6</v>
      </c>
      <c r="E64" s="218">
        <f>IF(AND('Tariff Jul 2020'!P50&gt;0,'Tariff Jul 2020'!R50&gt;0),IF($C$36*$C$37&lt;'Tariff Jul 2020'!P50,0,IF($C$36*$C$37&lt;=('Tariff Jul 2020'!R50+'Tariff Jul 2020'!P50),(($C$36*$C$37-'Tariff Jul 2020'!P50)*'Tariff Jul 2020'!Q50/100),(('Tariff Jul 2020'!R50)*'Tariff Jul 2020'!Q50/100))),0)</f>
        <v>0</v>
      </c>
      <c r="F64" s="218">
        <f>IF(AND('Tariff Jul 2020'!Q50&gt;0,'Tariff Jul 2020'!S50&gt;0),IF($C$36*$C$37&lt;('Tariff Jul 2020'!R50+'Tariff Jul 2020'!P50),0,IF($C$36*$C$37&lt;=('Tariff Jul 2020'!T50+'Tariff Jul 2020'!R50+'Tariff Jul 2020'!P50),(($C$36*$C$37-('Tariff Jul 2020'!R50+'Tariff Jul 2020'!P50))*'Tariff Jul 2020'!S50/100),('Tariff Jul 2020'!T50*'Tariff Jul 2020'!S50/100))),0)</f>
        <v>0</v>
      </c>
      <c r="G64" s="218">
        <f>IF(AND('Tariff Jul 2020'!R50&gt;0,'Tariff Jul 2020'!T50&gt;0),IF(($C$36*$C$37&lt;'Tariff Jul 2020'!T50),(0),($C$36*$C$37-'Tariff Jul 2020'!T50)*'Tariff Jul 2020'!U50/100),IF(AND('Tariff Jul 2020'!R50&gt;0,'Tariff Jul 2020'!T50=""),IF(($C$36*$C$37&lt;'Tariff Jul 2020'!R50+'Tariff Jul 2020'!P50),(0),(($C$36*$C$37-('Tariff Jul 2020'!R50+'Tariff Jul 2020'!P50))*'Tariff Jul 2020'!S50/100)),IF(AND('Tariff Jul 2020'!P50&gt;0,'Tariff Jul 2020'!R50=""&gt;0),IF(($C$36*$C$37&lt;'Tariff Jul 2020'!P50),(0),($C$36*$C$37-'Tariff Jul 2020'!P50)*'Tariff Jul 2020'!Q50/100),0)))</f>
        <v>0</v>
      </c>
      <c r="H64" s="218">
        <f>($C$36*$C$38)*'Tariff Jul 2020'!AE50/100</f>
        <v>56.4</v>
      </c>
      <c r="I64" s="218">
        <f t="shared" si="29"/>
        <v>557.55950000000007</v>
      </c>
      <c r="J64" s="253">
        <f t="shared" si="30"/>
        <v>1992.0000000000002</v>
      </c>
      <c r="K64" s="212">
        <f t="shared" si="31"/>
        <v>2230.2380000000003</v>
      </c>
      <c r="L64" s="212">
        <f t="shared" si="32"/>
        <v>2453.2618000000007</v>
      </c>
      <c r="M64" s="209">
        <f>'Tariff Jul 2020'!AZ50</f>
        <v>0</v>
      </c>
      <c r="N64" s="209">
        <f>'Tariff Jul 2020'!BA50</f>
        <v>0</v>
      </c>
      <c r="O64" s="209">
        <f>'Tariff Jul 2020'!BB50</f>
        <v>0</v>
      </c>
      <c r="P64" s="209">
        <f>'Tariff Jul 2020'!BC50</f>
        <v>0</v>
      </c>
      <c r="Q64" s="213" t="str">
        <f t="shared" si="33"/>
        <v>No discount</v>
      </c>
      <c r="R64" s="214" t="str">
        <f t="shared" si="34"/>
        <v>Exclusive</v>
      </c>
      <c r="S64" s="255">
        <f t="shared" si="35"/>
        <v>2230.2380000000003</v>
      </c>
      <c r="T64" s="253">
        <f t="shared" si="36"/>
        <v>2230.2380000000003</v>
      </c>
      <c r="U64" s="261">
        <f t="shared" si="37"/>
        <v>2453.2618000000007</v>
      </c>
      <c r="V64" s="261">
        <f t="shared" si="38"/>
        <v>2453.2618000000007</v>
      </c>
      <c r="W64" s="215">
        <f>'Tariff Jul 2020'!BL50</f>
        <v>0</v>
      </c>
      <c r="X64" s="216" t="str">
        <f>'Tariff Jul 2020'!BM50</f>
        <v>n</v>
      </c>
    </row>
  </sheetData>
  <sheetProtection algorithmName="SHA-512" hashValue="vo7Q4vlIoGN34P/xybRWkF9nDAGFvknVxBjayQbpJt0NQPCYbJxZ8JskYRBBvRuNkz+9K3ACzrEwKvNkFCV/dg==" saltValue="Ar19mqDG2a0fvF2+YUi2J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77D59-431B-2D42-987F-32258033910B}">
  <sheetPr codeName="Sheet3"/>
  <dimension ref="A1:W49"/>
  <sheetViews>
    <sheetView zoomScaleNormal="100" workbookViewId="0">
      <selection activeCell="T34" sqref="T34:U49"/>
    </sheetView>
  </sheetViews>
  <sheetFormatPr baseColWidth="10" defaultRowHeight="13" x14ac:dyDescent="0.15"/>
  <cols>
    <col min="1" max="1" width="20.33203125" style="170" customWidth="1"/>
    <col min="2" max="2" width="22.5" style="170" bestFit="1" customWidth="1"/>
    <col min="3" max="10" width="11.83203125" style="170" customWidth="1"/>
    <col min="11" max="12" width="11.83203125" style="170" hidden="1" customWidth="1"/>
    <col min="13" max="17" width="11.83203125" style="170" customWidth="1"/>
    <col min="18" max="19" width="11.83203125" style="170" hidden="1" customWidth="1"/>
    <col min="20" max="23" width="11.83203125" style="170" customWidth="1"/>
    <col min="24" max="16384" width="10.83203125" style="170"/>
  </cols>
  <sheetData>
    <row r="1" spans="1:23" ht="14" x14ac:dyDescent="0.15">
      <c r="A1" s="169" t="s">
        <v>161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</row>
    <row r="2" spans="1:23" ht="14" x14ac:dyDescent="0.15">
      <c r="A2" s="171" t="s">
        <v>162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</row>
    <row r="3" spans="1:23" ht="15" thickBot="1" x14ac:dyDescent="0.2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</row>
    <row r="4" spans="1:23" ht="14" x14ac:dyDescent="0.15">
      <c r="A4" s="116" t="s">
        <v>163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8"/>
    </row>
    <row r="5" spans="1:23" ht="14" x14ac:dyDescent="0.15">
      <c r="A5" s="119" t="s">
        <v>240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120"/>
    </row>
    <row r="6" spans="1:23" ht="14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120"/>
    </row>
    <row r="7" spans="1:23" ht="75" x14ac:dyDescent="0.15">
      <c r="A7" s="239" t="s">
        <v>278</v>
      </c>
      <c r="B7" s="240" t="s">
        <v>73</v>
      </c>
      <c r="C7" s="248" t="s">
        <v>74</v>
      </c>
      <c r="D7" s="248" t="s">
        <v>75</v>
      </c>
      <c r="E7" s="241" t="s">
        <v>164</v>
      </c>
      <c r="F7" s="241" t="s">
        <v>165</v>
      </c>
      <c r="G7" s="241" t="s">
        <v>11</v>
      </c>
      <c r="H7" s="241" t="s">
        <v>238</v>
      </c>
      <c r="I7" s="241" t="s">
        <v>239</v>
      </c>
      <c r="J7" s="241" t="s">
        <v>958</v>
      </c>
      <c r="K7" s="249" t="s">
        <v>52</v>
      </c>
      <c r="L7" s="249" t="s">
        <v>172</v>
      </c>
      <c r="M7" s="242" t="s">
        <v>0</v>
      </c>
      <c r="N7" s="243" t="s">
        <v>174</v>
      </c>
      <c r="O7" s="243" t="s">
        <v>175</v>
      </c>
      <c r="P7" s="243" t="s">
        <v>76</v>
      </c>
      <c r="Q7" s="243" t="s">
        <v>77</v>
      </c>
      <c r="R7" s="250" t="s">
        <v>295</v>
      </c>
      <c r="S7" s="250" t="s">
        <v>304</v>
      </c>
      <c r="T7" s="244" t="s">
        <v>98</v>
      </c>
      <c r="U7" s="244" t="s">
        <v>94</v>
      </c>
      <c r="V7" s="243" t="s">
        <v>359</v>
      </c>
      <c r="W7" s="247" t="s">
        <v>360</v>
      </c>
    </row>
    <row r="8" spans="1:23" x14ac:dyDescent="0.15">
      <c r="A8" s="111" t="str">
        <f>'Tariff Jul 2019'!K2</f>
        <v>AGL</v>
      </c>
      <c r="B8" s="29" t="str">
        <f>'Tariff Jul 2019'!L2</f>
        <v>Smart Saver</v>
      </c>
      <c r="C8" s="121">
        <f>91*'Tariff Jul 2019'!M2/100</f>
        <v>73.709999999999994</v>
      </c>
      <c r="D8" s="121">
        <f>$C$5*'Tariff Jul 2019'!N2/100</f>
        <v>550.63636363636363</v>
      </c>
      <c r="E8" s="121">
        <v>0</v>
      </c>
      <c r="F8" s="122">
        <v>0</v>
      </c>
      <c r="G8" s="121">
        <v>0</v>
      </c>
      <c r="H8" s="121">
        <v>0</v>
      </c>
      <c r="I8" s="121">
        <v>0</v>
      </c>
      <c r="J8" s="121">
        <f>SUM(C8:I8)</f>
        <v>624.34636363636366</v>
      </c>
      <c r="K8" s="256">
        <f>(J8-C8)*4</f>
        <v>2202.5454545454545</v>
      </c>
      <c r="L8" s="125">
        <f>J8*4</f>
        <v>2497.3854545454546</v>
      </c>
      <c r="M8" s="125">
        <f>L8*1.1</f>
        <v>2747.1240000000003</v>
      </c>
      <c r="N8" s="29">
        <f>'Tariff Jul 2019'!AW2</f>
        <v>8</v>
      </c>
      <c r="O8" s="29">
        <f>'Tariff Jul 2019'!AX2</f>
        <v>0</v>
      </c>
      <c r="P8" s="29">
        <f>'Tariff Jul 2019'!AY2</f>
        <v>0</v>
      </c>
      <c r="Q8" s="29">
        <f>'Tariff Jul 2019'!AZ2</f>
        <v>0</v>
      </c>
      <c r="R8" s="256">
        <f>L8-(L8*N8/100)</f>
        <v>2297.5946181818181</v>
      </c>
      <c r="S8" s="256">
        <f>R8</f>
        <v>2297.5946181818181</v>
      </c>
      <c r="T8" s="262">
        <f>R8*1.1</f>
        <v>2527.3540800000001</v>
      </c>
      <c r="U8" s="262">
        <f>S8*1.1</f>
        <v>2527.3540800000001</v>
      </c>
      <c r="V8" s="126">
        <f>'Tariff Jul 2019'!BI2</f>
        <v>0</v>
      </c>
      <c r="W8" s="127" t="str">
        <f>'Tariff Jul 2019'!BJ2</f>
        <v>n</v>
      </c>
    </row>
    <row r="9" spans="1:23" x14ac:dyDescent="0.15">
      <c r="A9" s="111" t="str">
        <f>'Tariff Jul 2019'!K3</f>
        <v>Alinta Energy</v>
      </c>
      <c r="B9" s="29" t="str">
        <f>'Tariff Jul 2019'!L3</f>
        <v>No fuss</v>
      </c>
      <c r="C9" s="121">
        <f>91*'Tariff Jul 2019'!M3/100</f>
        <v>75.53</v>
      </c>
      <c r="D9" s="121">
        <f>IF($C$5&gt;='Tariff Jul 2019'!P3,('Tariff Jul 2019'!P3*'Tariff Jul 2019'!N3/100),($C$5*'Tariff Jul 2019'!N3/100))</f>
        <v>90.463636363636354</v>
      </c>
      <c r="E9" s="121">
        <v>0</v>
      </c>
      <c r="F9" s="122">
        <v>0</v>
      </c>
      <c r="G9" s="121">
        <v>0</v>
      </c>
      <c r="H9" s="121">
        <v>0</v>
      </c>
      <c r="I9" s="121">
        <f>IF(($C$5&lt;'Tariff Jul 2019'!T3),(0),($C$5-'Tariff Jul 2019'!T3)*'Tariff Jul 2019'!U3/100)</f>
        <v>403.09090909090912</v>
      </c>
      <c r="J9" s="121">
        <f t="shared" ref="J9:J22" si="0">SUM(C9:I9)</f>
        <v>569.08454545454549</v>
      </c>
      <c r="K9" s="256">
        <f>(J9-C9)*4</f>
        <v>1974.2181818181821</v>
      </c>
      <c r="L9" s="125">
        <f t="shared" ref="L9:L22" si="1">J9*4</f>
        <v>2276.338181818182</v>
      </c>
      <c r="M9" s="125">
        <f t="shared" ref="M9:M22" si="2">L9*1.1</f>
        <v>2503.9720000000002</v>
      </c>
      <c r="N9" s="29">
        <f>'Tariff Jul 2019'!AW3</f>
        <v>0</v>
      </c>
      <c r="O9" s="29">
        <f>'Tariff Jul 2019'!AX3</f>
        <v>0</v>
      </c>
      <c r="P9" s="29">
        <f>'Tariff Jul 2019'!AY3</f>
        <v>0</v>
      </c>
      <c r="Q9" s="29">
        <f>'Tariff Jul 2019'!AZ3</f>
        <v>0</v>
      </c>
      <c r="R9" s="256">
        <f t="shared" ref="R9:R22" si="3">L9</f>
        <v>2276.338181818182</v>
      </c>
      <c r="S9" s="256">
        <f>R9</f>
        <v>2276.338181818182</v>
      </c>
      <c r="T9" s="262">
        <f t="shared" ref="T9:U22" si="4">R9*1.1</f>
        <v>2503.9720000000002</v>
      </c>
      <c r="U9" s="262">
        <f t="shared" si="4"/>
        <v>2503.9720000000002</v>
      </c>
      <c r="V9" s="126">
        <f>'Tariff Jul 2019'!BI3</f>
        <v>0</v>
      </c>
      <c r="W9" s="127" t="str">
        <f>'Tariff Jul 2019'!BJ3</f>
        <v>n</v>
      </c>
    </row>
    <row r="10" spans="1:23" x14ac:dyDescent="0.15">
      <c r="A10" s="111" t="str">
        <f>'Tariff Jul 2019'!K4</f>
        <v>Click Energy</v>
      </c>
      <c r="B10" s="29" t="str">
        <f>'Tariff Jul 2019'!L4</f>
        <v>Banksia</v>
      </c>
      <c r="C10" s="121">
        <f>91*'Tariff Jul 2019'!M4/100</f>
        <v>81.618727272727256</v>
      </c>
      <c r="D10" s="121">
        <f>$C$5*'Tariff Jul 2019'!N4/100</f>
        <v>532.09090909090912</v>
      </c>
      <c r="E10" s="121">
        <v>0</v>
      </c>
      <c r="F10" s="122">
        <v>0</v>
      </c>
      <c r="G10" s="121">
        <v>0</v>
      </c>
      <c r="H10" s="121">
        <v>0</v>
      </c>
      <c r="I10" s="121">
        <v>0</v>
      </c>
      <c r="J10" s="121">
        <f t="shared" si="0"/>
        <v>613.70963636363638</v>
      </c>
      <c r="K10" s="256">
        <f t="shared" ref="K10:K20" si="5">(J10-C10)*4</f>
        <v>2128.3636363636365</v>
      </c>
      <c r="L10" s="125">
        <f t="shared" si="1"/>
        <v>2454.8385454545455</v>
      </c>
      <c r="M10" s="125">
        <f t="shared" si="2"/>
        <v>2700.3224000000005</v>
      </c>
      <c r="N10" s="29">
        <f>'Tariff Jul 2019'!AW4</f>
        <v>0</v>
      </c>
      <c r="O10" s="29">
        <f>'Tariff Jul 2019'!AX4</f>
        <v>0</v>
      </c>
      <c r="P10" s="29">
        <f>'Tariff Jul 2019'!AY4</f>
        <v>0</v>
      </c>
      <c r="Q10" s="29">
        <f>'Tariff Jul 2019'!AZ4</f>
        <v>0</v>
      </c>
      <c r="R10" s="256">
        <f t="shared" si="3"/>
        <v>2454.8385454545455</v>
      </c>
      <c r="S10" s="256">
        <f>R10</f>
        <v>2454.8385454545455</v>
      </c>
      <c r="T10" s="262">
        <f t="shared" si="4"/>
        <v>2700.3224000000005</v>
      </c>
      <c r="U10" s="262">
        <f t="shared" si="4"/>
        <v>2700.3224000000005</v>
      </c>
      <c r="V10" s="126">
        <f>'Tariff Jul 2019'!BI4</f>
        <v>0</v>
      </c>
      <c r="W10" s="127" t="str">
        <f>'Tariff Jul 2019'!BJ4</f>
        <v>n</v>
      </c>
    </row>
    <row r="11" spans="1:23" x14ac:dyDescent="0.15">
      <c r="A11" s="111" t="str">
        <f>'Tariff Jul 2019'!K5</f>
        <v>Commander</v>
      </c>
      <c r="B11" s="29" t="str">
        <f>'Tariff Jul 2019'!L5</f>
        <v>Market offer</v>
      </c>
      <c r="C11" s="121">
        <f>91*'Tariff Jul 2019'!M5/100</f>
        <v>80.808000000000007</v>
      </c>
      <c r="D11" s="121">
        <f>IF($C$5&gt;='Tariff Jul 2019'!P5,('Tariff Jul 2019'!P5*'Tariff Jul 2019'!N5/100),($C$5*'Tariff Jul 2019'!N5/100))</f>
        <v>324.09090909090907</v>
      </c>
      <c r="E11" s="121">
        <v>0</v>
      </c>
      <c r="F11" s="122">
        <v>0</v>
      </c>
      <c r="G11" s="121">
        <v>0</v>
      </c>
      <c r="H11" s="121">
        <v>0</v>
      </c>
      <c r="I11" s="121">
        <f>IF(($C$5&lt;'Tariff Jul 2019'!T5),(0),($C$5-'Tariff Jul 2019'!T5)*'Tariff Jul 2019'!U5/100)</f>
        <v>166.27272727272725</v>
      </c>
      <c r="J11" s="121">
        <f t="shared" si="0"/>
        <v>571.17163636363625</v>
      </c>
      <c r="K11" s="256">
        <f t="shared" si="5"/>
        <v>1961.454545454545</v>
      </c>
      <c r="L11" s="125">
        <f t="shared" si="1"/>
        <v>2284.686545454545</v>
      </c>
      <c r="M11" s="125">
        <f t="shared" si="2"/>
        <v>2513.1551999999997</v>
      </c>
      <c r="N11" s="29">
        <f>'Tariff Jul 2019'!AW5</f>
        <v>0</v>
      </c>
      <c r="O11" s="29">
        <f>'Tariff Jul 2019'!AX5</f>
        <v>0</v>
      </c>
      <c r="P11" s="29">
        <f>'Tariff Jul 2019'!AY5</f>
        <v>0</v>
      </c>
      <c r="Q11" s="29">
        <f>'Tariff Jul 2019'!AZ5</f>
        <v>0</v>
      </c>
      <c r="R11" s="256">
        <f t="shared" si="3"/>
        <v>2284.686545454545</v>
      </c>
      <c r="S11" s="256">
        <f>R11</f>
        <v>2284.686545454545</v>
      </c>
      <c r="T11" s="262">
        <f t="shared" si="4"/>
        <v>2513.1551999999997</v>
      </c>
      <c r="U11" s="262">
        <f t="shared" si="4"/>
        <v>2513.1551999999997</v>
      </c>
      <c r="V11" s="126">
        <f>'Tariff Jul 2019'!BI5</f>
        <v>0</v>
      </c>
      <c r="W11" s="127" t="str">
        <f>'Tariff Jul 2019'!BJ5</f>
        <v>n</v>
      </c>
    </row>
    <row r="12" spans="1:23" x14ac:dyDescent="0.15">
      <c r="A12" s="111" t="str">
        <f>'Tariff Jul 2019'!K6</f>
        <v>Diamond Energy</v>
      </c>
      <c r="B12" s="29" t="str">
        <f>'Tariff Jul 2019'!L6</f>
        <v>Pay on time discount</v>
      </c>
      <c r="C12" s="121">
        <f>91*'Tariff Jul 2019'!M6/100</f>
        <v>79.124499999999998</v>
      </c>
      <c r="D12" s="121">
        <f>IF($C$5&gt;='Tariff Jul 2019'!P6,('Tariff Jul 2019'!P6*'Tariff Jul 2019'!N6/100),($C$5*'Tariff Jul 2019'!N6/100))</f>
        <v>99.78</v>
      </c>
      <c r="E12" s="121">
        <f>IF($C$5&lt;'Tariff Jul 2019'!P6,0,IF(($C$5-'Tariff Jul 2019'!P6)&lt;='Tariff Jul 2019'!R6,(($C$5-'Tariff Jul 2019'!P6)*'Tariff Jul 2019'!Q6/100),(('Tariff Jul 2019'!R6-'Tariff Jul 2019'!P6)*'Tariff Jul 2019'!Q6/100)))</f>
        <v>251.23</v>
      </c>
      <c r="F12" s="122">
        <f>IF($C$5&lt;'Tariff Jul 2019'!R6,0,IF(($C$5-'Tariff Jul 2019'!R6)&lt;='Tariff Jul 2019'!T6,(($C$5-'Tariff Jul 2019'!R6)*'Tariff Jul 2019'!S6/100),(('Tariff Jul 2019'!T6-'Tariff Jul 2019'!R6)*'Tariff Jul 2019'!S6/100)))</f>
        <v>194.75</v>
      </c>
      <c r="G12" s="121">
        <v>0</v>
      </c>
      <c r="H12" s="121">
        <v>0</v>
      </c>
      <c r="I12" s="121">
        <f>IF(($C$5&lt;'Tariff Jul 2019'!T6),(0),($C$5-'Tariff Jul 2019'!T6)*'Tariff Jul 2019'!U6/100)</f>
        <v>0</v>
      </c>
      <c r="J12" s="121">
        <f t="shared" si="0"/>
        <v>624.8845</v>
      </c>
      <c r="K12" s="256">
        <f t="shared" si="5"/>
        <v>2183.04</v>
      </c>
      <c r="L12" s="125">
        <f t="shared" si="1"/>
        <v>2499.538</v>
      </c>
      <c r="M12" s="125">
        <f t="shared" si="2"/>
        <v>2749.4918000000002</v>
      </c>
      <c r="N12" s="29">
        <f>'Tariff Jul 2019'!AW6</f>
        <v>0</v>
      </c>
      <c r="O12" s="29">
        <f>'Tariff Jul 2019'!AX6</f>
        <v>0</v>
      </c>
      <c r="P12" s="29">
        <f>'Tariff Jul 2019'!AY6</f>
        <v>7</v>
      </c>
      <c r="Q12" s="29">
        <f>'Tariff Jul 2019'!AZ6</f>
        <v>0</v>
      </c>
      <c r="R12" s="256">
        <f t="shared" si="3"/>
        <v>2499.538</v>
      </c>
      <c r="S12" s="256">
        <f>R12-(R12*P12/100)</f>
        <v>2324.5703400000002</v>
      </c>
      <c r="T12" s="262">
        <f t="shared" si="4"/>
        <v>2749.4918000000002</v>
      </c>
      <c r="U12" s="262">
        <f t="shared" si="4"/>
        <v>2557.0273740000002</v>
      </c>
      <c r="V12" s="126">
        <f>'Tariff Jul 2019'!BI6</f>
        <v>0</v>
      </c>
      <c r="W12" s="127" t="str">
        <f>'Tariff Jul 2019'!BJ6</f>
        <v>n</v>
      </c>
    </row>
    <row r="13" spans="1:23" x14ac:dyDescent="0.15">
      <c r="A13" s="111" t="str">
        <f>'Tariff Jul 2019'!K7</f>
        <v>Dodo Power &amp; Gas</v>
      </c>
      <c r="B13" s="29" t="str">
        <f>'Tariff Jul 2019'!L7</f>
        <v>Market offer</v>
      </c>
      <c r="C13" s="121">
        <f>91*'Tariff Jul 2019'!M7/100</f>
        <v>80.808000000000007</v>
      </c>
      <c r="D13" s="121">
        <f>IF($C$5&gt;='Tariff Jul 2019'!P7,('Tariff Jul 2019'!P7*'Tariff Jul 2019'!N7/100),($C$5*'Tariff Jul 2019'!N7/100))</f>
        <v>324.09090909090907</v>
      </c>
      <c r="E13" s="121">
        <v>0</v>
      </c>
      <c r="F13" s="122">
        <v>0</v>
      </c>
      <c r="G13" s="121">
        <v>0</v>
      </c>
      <c r="H13" s="121">
        <v>0</v>
      </c>
      <c r="I13" s="121">
        <f>IF(($C$5&lt;'Tariff Jul 2019'!T7),(0),($C$5-'Tariff Jul 2019'!T7)*'Tariff Jul 2019'!U7/100)</f>
        <v>166.27272727272725</v>
      </c>
      <c r="J13" s="121">
        <f t="shared" si="0"/>
        <v>571.17163636363625</v>
      </c>
      <c r="K13" s="256">
        <f t="shared" si="5"/>
        <v>1961.454545454545</v>
      </c>
      <c r="L13" s="125">
        <f t="shared" si="1"/>
        <v>2284.686545454545</v>
      </c>
      <c r="M13" s="125">
        <f t="shared" si="2"/>
        <v>2513.1551999999997</v>
      </c>
      <c r="N13" s="29">
        <f>'Tariff Jul 2019'!AW7</f>
        <v>0</v>
      </c>
      <c r="O13" s="29">
        <f>'Tariff Jul 2019'!AX7</f>
        <v>0</v>
      </c>
      <c r="P13" s="29">
        <f>'Tariff Jul 2019'!AY7</f>
        <v>0</v>
      </c>
      <c r="Q13" s="29">
        <f>'Tariff Jul 2019'!AZ7</f>
        <v>0</v>
      </c>
      <c r="R13" s="256">
        <f t="shared" ref="R13" si="6">L13</f>
        <v>2284.686545454545</v>
      </c>
      <c r="S13" s="256">
        <f t="shared" ref="S13:S18" si="7">R13</f>
        <v>2284.686545454545</v>
      </c>
      <c r="T13" s="262">
        <f t="shared" si="4"/>
        <v>2513.1551999999997</v>
      </c>
      <c r="U13" s="262">
        <f t="shared" si="4"/>
        <v>2513.1551999999997</v>
      </c>
      <c r="V13" s="126">
        <f>'Tariff Jul 2019'!BI7</f>
        <v>0</v>
      </c>
      <c r="W13" s="127" t="str">
        <f>'Tariff Jul 2019'!BJ7</f>
        <v>n</v>
      </c>
    </row>
    <row r="14" spans="1:23" x14ac:dyDescent="0.15">
      <c r="A14" s="111" t="str">
        <f>'Tariff Jul 2019'!K8</f>
        <v>EnergyAustralia</v>
      </c>
      <c r="B14" s="29" t="str">
        <f>'Tariff Jul 2019'!L8</f>
        <v>Total Plan</v>
      </c>
      <c r="C14" s="121">
        <f>91*'Tariff Jul 2019'!M8/100</f>
        <v>70.97999999999999</v>
      </c>
      <c r="D14" s="121">
        <f>$C$5*'Tariff Jul 2019'!N8/100</f>
        <v>555</v>
      </c>
      <c r="E14" s="121">
        <v>0</v>
      </c>
      <c r="F14" s="122">
        <v>0</v>
      </c>
      <c r="G14" s="121">
        <v>0</v>
      </c>
      <c r="H14" s="121">
        <v>0</v>
      </c>
      <c r="I14" s="121">
        <v>0</v>
      </c>
      <c r="J14" s="121">
        <f t="shared" si="0"/>
        <v>625.98</v>
      </c>
      <c r="K14" s="256">
        <f t="shared" si="5"/>
        <v>2220</v>
      </c>
      <c r="L14" s="125">
        <f t="shared" si="1"/>
        <v>2503.92</v>
      </c>
      <c r="M14" s="125">
        <f t="shared" si="2"/>
        <v>2754.3120000000004</v>
      </c>
      <c r="N14" s="29">
        <f>'Tariff Jul 2019'!AW8</f>
        <v>6</v>
      </c>
      <c r="O14" s="29">
        <f>'Tariff Jul 2019'!AX8</f>
        <v>0</v>
      </c>
      <c r="P14" s="29">
        <f>'Tariff Jul 2019'!AY8</f>
        <v>0</v>
      </c>
      <c r="Q14" s="29">
        <f>'Tariff Jul 2019'!AZ8</f>
        <v>0</v>
      </c>
      <c r="R14" s="256">
        <f>L14-(L14*N14/100)</f>
        <v>2353.6848</v>
      </c>
      <c r="S14" s="256">
        <f t="shared" si="7"/>
        <v>2353.6848</v>
      </c>
      <c r="T14" s="262">
        <f t="shared" si="4"/>
        <v>2589.0532800000001</v>
      </c>
      <c r="U14" s="262">
        <f t="shared" si="4"/>
        <v>2589.0532800000001</v>
      </c>
      <c r="V14" s="126">
        <f>'Tariff Jul 2019'!BI8</f>
        <v>0</v>
      </c>
      <c r="W14" s="127" t="str">
        <f>'Tariff Jul 2019'!BJ8</f>
        <v>n</v>
      </c>
    </row>
    <row r="15" spans="1:23" x14ac:dyDescent="0.15">
      <c r="A15" s="111" t="str">
        <f>'Tariff Jul 2019'!K9</f>
        <v>Lumo Energy</v>
      </c>
      <c r="B15" s="29" t="str">
        <f>'Tariff Jul 2019'!L9</f>
        <v>Basic</v>
      </c>
      <c r="C15" s="121">
        <f>91*'Tariff Jul 2019'!M9/100</f>
        <v>83.72</v>
      </c>
      <c r="D15" s="121">
        <f>$C$5*'Tariff Jul 2019'!N9/100</f>
        <v>482.59090909090907</v>
      </c>
      <c r="E15" s="121">
        <v>0</v>
      </c>
      <c r="F15" s="122">
        <v>0</v>
      </c>
      <c r="G15" s="121">
        <v>0</v>
      </c>
      <c r="H15" s="121">
        <v>0</v>
      </c>
      <c r="I15" s="121">
        <v>0</v>
      </c>
      <c r="J15" s="121">
        <f t="shared" si="0"/>
        <v>566.31090909090904</v>
      </c>
      <c r="K15" s="256">
        <f t="shared" si="5"/>
        <v>1930.363636363636</v>
      </c>
      <c r="L15" s="125">
        <f t="shared" si="1"/>
        <v>2265.2436363636361</v>
      </c>
      <c r="M15" s="125">
        <f t="shared" si="2"/>
        <v>2491.768</v>
      </c>
      <c r="N15" s="29">
        <f>'Tariff Jul 2019'!AW9</f>
        <v>0</v>
      </c>
      <c r="O15" s="29">
        <f>'Tariff Jul 2019'!AX9</f>
        <v>0</v>
      </c>
      <c r="P15" s="29">
        <f>'Tariff Jul 2019'!AY9</f>
        <v>0</v>
      </c>
      <c r="Q15" s="29">
        <f>'Tariff Jul 2019'!AZ9</f>
        <v>0</v>
      </c>
      <c r="R15" s="256">
        <f t="shared" ref="R15" si="8">L15</f>
        <v>2265.2436363636361</v>
      </c>
      <c r="S15" s="256">
        <f t="shared" si="7"/>
        <v>2265.2436363636361</v>
      </c>
      <c r="T15" s="262">
        <f t="shared" si="4"/>
        <v>2491.768</v>
      </c>
      <c r="U15" s="262">
        <f t="shared" si="4"/>
        <v>2491.768</v>
      </c>
      <c r="V15" s="126">
        <f>'Tariff Jul 2019'!BI9</f>
        <v>0</v>
      </c>
      <c r="W15" s="127" t="str">
        <f>'Tariff Jul 2019'!BJ9</f>
        <v>n</v>
      </c>
    </row>
    <row r="16" spans="1:23" x14ac:dyDescent="0.15">
      <c r="A16" s="111" t="str">
        <f>'Tariff Jul 2019'!K10</f>
        <v>Momentum Energy</v>
      </c>
      <c r="B16" s="29" t="str">
        <f>'Tariff Jul 2019'!L10</f>
        <v>SmilePower Flexi</v>
      </c>
      <c r="C16" s="121">
        <f>91*'Tariff Jul 2019'!M10/100</f>
        <v>86.440899999999999</v>
      </c>
      <c r="D16" s="121">
        <f>$C$5*'Tariff Jul 2019'!N10/100</f>
        <v>456.14999999999992</v>
      </c>
      <c r="E16" s="121">
        <v>0</v>
      </c>
      <c r="F16" s="122">
        <v>0</v>
      </c>
      <c r="G16" s="121">
        <v>0</v>
      </c>
      <c r="H16" s="121">
        <v>0</v>
      </c>
      <c r="I16" s="121">
        <v>0</v>
      </c>
      <c r="J16" s="121">
        <f t="shared" si="0"/>
        <v>542.59089999999992</v>
      </c>
      <c r="K16" s="256">
        <f t="shared" si="5"/>
        <v>1824.5999999999997</v>
      </c>
      <c r="L16" s="125">
        <f t="shared" si="1"/>
        <v>2170.3635999999997</v>
      </c>
      <c r="M16" s="125">
        <f t="shared" si="2"/>
        <v>2387.3999599999997</v>
      </c>
      <c r="N16" s="29">
        <f>'Tariff Jul 2019'!AW10</f>
        <v>0</v>
      </c>
      <c r="O16" s="29">
        <f>'Tariff Jul 2019'!AX10</f>
        <v>0</v>
      </c>
      <c r="P16" s="29">
        <f>'Tariff Jul 2019'!AY10</f>
        <v>0</v>
      </c>
      <c r="Q16" s="29">
        <f>'Tariff Jul 2019'!AZ10</f>
        <v>0</v>
      </c>
      <c r="R16" s="256">
        <f t="shared" ref="R16" si="9">L16</f>
        <v>2170.3635999999997</v>
      </c>
      <c r="S16" s="256">
        <f t="shared" si="7"/>
        <v>2170.3635999999997</v>
      </c>
      <c r="T16" s="262">
        <f t="shared" si="4"/>
        <v>2387.3999599999997</v>
      </c>
      <c r="U16" s="262">
        <f t="shared" si="4"/>
        <v>2387.3999599999997</v>
      </c>
      <c r="V16" s="126">
        <f>'Tariff Jul 2019'!BI10</f>
        <v>0</v>
      </c>
      <c r="W16" s="127" t="str">
        <f>'Tariff Jul 2019'!BJ10</f>
        <v>n</v>
      </c>
    </row>
    <row r="17" spans="1:23" x14ac:dyDescent="0.15">
      <c r="A17" s="111" t="str">
        <f>'Tariff Jul 2019'!K11</f>
        <v>Origin Energy</v>
      </c>
      <c r="B17" s="29" t="str">
        <f>'Tariff Jul 2019'!L11</f>
        <v>Flexi</v>
      </c>
      <c r="C17" s="121">
        <f>91*'Tariff Jul 2019'!M11/100</f>
        <v>75.124636363636355</v>
      </c>
      <c r="D17" s="121">
        <f>IF($C$5&gt;='Tariff Jul 2019'!P11,('Tariff Jul 2019'!P11*'Tariff Jul 2019'!N11/100),($C$5*'Tariff Jul 2019'!N11/100))</f>
        <v>365.81818181818176</v>
      </c>
      <c r="E17" s="121">
        <v>0</v>
      </c>
      <c r="F17" s="122">
        <v>0</v>
      </c>
      <c r="G17" s="121">
        <v>0</v>
      </c>
      <c r="H17" s="121">
        <v>0</v>
      </c>
      <c r="I17" s="121">
        <f>IF(($C$5&lt;'Tariff Jul 2019'!T11),(0),($C$5-'Tariff Jul 2019'!T11)*'Tariff Jul 2019'!U11/100)</f>
        <v>195.18181818181816</v>
      </c>
      <c r="J17" s="121">
        <f t="shared" si="0"/>
        <v>636.12463636363623</v>
      </c>
      <c r="K17" s="256">
        <f t="shared" si="5"/>
        <v>2243.9999999999995</v>
      </c>
      <c r="L17" s="125">
        <f t="shared" si="1"/>
        <v>2544.4985454545449</v>
      </c>
      <c r="M17" s="125">
        <f t="shared" si="2"/>
        <v>2798.9483999999998</v>
      </c>
      <c r="N17" s="29">
        <f>'Tariff Jul 2019'!AW11</f>
        <v>12</v>
      </c>
      <c r="O17" s="29">
        <f>'Tariff Jul 2019'!AX11</f>
        <v>0</v>
      </c>
      <c r="P17" s="29">
        <f>'Tariff Jul 2019'!AY11</f>
        <v>0</v>
      </c>
      <c r="Q17" s="29">
        <f>'Tariff Jul 2019'!AZ11</f>
        <v>0</v>
      </c>
      <c r="R17" s="256">
        <f>M17-(M17*N17/100)</f>
        <v>2463.0745919999999</v>
      </c>
      <c r="S17" s="256">
        <f t="shared" si="7"/>
        <v>2463.0745919999999</v>
      </c>
      <c r="T17" s="262">
        <f>R17</f>
        <v>2463.0745919999999</v>
      </c>
      <c r="U17" s="262">
        <f>S17</f>
        <v>2463.0745919999999</v>
      </c>
      <c r="V17" s="126">
        <f>'Tariff Jul 2019'!BI11</f>
        <v>0</v>
      </c>
      <c r="W17" s="127" t="str">
        <f>'Tariff Jul 2019'!BJ11</f>
        <v>n</v>
      </c>
    </row>
    <row r="18" spans="1:23" x14ac:dyDescent="0.15">
      <c r="A18" s="111" t="str">
        <f>'Tariff Jul 2019'!K12</f>
        <v>Powerdirect</v>
      </c>
      <c r="B18" s="29" t="str">
        <f>'Tariff Jul 2019'!L12</f>
        <v>Discount Saver</v>
      </c>
      <c r="C18" s="121">
        <f>91*'Tariff Jul 2019'!M12/100</f>
        <v>73.709999999999994</v>
      </c>
      <c r="D18" s="121">
        <f>$C$5*'Tariff Jul 2019'!N12/100</f>
        <v>550.63636363636363</v>
      </c>
      <c r="E18" s="121">
        <v>0</v>
      </c>
      <c r="F18" s="122">
        <v>0</v>
      </c>
      <c r="G18" s="121">
        <v>0</v>
      </c>
      <c r="H18" s="121">
        <v>0</v>
      </c>
      <c r="I18" s="121">
        <v>0</v>
      </c>
      <c r="J18" s="121">
        <f t="shared" si="0"/>
        <v>624.34636363636366</v>
      </c>
      <c r="K18" s="256">
        <f t="shared" si="5"/>
        <v>2202.5454545454545</v>
      </c>
      <c r="L18" s="125">
        <f t="shared" si="1"/>
        <v>2497.3854545454546</v>
      </c>
      <c r="M18" s="125">
        <f t="shared" si="2"/>
        <v>2747.1240000000003</v>
      </c>
      <c r="N18" s="29">
        <f>'Tariff Jul 2019'!AW12</f>
        <v>12</v>
      </c>
      <c r="O18" s="29">
        <f>'Tariff Jul 2019'!AX12</f>
        <v>0</v>
      </c>
      <c r="P18" s="29">
        <f>'Tariff Jul 2019'!AY12</f>
        <v>0</v>
      </c>
      <c r="Q18" s="29">
        <f>'Tariff Jul 2019'!AZ12</f>
        <v>0</v>
      </c>
      <c r="R18" s="256">
        <f>L18-(L18*N18/100)</f>
        <v>2197.6992</v>
      </c>
      <c r="S18" s="256">
        <f t="shared" si="7"/>
        <v>2197.6992</v>
      </c>
      <c r="T18" s="262">
        <f t="shared" si="4"/>
        <v>2417.4691200000002</v>
      </c>
      <c r="U18" s="262">
        <f t="shared" si="4"/>
        <v>2417.4691200000002</v>
      </c>
      <c r="V18" s="126">
        <f>'Tariff Jul 2019'!BI12</f>
        <v>0</v>
      </c>
      <c r="W18" s="127" t="str">
        <f>'Tariff Jul 2019'!BJ12</f>
        <v>n</v>
      </c>
    </row>
    <row r="19" spans="1:23" x14ac:dyDescent="0.15">
      <c r="A19" s="111" t="str">
        <f>'Tariff Jul 2019'!K13</f>
        <v>Red Energy</v>
      </c>
      <c r="B19" s="29" t="str">
        <f>'Tariff Jul 2019'!L13</f>
        <v>No exit fee saver</v>
      </c>
      <c r="C19" s="121">
        <f>91*'Tariff Jul 2019'!M13/100</f>
        <v>90.999999999999986</v>
      </c>
      <c r="D19" s="121">
        <f>$C$5*'Tariff Jul 2019'!N13/100</f>
        <v>524.59090909090901</v>
      </c>
      <c r="E19" s="121">
        <v>0</v>
      </c>
      <c r="F19" s="122">
        <v>0</v>
      </c>
      <c r="G19" s="121">
        <v>0</v>
      </c>
      <c r="H19" s="121">
        <v>0</v>
      </c>
      <c r="I19" s="121">
        <v>0</v>
      </c>
      <c r="J19" s="121">
        <f t="shared" si="0"/>
        <v>615.59090909090901</v>
      </c>
      <c r="K19" s="256">
        <f t="shared" si="5"/>
        <v>2098.363636363636</v>
      </c>
      <c r="L19" s="125">
        <f t="shared" si="1"/>
        <v>2462.363636363636</v>
      </c>
      <c r="M19" s="125">
        <f t="shared" si="2"/>
        <v>2708.6</v>
      </c>
      <c r="N19" s="29">
        <f>'Tariff Jul 2019'!AW13</f>
        <v>0</v>
      </c>
      <c r="O19" s="29">
        <f>'Tariff Jul 2019'!AX13</f>
        <v>0</v>
      </c>
      <c r="P19" s="29">
        <f>'Tariff Jul 2019'!AY13</f>
        <v>10</v>
      </c>
      <c r="Q19" s="29">
        <f>'Tariff Jul 2019'!AZ13</f>
        <v>0</v>
      </c>
      <c r="R19" s="256">
        <f>M19</f>
        <v>2708.6</v>
      </c>
      <c r="S19" s="256">
        <f>M19-(M19*P19/100)</f>
        <v>2437.7399999999998</v>
      </c>
      <c r="T19" s="262">
        <f>R19</f>
        <v>2708.6</v>
      </c>
      <c r="U19" s="262">
        <f>S19</f>
        <v>2437.7399999999998</v>
      </c>
      <c r="V19" s="126">
        <f>'Tariff Jul 2019'!BI13</f>
        <v>0</v>
      </c>
      <c r="W19" s="127" t="str">
        <f>'Tariff Jul 2019'!BJ13</f>
        <v>n</v>
      </c>
    </row>
    <row r="20" spans="1:23" x14ac:dyDescent="0.15">
      <c r="A20" s="111" t="str">
        <f>'Tariff Jul 2019'!K14</f>
        <v>Energy Locals</v>
      </c>
      <c r="B20" s="29" t="str">
        <f>'Tariff Jul 2019'!L14</f>
        <v>Simple Saver</v>
      </c>
      <c r="C20" s="121">
        <f>91*'Tariff Jul 2019'!M14/100</f>
        <v>78.259999999999991</v>
      </c>
      <c r="D20" s="121">
        <f>IF($C$5&gt;='Tariff Jul 2019'!P14,('Tariff Jul 2019'!P14*'Tariff Jul 2019'!N14/100),($C$5*'Tariff Jul 2019'!N14/100))</f>
        <v>299.90909090909093</v>
      </c>
      <c r="E20" s="121">
        <v>0</v>
      </c>
      <c r="F20" s="122">
        <v>0</v>
      </c>
      <c r="G20" s="121">
        <v>0</v>
      </c>
      <c r="H20" s="121">
        <v>0</v>
      </c>
      <c r="I20" s="121">
        <f>IF(($C$5&lt;'Tariff Jul 2019'!T14),(0),($C$5-'Tariff Jul 2019'!T14)*'Tariff Jul 2019'!U14/100)</f>
        <v>154.95454545454547</v>
      </c>
      <c r="J20" s="121">
        <f t="shared" si="0"/>
        <v>533.12363636363636</v>
      </c>
      <c r="K20" s="256">
        <f t="shared" si="5"/>
        <v>1819.4545454545455</v>
      </c>
      <c r="L20" s="125">
        <f t="shared" si="1"/>
        <v>2132.4945454545455</v>
      </c>
      <c r="M20" s="125">
        <f t="shared" si="2"/>
        <v>2345.7440000000001</v>
      </c>
      <c r="N20" s="29">
        <f>'Tariff Jul 2019'!AW14</f>
        <v>0</v>
      </c>
      <c r="O20" s="29">
        <f>'Tariff Jul 2019'!AX14</f>
        <v>0</v>
      </c>
      <c r="P20" s="29">
        <f>'Tariff Jul 2019'!AY14</f>
        <v>0</v>
      </c>
      <c r="Q20" s="29">
        <f>'Tariff Jul 2019'!AZ14</f>
        <v>0</v>
      </c>
      <c r="R20" s="256">
        <f t="shared" si="3"/>
        <v>2132.4945454545455</v>
      </c>
      <c r="S20" s="256">
        <f>R20</f>
        <v>2132.4945454545455</v>
      </c>
      <c r="T20" s="262">
        <f t="shared" si="4"/>
        <v>2345.7440000000001</v>
      </c>
      <c r="U20" s="262">
        <f t="shared" si="4"/>
        <v>2345.7440000000001</v>
      </c>
      <c r="V20" s="126">
        <f>'Tariff Jul 2019'!BI14</f>
        <v>0</v>
      </c>
      <c r="W20" s="127" t="str">
        <f>'Tariff Jul 2019'!BJ14</f>
        <v>n</v>
      </c>
    </row>
    <row r="21" spans="1:23" x14ac:dyDescent="0.15">
      <c r="A21" s="111" t="str">
        <f>'Tariff Jul 2019'!K15</f>
        <v>Simply Energy</v>
      </c>
      <c r="B21" s="29" t="str">
        <f>'Tariff Jul 2019'!L15</f>
        <v>Plus</v>
      </c>
      <c r="C21" s="121">
        <f>91*'Tariff Jul 2019'!M15/100</f>
        <v>79.327181818181813</v>
      </c>
      <c r="D21" s="121">
        <f>$C$5*'Tariff Jul 2019'!N15/100</f>
        <v>542.4545454545455</v>
      </c>
      <c r="E21" s="121">
        <v>0</v>
      </c>
      <c r="F21" s="122">
        <v>0</v>
      </c>
      <c r="G21" s="121">
        <v>0</v>
      </c>
      <c r="H21" s="121">
        <v>0</v>
      </c>
      <c r="I21" s="121">
        <v>0</v>
      </c>
      <c r="J21" s="121">
        <f t="shared" si="0"/>
        <v>621.78172727272727</v>
      </c>
      <c r="K21" s="256">
        <f>(J21-C21)*4</f>
        <v>2169.818181818182</v>
      </c>
      <c r="L21" s="125">
        <f t="shared" si="1"/>
        <v>2487.1269090909091</v>
      </c>
      <c r="M21" s="125">
        <f t="shared" si="2"/>
        <v>2735.8396000000002</v>
      </c>
      <c r="N21" s="29">
        <f>'Tariff Jul 2019'!AW15</f>
        <v>0</v>
      </c>
      <c r="O21" s="29">
        <f>'Tariff Jul 2019'!AX15</f>
        <v>0</v>
      </c>
      <c r="P21" s="29">
        <f>'Tariff Jul 2019'!AY15</f>
        <v>0</v>
      </c>
      <c r="Q21" s="29">
        <f>'Tariff Jul 2019'!AZ15</f>
        <v>0</v>
      </c>
      <c r="R21" s="256">
        <f t="shared" si="3"/>
        <v>2487.1269090909091</v>
      </c>
      <c r="S21" s="256">
        <f>R21</f>
        <v>2487.1269090909091</v>
      </c>
      <c r="T21" s="262">
        <f t="shared" si="4"/>
        <v>2735.8396000000002</v>
      </c>
      <c r="U21" s="262">
        <f t="shared" si="4"/>
        <v>2735.8396000000002</v>
      </c>
      <c r="V21" s="126">
        <f>'Tariff Jul 2019'!BI15</f>
        <v>0</v>
      </c>
      <c r="W21" s="127" t="str">
        <f>'Tariff Jul 2019'!BJ15</f>
        <v>n</v>
      </c>
    </row>
    <row r="22" spans="1:23" x14ac:dyDescent="0.15">
      <c r="A22" s="111" t="str">
        <f>'Tariff Jul 2019'!K16</f>
        <v>Amaysim</v>
      </c>
      <c r="B22" s="29" t="str">
        <f>'Tariff Jul 2019'!L16</f>
        <v>Electricity as you go</v>
      </c>
      <c r="C22" s="121">
        <f>91*'Tariff Jul 2019'!M16/100</f>
        <v>63.484909090909078</v>
      </c>
      <c r="D22" s="121">
        <f>IF($C$5&gt;='Tariff Jul 2019'!P16,('Tariff Jul 2019'!P16*'Tariff Jul 2019'!N16/100),($C$5*'Tariff Jul 2019'!N16/100))</f>
        <v>368.09090909090907</v>
      </c>
      <c r="E22" s="121">
        <v>0</v>
      </c>
      <c r="F22" s="122">
        <v>0</v>
      </c>
      <c r="G22" s="121">
        <v>0</v>
      </c>
      <c r="H22" s="121">
        <v>0</v>
      </c>
      <c r="I22" s="121">
        <f>IF(($C$5&lt;'Tariff Jul 2019'!T16),(0),($C$5-'Tariff Jul 2019'!T16)*'Tariff Jul 2019'!U16/100)</f>
        <v>192.5</v>
      </c>
      <c r="J22" s="121">
        <f t="shared" si="0"/>
        <v>624.07581818181814</v>
      </c>
      <c r="K22" s="256">
        <f t="shared" ref="K22" si="10">(J22-C22)*4</f>
        <v>2242.363636363636</v>
      </c>
      <c r="L22" s="125">
        <f t="shared" si="1"/>
        <v>2496.3032727272725</v>
      </c>
      <c r="M22" s="125">
        <f t="shared" si="2"/>
        <v>2745.9335999999998</v>
      </c>
      <c r="N22" s="29">
        <f>'Tariff Jul 2019'!AW16</f>
        <v>0</v>
      </c>
      <c r="O22" s="29">
        <f>'Tariff Jul 2019'!AX16</f>
        <v>0</v>
      </c>
      <c r="P22" s="29">
        <f>'Tariff Jul 2019'!AY16</f>
        <v>0</v>
      </c>
      <c r="Q22" s="29">
        <f>'Tariff Jul 2019'!AZ16</f>
        <v>0</v>
      </c>
      <c r="R22" s="256">
        <f t="shared" si="3"/>
        <v>2496.3032727272725</v>
      </c>
      <c r="S22" s="256">
        <f>R22</f>
        <v>2496.3032727272725</v>
      </c>
      <c r="T22" s="262">
        <f t="shared" si="4"/>
        <v>2745.9335999999998</v>
      </c>
      <c r="U22" s="262">
        <f t="shared" si="4"/>
        <v>2745.9335999999998</v>
      </c>
      <c r="V22" s="126">
        <f>'Tariff Jul 2019'!BI16</f>
        <v>0</v>
      </c>
      <c r="W22" s="127" t="str">
        <f>'Tariff Jul 2019'!BJ16</f>
        <v>n</v>
      </c>
    </row>
    <row r="23" spans="1:23" x14ac:dyDescent="0.15">
      <c r="A23" s="111" t="str">
        <f>'Tariff Jul 2019'!K17</f>
        <v>Powershop</v>
      </c>
      <c r="B23" s="29" t="str">
        <f>'Tariff Jul 2019'!L17</f>
        <v>Shopper with Mega Pack</v>
      </c>
      <c r="C23" s="121">
        <f>91*'Tariff Jul 2019'!M17/100</f>
        <v>98.543900000000008</v>
      </c>
      <c r="D23" s="121">
        <f>$C$5*'Tariff Jul 2019'!N17/100</f>
        <v>512.72727272727275</v>
      </c>
      <c r="E23" s="121">
        <v>0</v>
      </c>
      <c r="F23" s="122">
        <v>0</v>
      </c>
      <c r="G23" s="121">
        <v>0</v>
      </c>
      <c r="H23" s="121">
        <v>0</v>
      </c>
      <c r="I23" s="121">
        <v>0</v>
      </c>
      <c r="J23" s="121">
        <f t="shared" ref="J23:J25" si="11">SUM(C23:I23)</f>
        <v>611.27117272727276</v>
      </c>
      <c r="K23" s="256">
        <f t="shared" ref="K23" si="12">(J23-C23)*4</f>
        <v>2050.909090909091</v>
      </c>
      <c r="L23" s="125">
        <f t="shared" ref="L23:L24" si="13">J23*4</f>
        <v>2445.084690909091</v>
      </c>
      <c r="M23" s="125">
        <f t="shared" ref="M23:M24" si="14">L23*1.1</f>
        <v>2689.5931600000004</v>
      </c>
      <c r="N23" s="29">
        <f>'Tariff Jul 2019'!AW17</f>
        <v>0</v>
      </c>
      <c r="O23" s="29">
        <f>'Tariff Jul 2019'!AX17</f>
        <v>0</v>
      </c>
      <c r="P23" s="29">
        <f>'Tariff Jul 2019'!AY17</f>
        <v>15</v>
      </c>
      <c r="Q23" s="29">
        <f>'Tariff Jul 2019'!AZ17</f>
        <v>0</v>
      </c>
      <c r="R23" s="256">
        <f>L23</f>
        <v>2445.084690909091</v>
      </c>
      <c r="S23" s="256">
        <f>M23-(M23*P23/100)</f>
        <v>2286.1541860000002</v>
      </c>
      <c r="T23" s="262">
        <f>R23</f>
        <v>2445.084690909091</v>
      </c>
      <c r="U23" s="262">
        <f>S23</f>
        <v>2286.1541860000002</v>
      </c>
      <c r="V23" s="126">
        <f>'Tariff Jul 2019'!BI17</f>
        <v>0</v>
      </c>
      <c r="W23" s="127" t="str">
        <f>'Tariff Jul 2019'!BJ17</f>
        <v>n</v>
      </c>
    </row>
    <row r="24" spans="1:23" x14ac:dyDescent="0.15">
      <c r="A24" s="111" t="str">
        <f>'Tariff Jul 2019'!K18</f>
        <v>Powerclub</v>
      </c>
      <c r="B24" s="29" t="str">
        <f>'Tariff Jul 2019'!L18</f>
        <v>Powerbank Home</v>
      </c>
      <c r="C24" s="121">
        <f>(91*'Tariff Jul 2019'!M18/100)+('Tariff Jul 2019'!BM18/4)</f>
        <v>94.266090909090906</v>
      </c>
      <c r="D24" s="121">
        <f>IF($C$5&gt;='Tariff Jul 2019'!P18,('Tariff Jul 2019'!P18*'Tariff Jul 2019'!N18/100),($C$5*'Tariff Jul 2019'!N18/100))</f>
        <v>278.72727272727275</v>
      </c>
      <c r="E24" s="121">
        <v>0</v>
      </c>
      <c r="F24" s="122">
        <v>0</v>
      </c>
      <c r="G24" s="121">
        <v>0</v>
      </c>
      <c r="H24" s="121">
        <v>0</v>
      </c>
      <c r="I24" s="121">
        <f>IF(($C$5&lt;'Tariff Jul 2019'!T18),(0),($C$5-'Tariff Jul 2019'!T18)*'Tariff Jul 2019'!U18/100)</f>
        <v>142.68181818181819</v>
      </c>
      <c r="J24" s="121">
        <f t="shared" si="11"/>
        <v>515.67518181818184</v>
      </c>
      <c r="K24" s="256">
        <f>(J24-C24)*4</f>
        <v>1685.6363636363637</v>
      </c>
      <c r="L24" s="125">
        <f t="shared" si="13"/>
        <v>2062.7007272727274</v>
      </c>
      <c r="M24" s="125">
        <f t="shared" si="14"/>
        <v>2268.9708000000005</v>
      </c>
      <c r="N24" s="29">
        <f>'Tariff Jul 2019'!AW18</f>
        <v>0</v>
      </c>
      <c r="O24" s="29">
        <f>'Tariff Jul 2019'!AX18</f>
        <v>0</v>
      </c>
      <c r="P24" s="29">
        <f>'Tariff Jul 2019'!AY18</f>
        <v>0</v>
      </c>
      <c r="Q24" s="29">
        <f>'Tariff Jul 2019'!AZ18</f>
        <v>0</v>
      </c>
      <c r="R24" s="256">
        <f t="shared" ref="R24" si="15">L24</f>
        <v>2062.7007272727274</v>
      </c>
      <c r="S24" s="256">
        <f>R24</f>
        <v>2062.7007272727274</v>
      </c>
      <c r="T24" s="262">
        <f t="shared" ref="T24" si="16">R24*1.1</f>
        <v>2268.9708000000005</v>
      </c>
      <c r="U24" s="262">
        <f t="shared" ref="U24" si="17">S24*1.1</f>
        <v>2268.9708000000005</v>
      </c>
      <c r="V24" s="126">
        <f>'Tariff Jul 2019'!BI18</f>
        <v>0</v>
      </c>
      <c r="W24" s="127" t="str">
        <f>'Tariff Jul 2019'!BJ18</f>
        <v>n</v>
      </c>
    </row>
    <row r="25" spans="1:23" ht="14" thickBot="1" x14ac:dyDescent="0.2">
      <c r="A25" s="128" t="str">
        <f>'Tariff Jul 2019'!K19</f>
        <v>Amber Electric</v>
      </c>
      <c r="B25" s="129" t="str">
        <f>'Tariff Jul 2019'!L19</f>
        <v>Market offer</v>
      </c>
      <c r="C25" s="130">
        <f>91*'Tariff Jul 2019'!M19/100</f>
        <v>97.37</v>
      </c>
      <c r="D25" s="130">
        <f>$C$5*'Tariff Jul 2019'!N19/100</f>
        <v>660</v>
      </c>
      <c r="E25" s="130">
        <v>0</v>
      </c>
      <c r="F25" s="131">
        <v>0</v>
      </c>
      <c r="G25" s="130">
        <v>0</v>
      </c>
      <c r="H25" s="130">
        <v>0</v>
      </c>
      <c r="I25" s="130">
        <v>0</v>
      </c>
      <c r="J25" s="130">
        <f t="shared" si="11"/>
        <v>757.37</v>
      </c>
      <c r="K25" s="257">
        <f t="shared" ref="K25" si="18">(J25-C25)*4</f>
        <v>2640</v>
      </c>
      <c r="L25" s="134">
        <f>J25*4</f>
        <v>3029.48</v>
      </c>
      <c r="M25" s="134">
        <f t="shared" ref="M25" si="19">L25*1.1</f>
        <v>3332.4280000000003</v>
      </c>
      <c r="N25" s="129">
        <f>'Tariff Jul 2019'!AW19</f>
        <v>0</v>
      </c>
      <c r="O25" s="129">
        <f>'Tariff Jul 2019'!AX19</f>
        <v>0</v>
      </c>
      <c r="P25" s="129">
        <f>'Tariff Jul 2019'!AY19</f>
        <v>0</v>
      </c>
      <c r="Q25" s="129">
        <f>'Tariff Jul 2019'!AZ19</f>
        <v>0</v>
      </c>
      <c r="R25" s="257">
        <f t="shared" ref="R25" si="20">L25</f>
        <v>3029.48</v>
      </c>
      <c r="S25" s="257">
        <f>R25</f>
        <v>3029.48</v>
      </c>
      <c r="T25" s="263">
        <f t="shared" ref="T25" si="21">R25*1.1</f>
        <v>3332.4280000000003</v>
      </c>
      <c r="U25" s="263">
        <f t="shared" ref="U25" si="22">S25*1.1</f>
        <v>3332.4280000000003</v>
      </c>
      <c r="V25" s="135">
        <f>'Tariff Jul 2019'!BI19</f>
        <v>0</v>
      </c>
      <c r="W25" s="136" t="str">
        <f>'Tariff Jul 2019'!BJ19</f>
        <v>n</v>
      </c>
    </row>
    <row r="27" spans="1:23" ht="14" thickBot="1" x14ac:dyDescent="0.2"/>
    <row r="28" spans="1:23" ht="14" x14ac:dyDescent="0.15">
      <c r="A28" s="116" t="s">
        <v>179</v>
      </c>
      <c r="B28" s="117"/>
      <c r="C28" s="117"/>
      <c r="D28" s="137"/>
      <c r="E28" s="137"/>
      <c r="F28" s="137"/>
      <c r="G28" s="138"/>
      <c r="H28" s="138"/>
      <c r="I28" s="117"/>
      <c r="J28" s="117"/>
      <c r="K28" s="138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8"/>
    </row>
    <row r="29" spans="1:23" ht="14" x14ac:dyDescent="0.15">
      <c r="A29" s="119" t="s">
        <v>72</v>
      </c>
      <c r="B29" s="60"/>
      <c r="C29" s="143">
        <v>1875</v>
      </c>
      <c r="D29" s="139"/>
      <c r="E29" s="139"/>
      <c r="F29" s="139"/>
      <c r="G29" s="140"/>
      <c r="H29" s="140"/>
      <c r="I29" s="60"/>
      <c r="J29" s="60"/>
      <c r="K29" s="14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120"/>
    </row>
    <row r="30" spans="1:23" ht="14" x14ac:dyDescent="0.15">
      <c r="A30" s="119" t="s">
        <v>241</v>
      </c>
      <c r="B30" s="60"/>
      <c r="C30" s="144">
        <v>0.8</v>
      </c>
      <c r="D30" s="139"/>
      <c r="E30" s="139"/>
      <c r="F30" s="139"/>
      <c r="G30" s="140"/>
      <c r="H30" s="140"/>
      <c r="I30" s="60"/>
      <c r="J30" s="60"/>
      <c r="K30" s="14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120"/>
    </row>
    <row r="31" spans="1:23" ht="14" x14ac:dyDescent="0.15">
      <c r="A31" s="119" t="s">
        <v>143</v>
      </c>
      <c r="B31" s="60"/>
      <c r="C31" s="144">
        <v>0.2</v>
      </c>
      <c r="D31" s="139"/>
      <c r="E31" s="139"/>
      <c r="F31" s="139"/>
      <c r="G31" s="140"/>
      <c r="H31" s="140"/>
      <c r="I31" s="60"/>
      <c r="J31" s="60"/>
      <c r="K31" s="14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120"/>
    </row>
    <row r="32" spans="1:23" ht="14" x14ac:dyDescent="0.15">
      <c r="A32" s="119"/>
      <c r="B32" s="60"/>
      <c r="C32" s="139"/>
      <c r="D32" s="139"/>
      <c r="E32" s="139"/>
      <c r="F32" s="139"/>
      <c r="G32" s="140"/>
      <c r="H32" s="140"/>
      <c r="I32" s="60"/>
      <c r="J32" s="60"/>
      <c r="K32" s="14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120"/>
    </row>
    <row r="33" spans="1:23" ht="75" x14ac:dyDescent="0.15">
      <c r="A33" s="239" t="s">
        <v>278</v>
      </c>
      <c r="B33" s="240" t="s">
        <v>73</v>
      </c>
      <c r="C33" s="248" t="s">
        <v>74</v>
      </c>
      <c r="D33" s="248" t="s">
        <v>75</v>
      </c>
      <c r="E33" s="241" t="s">
        <v>164</v>
      </c>
      <c r="F33" s="241" t="s">
        <v>165</v>
      </c>
      <c r="G33" s="241" t="s">
        <v>239</v>
      </c>
      <c r="H33" s="241" t="s">
        <v>356</v>
      </c>
      <c r="I33" s="241" t="s">
        <v>357</v>
      </c>
      <c r="J33" s="241" t="s">
        <v>958</v>
      </c>
      <c r="K33" s="249" t="s">
        <v>52</v>
      </c>
      <c r="L33" s="249" t="s">
        <v>172</v>
      </c>
      <c r="M33" s="242" t="s">
        <v>0</v>
      </c>
      <c r="N33" s="243" t="s">
        <v>174</v>
      </c>
      <c r="O33" s="243" t="s">
        <v>175</v>
      </c>
      <c r="P33" s="243" t="s">
        <v>76</v>
      </c>
      <c r="Q33" s="243" t="s">
        <v>77</v>
      </c>
      <c r="R33" s="250" t="s">
        <v>295</v>
      </c>
      <c r="S33" s="250" t="s">
        <v>304</v>
      </c>
      <c r="T33" s="245" t="s">
        <v>353</v>
      </c>
      <c r="U33" s="244" t="s">
        <v>354</v>
      </c>
      <c r="V33" s="246" t="s">
        <v>359</v>
      </c>
      <c r="W33" s="247" t="s">
        <v>360</v>
      </c>
    </row>
    <row r="34" spans="1:23" x14ac:dyDescent="0.15">
      <c r="A34" s="111" t="str">
        <f>'Tariff Jul 2019'!K20</f>
        <v>AGL</v>
      </c>
      <c r="B34" s="29" t="str">
        <f>'Tariff Jul 2019'!L20</f>
        <v>Smart Saver</v>
      </c>
      <c r="C34" s="141">
        <f>91*'Tariff Jul 2019'!M20/100</f>
        <v>73.709999999999994</v>
      </c>
      <c r="D34" s="141">
        <f>($C$29*$C$30)*'Tariff Jul 2019'!N20/100</f>
        <v>550.63636363636363</v>
      </c>
      <c r="E34" s="141">
        <v>0</v>
      </c>
      <c r="F34" s="141">
        <v>0</v>
      </c>
      <c r="G34" s="141">
        <v>0</v>
      </c>
      <c r="H34" s="141">
        <f>($C$29*$C$31)*'Tariff Jul 2019'!AE20/100</f>
        <v>75.409090909090907</v>
      </c>
      <c r="I34" s="141">
        <v>0</v>
      </c>
      <c r="J34" s="141">
        <f>SUM(C34:I34)</f>
        <v>699.75545454545454</v>
      </c>
      <c r="K34" s="256">
        <f>(J34-C34)*4</f>
        <v>2504.181818181818</v>
      </c>
      <c r="L34" s="125">
        <f>J34*4</f>
        <v>2799.0218181818182</v>
      </c>
      <c r="M34" s="125">
        <f>L34*1.1</f>
        <v>3078.9240000000004</v>
      </c>
      <c r="N34" s="29">
        <f>'Tariff Jul 2019'!AW20</f>
        <v>8</v>
      </c>
      <c r="O34" s="29">
        <f>'Tariff Jul 2019'!AX20</f>
        <v>0</v>
      </c>
      <c r="P34" s="29">
        <f>'Tariff Jul 2019'!AY20</f>
        <v>0</v>
      </c>
      <c r="Q34" s="29">
        <f>'Tariff Jul 2019'!AZ20</f>
        <v>0</v>
      </c>
      <c r="R34" s="256">
        <f>L34-(L34*N34/100)</f>
        <v>2575.1000727272726</v>
      </c>
      <c r="S34" s="256">
        <f>R34</f>
        <v>2575.1000727272726</v>
      </c>
      <c r="T34" s="262">
        <f>R34*1.1</f>
        <v>2832.6100799999999</v>
      </c>
      <c r="U34" s="262">
        <f>S34*1.1</f>
        <v>2832.6100799999999</v>
      </c>
      <c r="V34" s="126">
        <f>'Tariff Jul 2019'!BI20</f>
        <v>0</v>
      </c>
      <c r="W34" s="127" t="str">
        <f>'Tariff Jul 2019'!BJ20</f>
        <v>n</v>
      </c>
    </row>
    <row r="35" spans="1:23" x14ac:dyDescent="0.15">
      <c r="A35" s="111" t="str">
        <f>'Tariff Jul 2019'!K21</f>
        <v>Alinta Energy</v>
      </c>
      <c r="B35" s="29" t="str">
        <f>'Tariff Jul 2019'!L21</f>
        <v>No fuss</v>
      </c>
      <c r="C35" s="141">
        <f>91*'Tariff Jul 2019'!M21/100</f>
        <v>75.53</v>
      </c>
      <c r="D35" s="141">
        <f>IF($C$29*$C$30&gt;='Tariff Jul 2019'!P21,('Tariff Jul 2019'!P21*'Tariff Jul 2019'!N21/100),(($C$29*$C$30)*'Tariff Jul 2019'!N21/100))</f>
        <v>90.463636363636354</v>
      </c>
      <c r="E35" s="141">
        <v>0</v>
      </c>
      <c r="F35" s="141">
        <v>0</v>
      </c>
      <c r="G35" s="141">
        <f>IF(($C$29*$C$30&lt;'Tariff Jul 2019'!T21),(0),($C$29*$C$30-'Tariff Jul 2019'!T21)*'Tariff Jul 2019'!U21/100)</f>
        <v>403.09090909090912</v>
      </c>
      <c r="H35" s="141">
        <f>($C$29*$C$31)*'Tariff Jul 2019'!AE21/100</f>
        <v>62.318181818181813</v>
      </c>
      <c r="I35" s="141">
        <f>IF(($C$29*$C$31&lt;'Tariff Jul 2019'!AF21),(0),($C$29*$C$31-'Tariff Jul 2019'!AF21)*'Tariff Jul 2019'!AG21/100)</f>
        <v>0</v>
      </c>
      <c r="J35" s="141">
        <f t="shared" ref="J35:J47" si="23">SUM(C35:I35)</f>
        <v>631.40272727272736</v>
      </c>
      <c r="K35" s="256">
        <f>(J35-C35)*4</f>
        <v>2223.4909090909096</v>
      </c>
      <c r="L35" s="125">
        <f t="shared" ref="L35:L49" si="24">J35*4</f>
        <v>2525.6109090909094</v>
      </c>
      <c r="M35" s="125">
        <f t="shared" ref="M35:M49" si="25">L35*1.1</f>
        <v>2778.1720000000005</v>
      </c>
      <c r="N35" s="29">
        <f>'Tariff Jul 2019'!AW21</f>
        <v>0</v>
      </c>
      <c r="O35" s="29">
        <f>'Tariff Jul 2019'!AX21</f>
        <v>0</v>
      </c>
      <c r="P35" s="29">
        <f>'Tariff Jul 2019'!AY21</f>
        <v>0</v>
      </c>
      <c r="Q35" s="29">
        <f>'Tariff Jul 2019'!AZ21</f>
        <v>0</v>
      </c>
      <c r="R35" s="256">
        <f t="shared" ref="R35:R39" si="26">L35</f>
        <v>2525.6109090909094</v>
      </c>
      <c r="S35" s="256">
        <f>R35</f>
        <v>2525.6109090909094</v>
      </c>
      <c r="T35" s="262">
        <f t="shared" ref="T35:T42" si="27">R35*1.1</f>
        <v>2778.1720000000005</v>
      </c>
      <c r="U35" s="262">
        <f t="shared" ref="U35:U42" si="28">S35*1.1</f>
        <v>2778.1720000000005</v>
      </c>
      <c r="V35" s="126">
        <f>'Tariff Jul 2019'!BI21</f>
        <v>0</v>
      </c>
      <c r="W35" s="127" t="str">
        <f>'Tariff Jul 2019'!BJ21</f>
        <v>n</v>
      </c>
    </row>
    <row r="36" spans="1:23" x14ac:dyDescent="0.15">
      <c r="A36" s="111" t="str">
        <f>'Tariff Jul 2019'!K22</f>
        <v>Click Energy</v>
      </c>
      <c r="B36" s="29" t="str">
        <f>'Tariff Jul 2019'!L22</f>
        <v>Banksia</v>
      </c>
      <c r="C36" s="141">
        <f>91*'Tariff Jul 2019'!M22/100</f>
        <v>81.618727272727256</v>
      </c>
      <c r="D36" s="141">
        <f>($C$29*$C$30)*'Tariff Jul 2019'!N22/100</f>
        <v>532.09090909090912</v>
      </c>
      <c r="E36" s="141">
        <v>0</v>
      </c>
      <c r="F36" s="141">
        <v>0</v>
      </c>
      <c r="G36" s="141">
        <v>0</v>
      </c>
      <c r="H36" s="141">
        <f>($C$29*$C$31)*'Tariff Jul 2019'!AE22/100</f>
        <v>75.136363636363626</v>
      </c>
      <c r="I36" s="141">
        <v>0</v>
      </c>
      <c r="J36" s="141">
        <f t="shared" si="23"/>
        <v>688.846</v>
      </c>
      <c r="K36" s="256">
        <f t="shared" ref="K36:K49" si="29">(J36-C36)*4</f>
        <v>2428.909090909091</v>
      </c>
      <c r="L36" s="125">
        <f t="shared" si="24"/>
        <v>2755.384</v>
      </c>
      <c r="M36" s="125">
        <f t="shared" si="25"/>
        <v>3030.9224000000004</v>
      </c>
      <c r="N36" s="29">
        <f>'Tariff Jul 2019'!AW22</f>
        <v>0</v>
      </c>
      <c r="O36" s="29">
        <f>'Tariff Jul 2019'!AX22</f>
        <v>0</v>
      </c>
      <c r="P36" s="29">
        <f>'Tariff Jul 2019'!AY22</f>
        <v>0</v>
      </c>
      <c r="Q36" s="29">
        <f>'Tariff Jul 2019'!AZ22</f>
        <v>0</v>
      </c>
      <c r="R36" s="256">
        <f t="shared" si="26"/>
        <v>2755.384</v>
      </c>
      <c r="S36" s="256">
        <f>R36</f>
        <v>2755.384</v>
      </c>
      <c r="T36" s="262">
        <f t="shared" si="27"/>
        <v>3030.9224000000004</v>
      </c>
      <c r="U36" s="262">
        <f t="shared" si="28"/>
        <v>3030.9224000000004</v>
      </c>
      <c r="V36" s="126">
        <f>'Tariff Jul 2019'!BI22</f>
        <v>0</v>
      </c>
      <c r="W36" s="127" t="str">
        <f>'Tariff Jul 2019'!BJ22</f>
        <v>n</v>
      </c>
    </row>
    <row r="37" spans="1:23" x14ac:dyDescent="0.15">
      <c r="A37" s="111" t="str">
        <f>'Tariff Jul 2019'!K23</f>
        <v>Commander</v>
      </c>
      <c r="B37" s="29" t="str">
        <f>'Tariff Jul 2019'!L23</f>
        <v>Market offer</v>
      </c>
      <c r="C37" s="141">
        <f>91*'Tariff Jul 2019'!M23/100</f>
        <v>80.808000000000007</v>
      </c>
      <c r="D37" s="141">
        <f>IF($C$29*$C$30&gt;='Tariff Jul 2019'!P23,('Tariff Jul 2019'!P23*'Tariff Jul 2019'!N23/100),(($C$29*$C$30)*'Tariff Jul 2019'!N23/100))</f>
        <v>324.09090909090907</v>
      </c>
      <c r="E37" s="141">
        <v>0</v>
      </c>
      <c r="F37" s="141">
        <v>0</v>
      </c>
      <c r="G37" s="141">
        <f>IF(($C$29*$C$30&lt;'Tariff Jul 2019'!T23),(0),($C$29*$C$30-'Tariff Jul 2019'!T23)*'Tariff Jul 2019'!U23/100)</f>
        <v>166.27272727272725</v>
      </c>
      <c r="H37" s="141">
        <f>($C$29*$C$31)*'Tariff Jul 2019'!AE23/100</f>
        <v>67.772727272727266</v>
      </c>
      <c r="I37" s="141">
        <v>0</v>
      </c>
      <c r="J37" s="141">
        <f t="shared" si="23"/>
        <v>638.94436363636351</v>
      </c>
      <c r="K37" s="256">
        <f t="shared" si="29"/>
        <v>2232.545454545454</v>
      </c>
      <c r="L37" s="125">
        <f t="shared" si="24"/>
        <v>2555.777454545454</v>
      </c>
      <c r="M37" s="125">
        <f t="shared" si="25"/>
        <v>2811.3551999999995</v>
      </c>
      <c r="N37" s="29">
        <f>'Tariff Jul 2019'!AW23</f>
        <v>0</v>
      </c>
      <c r="O37" s="29">
        <f>'Tariff Jul 2019'!AX23</f>
        <v>0</v>
      </c>
      <c r="P37" s="29">
        <f>'Tariff Jul 2019'!AY23</f>
        <v>0</v>
      </c>
      <c r="Q37" s="29">
        <f>'Tariff Jul 2019'!AZ23</f>
        <v>0</v>
      </c>
      <c r="R37" s="256">
        <f t="shared" si="26"/>
        <v>2555.777454545454</v>
      </c>
      <c r="S37" s="256">
        <f>R37</f>
        <v>2555.777454545454</v>
      </c>
      <c r="T37" s="262">
        <f t="shared" si="27"/>
        <v>2811.3551999999995</v>
      </c>
      <c r="U37" s="262">
        <f t="shared" si="28"/>
        <v>2811.3551999999995</v>
      </c>
      <c r="V37" s="126">
        <f>'Tariff Jul 2019'!BI23</f>
        <v>0</v>
      </c>
      <c r="W37" s="127" t="str">
        <f>'Tariff Jul 2019'!BJ23</f>
        <v>n</v>
      </c>
    </row>
    <row r="38" spans="1:23" x14ac:dyDescent="0.15">
      <c r="A38" s="111" t="str">
        <f>'Tariff Jul 2019'!K24</f>
        <v>Diamond Energy</v>
      </c>
      <c r="B38" s="29" t="str">
        <f>'Tariff Jul 2019'!L24</f>
        <v>Pay on time discount</v>
      </c>
      <c r="C38" s="141">
        <f>91*'Tariff Jul 2019'!M24/100</f>
        <v>79.124499999999998</v>
      </c>
      <c r="D38" s="141">
        <f>IF($C$29*$C$30&gt;='Tariff Jul 2019'!P24,('Tariff Jul 2019'!P24*'Tariff Jul 2019'!N24/100),(($C$29*$C$30)*'Tariff Jul 2019'!N24/100))</f>
        <v>99.78</v>
      </c>
      <c r="E38" s="141">
        <f>IF($C$29*$C$30&lt;'Tariff Jul 2019'!P24,0,IF(($C$29*$C$30-'Tariff Jul 2019'!P24)&lt;='Tariff Jul 2019'!R24,(($C$29*$C$30-'Tariff Jul 2019'!P24)*'Tariff Jul 2019'!Q24/100),(('Tariff Jul 2019'!R24-'Tariff Jul 2019'!P24)*'Tariff Jul 2019'!Q24/100)))</f>
        <v>251.23</v>
      </c>
      <c r="F38" s="141">
        <f>IF($C$29*$C$30&lt;'Tariff Jul 2019'!R24,0,IF(($C$29*$C$30-'Tariff Jul 2019'!R24)&lt;='Tariff Jul 2019'!T24,(($C$29*$C$30-'Tariff Jul 2019'!R24)*'Tariff Jul 2019'!S24/100),(('Tariff Jul 2019'!T24-'Tariff Jul 2019'!R24)*'Tariff Jul 2019'!S24/100)))</f>
        <v>194.75</v>
      </c>
      <c r="G38" s="141">
        <f>IF(($C$29*$C$30&lt;'Tariff Jul 2019'!T24),(0),($C$29*$C$30-'Tariff Jul 2019'!T24)*'Tariff Jul 2019'!U24/100)</f>
        <v>0</v>
      </c>
      <c r="H38" s="141">
        <f>($C$29*$C$31)*'Tariff Jul 2019'!AE24/100</f>
        <v>74.8125</v>
      </c>
      <c r="I38" s="141">
        <v>0</v>
      </c>
      <c r="J38" s="141">
        <f t="shared" si="23"/>
        <v>699.697</v>
      </c>
      <c r="K38" s="256">
        <f t="shared" si="29"/>
        <v>2482.29</v>
      </c>
      <c r="L38" s="125">
        <f t="shared" si="24"/>
        <v>2798.788</v>
      </c>
      <c r="M38" s="125">
        <f t="shared" si="25"/>
        <v>3078.6668000000004</v>
      </c>
      <c r="N38" s="29">
        <f>'Tariff Jul 2019'!AW24</f>
        <v>0</v>
      </c>
      <c r="O38" s="29">
        <f>'Tariff Jul 2019'!AX24</f>
        <v>0</v>
      </c>
      <c r="P38" s="29">
        <f>'Tariff Jul 2019'!AY24</f>
        <v>7</v>
      </c>
      <c r="Q38" s="29">
        <f>'Tariff Jul 2019'!AZ24</f>
        <v>0</v>
      </c>
      <c r="R38" s="256">
        <f t="shared" si="26"/>
        <v>2798.788</v>
      </c>
      <c r="S38" s="256">
        <f>R38-(R38*P38/100)</f>
        <v>2602.87284</v>
      </c>
      <c r="T38" s="262">
        <f t="shared" si="27"/>
        <v>3078.6668000000004</v>
      </c>
      <c r="U38" s="262">
        <f t="shared" si="28"/>
        <v>2863.1601240000005</v>
      </c>
      <c r="V38" s="126">
        <f>'Tariff Jul 2019'!BI24</f>
        <v>0</v>
      </c>
      <c r="W38" s="127" t="str">
        <f>'Tariff Jul 2019'!BJ24</f>
        <v>n</v>
      </c>
    </row>
    <row r="39" spans="1:23" x14ac:dyDescent="0.15">
      <c r="A39" s="111" t="str">
        <f>'Tariff Jul 2019'!K25</f>
        <v>Dodo Power &amp; Gas</v>
      </c>
      <c r="B39" s="29" t="str">
        <f>'Tariff Jul 2019'!L25</f>
        <v>Market offer</v>
      </c>
      <c r="C39" s="141">
        <f>91*'Tariff Jul 2019'!M25/100</f>
        <v>80.808000000000007</v>
      </c>
      <c r="D39" s="141">
        <f>IF($C$29*$C$30&gt;='Tariff Jul 2019'!P25,('Tariff Jul 2019'!P25*'Tariff Jul 2019'!N25/100),(($C$29*$C$30)*'Tariff Jul 2019'!N25/100))</f>
        <v>324.09090909090907</v>
      </c>
      <c r="E39" s="141">
        <v>0</v>
      </c>
      <c r="F39" s="141">
        <v>0</v>
      </c>
      <c r="G39" s="141">
        <f>IF(($C$29*$C$30&lt;'Tariff Jul 2019'!T25),(0),($C$29*$C$30-'Tariff Jul 2019'!T25)*'Tariff Jul 2019'!U25/100)</f>
        <v>166.27272727272725</v>
      </c>
      <c r="H39" s="141">
        <f>($C$29*$C$31)*'Tariff Jul 2019'!AE25/100</f>
        <v>67.772727272727266</v>
      </c>
      <c r="I39" s="141">
        <v>0</v>
      </c>
      <c r="J39" s="141">
        <f t="shared" si="23"/>
        <v>638.94436363636351</v>
      </c>
      <c r="K39" s="256">
        <f t="shared" si="29"/>
        <v>2232.545454545454</v>
      </c>
      <c r="L39" s="125">
        <f t="shared" si="24"/>
        <v>2555.777454545454</v>
      </c>
      <c r="M39" s="125">
        <f t="shared" si="25"/>
        <v>2811.3551999999995</v>
      </c>
      <c r="N39" s="29">
        <f>'Tariff Jul 2019'!AW25</f>
        <v>0</v>
      </c>
      <c r="O39" s="29">
        <f>'Tariff Jul 2019'!AX25</f>
        <v>0</v>
      </c>
      <c r="P39" s="29">
        <f>'Tariff Jul 2019'!AY25</f>
        <v>0</v>
      </c>
      <c r="Q39" s="29">
        <f>'Tariff Jul 2019'!AZ25</f>
        <v>0</v>
      </c>
      <c r="R39" s="256">
        <f t="shared" si="26"/>
        <v>2555.777454545454</v>
      </c>
      <c r="S39" s="256">
        <f t="shared" ref="S39:S44" si="30">R39</f>
        <v>2555.777454545454</v>
      </c>
      <c r="T39" s="262">
        <f t="shared" si="27"/>
        <v>2811.3551999999995</v>
      </c>
      <c r="U39" s="262">
        <f t="shared" si="28"/>
        <v>2811.3551999999995</v>
      </c>
      <c r="V39" s="126">
        <f>'Tariff Jul 2019'!BI25</f>
        <v>0</v>
      </c>
      <c r="W39" s="127" t="str">
        <f>'Tariff Jul 2019'!BJ25</f>
        <v>n</v>
      </c>
    </row>
    <row r="40" spans="1:23" x14ac:dyDescent="0.15">
      <c r="A40" s="111" t="str">
        <f>'Tariff Jul 2019'!K26</f>
        <v>EnergyAustralia</v>
      </c>
      <c r="B40" s="29" t="str">
        <f>'Tariff Jul 2019'!L26</f>
        <v>Total Plan Home</v>
      </c>
      <c r="C40" s="141">
        <f>91*'Tariff Jul 2019'!M26/100</f>
        <v>70.97999999999999</v>
      </c>
      <c r="D40" s="141">
        <f>($C$29*$C$30)*'Tariff Jul 2019'!N26/100</f>
        <v>555</v>
      </c>
      <c r="E40" s="141">
        <v>0</v>
      </c>
      <c r="F40" s="141">
        <v>0</v>
      </c>
      <c r="G40" s="141">
        <v>0</v>
      </c>
      <c r="H40" s="141">
        <f>($C$29*$C$31)*'Tariff Jul 2019'!AE26/100</f>
        <v>75.306818181818173</v>
      </c>
      <c r="I40" s="141">
        <v>0</v>
      </c>
      <c r="J40" s="141">
        <f t="shared" si="23"/>
        <v>701.28681818181815</v>
      </c>
      <c r="K40" s="256">
        <f t="shared" si="29"/>
        <v>2521.2272727272725</v>
      </c>
      <c r="L40" s="125">
        <f t="shared" si="24"/>
        <v>2805.1472727272726</v>
      </c>
      <c r="M40" s="125">
        <f t="shared" si="25"/>
        <v>3085.6620000000003</v>
      </c>
      <c r="N40" s="29">
        <f>'Tariff Jul 2019'!AW26</f>
        <v>6</v>
      </c>
      <c r="O40" s="29">
        <f>'Tariff Jul 2019'!AX26</f>
        <v>0</v>
      </c>
      <c r="P40" s="29">
        <f>'Tariff Jul 2019'!AY26</f>
        <v>0</v>
      </c>
      <c r="Q40" s="29">
        <f>'Tariff Jul 2019'!AZ26</f>
        <v>0</v>
      </c>
      <c r="R40" s="256">
        <f>L40-(L40*N40/100)</f>
        <v>2636.838436363636</v>
      </c>
      <c r="S40" s="256">
        <f t="shared" si="30"/>
        <v>2636.838436363636</v>
      </c>
      <c r="T40" s="262">
        <f t="shared" si="27"/>
        <v>2900.5222799999997</v>
      </c>
      <c r="U40" s="262">
        <f t="shared" si="28"/>
        <v>2900.5222799999997</v>
      </c>
      <c r="V40" s="126">
        <f>'Tariff Jul 2019'!BI26</f>
        <v>0</v>
      </c>
      <c r="W40" s="127" t="str">
        <f>'Tariff Jul 2019'!BJ26</f>
        <v>n</v>
      </c>
    </row>
    <row r="41" spans="1:23" x14ac:dyDescent="0.15">
      <c r="A41" s="111" t="str">
        <f>'Tariff Jul 2019'!K27</f>
        <v>Lumo Energy</v>
      </c>
      <c r="B41" s="29" t="str">
        <f>'Tariff Jul 2019'!L27</f>
        <v>Basic</v>
      </c>
      <c r="C41" s="141">
        <f>91*'Tariff Jul 2019'!M27/100</f>
        <v>83.72</v>
      </c>
      <c r="D41" s="141">
        <f>($C$29*$C$30)*'Tariff Jul 2019'!N27/100</f>
        <v>482.59090909090907</v>
      </c>
      <c r="E41" s="141">
        <v>0</v>
      </c>
      <c r="F41" s="141">
        <v>0</v>
      </c>
      <c r="G41" s="141">
        <v>0</v>
      </c>
      <c r="H41" s="141">
        <f>($C$29*$C$31)*'Tariff Jul 2019'!AE27/100</f>
        <v>70.056818181818173</v>
      </c>
      <c r="I41" s="141">
        <v>0</v>
      </c>
      <c r="J41" s="141">
        <f t="shared" si="23"/>
        <v>636.36772727272717</v>
      </c>
      <c r="K41" s="256">
        <f t="shared" si="29"/>
        <v>2210.5909090909086</v>
      </c>
      <c r="L41" s="125">
        <f t="shared" si="24"/>
        <v>2545.4709090909087</v>
      </c>
      <c r="M41" s="125">
        <f t="shared" si="25"/>
        <v>2800.0179999999996</v>
      </c>
      <c r="N41" s="29">
        <f>'Tariff Jul 2019'!AW27</f>
        <v>0</v>
      </c>
      <c r="O41" s="29">
        <f>'Tariff Jul 2019'!AX27</f>
        <v>0</v>
      </c>
      <c r="P41" s="29">
        <f>'Tariff Jul 2019'!AY27</f>
        <v>0</v>
      </c>
      <c r="Q41" s="29">
        <f>'Tariff Jul 2019'!AZ27</f>
        <v>0</v>
      </c>
      <c r="R41" s="256">
        <f t="shared" ref="R41:R42" si="31">L41</f>
        <v>2545.4709090909087</v>
      </c>
      <c r="S41" s="256">
        <f t="shared" si="30"/>
        <v>2545.4709090909087</v>
      </c>
      <c r="T41" s="262">
        <f t="shared" si="27"/>
        <v>2800.0179999999996</v>
      </c>
      <c r="U41" s="262">
        <f t="shared" si="28"/>
        <v>2800.0179999999996</v>
      </c>
      <c r="V41" s="126">
        <f>'Tariff Jul 2019'!BI27</f>
        <v>0</v>
      </c>
      <c r="W41" s="127" t="str">
        <f>'Tariff Jul 2019'!BJ27</f>
        <v>n</v>
      </c>
    </row>
    <row r="42" spans="1:23" x14ac:dyDescent="0.15">
      <c r="A42" s="111" t="str">
        <f>'Tariff Jul 2019'!K28</f>
        <v>Momentum Energy</v>
      </c>
      <c r="B42" s="29" t="str">
        <f>'Tariff Jul 2019'!L28</f>
        <v>SmilePower Flexi</v>
      </c>
      <c r="C42" s="141">
        <f>91*'Tariff Jul 2019'!M28/100</f>
        <v>93.484300000000005</v>
      </c>
      <c r="D42" s="141">
        <f>($C$29*$C$30)*'Tariff Jul 2019'!N28/100</f>
        <v>452.4</v>
      </c>
      <c r="E42" s="141">
        <v>0</v>
      </c>
      <c r="F42" s="141">
        <v>0</v>
      </c>
      <c r="G42" s="141">
        <v>0</v>
      </c>
      <c r="H42" s="141">
        <f>($C$29*$C$31)*'Tariff Jul 2019'!AE28/100</f>
        <v>70.387500000000003</v>
      </c>
      <c r="I42" s="141">
        <v>0</v>
      </c>
      <c r="J42" s="141">
        <f t="shared" si="23"/>
        <v>616.27179999999998</v>
      </c>
      <c r="K42" s="256">
        <f t="shared" si="29"/>
        <v>2091.15</v>
      </c>
      <c r="L42" s="125">
        <f t="shared" si="24"/>
        <v>2465.0871999999999</v>
      </c>
      <c r="M42" s="125">
        <f t="shared" si="25"/>
        <v>2711.5959200000002</v>
      </c>
      <c r="N42" s="29">
        <f>'Tariff Jul 2019'!AW28</f>
        <v>0</v>
      </c>
      <c r="O42" s="29">
        <f>'Tariff Jul 2019'!AX28</f>
        <v>0</v>
      </c>
      <c r="P42" s="29">
        <f>'Tariff Jul 2019'!AY28</f>
        <v>0</v>
      </c>
      <c r="Q42" s="29">
        <f>'Tariff Jul 2019'!AZ28</f>
        <v>0</v>
      </c>
      <c r="R42" s="256">
        <f t="shared" si="31"/>
        <v>2465.0871999999999</v>
      </c>
      <c r="S42" s="256">
        <f t="shared" si="30"/>
        <v>2465.0871999999999</v>
      </c>
      <c r="T42" s="262">
        <f t="shared" si="27"/>
        <v>2711.5959200000002</v>
      </c>
      <c r="U42" s="262">
        <f t="shared" si="28"/>
        <v>2711.5959200000002</v>
      </c>
      <c r="V42" s="126">
        <f>'Tariff Jul 2019'!BI28</f>
        <v>0</v>
      </c>
      <c r="W42" s="127" t="str">
        <f>'Tariff Jul 2019'!BJ28</f>
        <v>n</v>
      </c>
    </row>
    <row r="43" spans="1:23" x14ac:dyDescent="0.15">
      <c r="A43" s="111" t="str">
        <f>'Tariff Jul 2019'!K29</f>
        <v>Origin Energy</v>
      </c>
      <c r="B43" s="29" t="str">
        <f>'Tariff Jul 2019'!L29</f>
        <v>Flexi</v>
      </c>
      <c r="C43" s="141">
        <f>91*'Tariff Jul 2019'!M29/100</f>
        <v>75.124636363636355</v>
      </c>
      <c r="D43" s="141">
        <f>IF($C$29*$C$30&gt;='Tariff Jul 2019'!P29,('Tariff Jul 2019'!P29*'Tariff Jul 2019'!N29/100),(($C$29*$C$30)*'Tariff Jul 2019'!N29/100))</f>
        <v>365.81818181818176</v>
      </c>
      <c r="E43" s="141">
        <v>0</v>
      </c>
      <c r="F43" s="141">
        <v>0</v>
      </c>
      <c r="G43" s="141">
        <f>IF(($C$29*$C$30&lt;'Tariff Jul 2019'!T29),(0),($C$29*$C$30-'Tariff Jul 2019'!T29)*'Tariff Jul 2019'!U29/100)</f>
        <v>195.18181818181816</v>
      </c>
      <c r="H43" s="141">
        <f>($C$29*$C$31)*'Tariff Jul 2019'!AE29/100</f>
        <v>74.454545454545439</v>
      </c>
      <c r="I43" s="141">
        <v>0</v>
      </c>
      <c r="J43" s="141">
        <f t="shared" si="23"/>
        <v>710.57918181818172</v>
      </c>
      <c r="K43" s="256">
        <f t="shared" si="29"/>
        <v>2541.8181818181815</v>
      </c>
      <c r="L43" s="125">
        <f t="shared" si="24"/>
        <v>2842.3167272727269</v>
      </c>
      <c r="M43" s="125">
        <f t="shared" si="25"/>
        <v>3126.5483999999997</v>
      </c>
      <c r="N43" s="29">
        <f>'Tariff Jul 2019'!AW29</f>
        <v>12</v>
      </c>
      <c r="O43" s="29">
        <f>'Tariff Jul 2019'!AX29</f>
        <v>0</v>
      </c>
      <c r="P43" s="29">
        <f>'Tariff Jul 2019'!AY29</f>
        <v>0</v>
      </c>
      <c r="Q43" s="29">
        <f>'Tariff Jul 2019'!AZ29</f>
        <v>0</v>
      </c>
      <c r="R43" s="256">
        <f>M43-(M43*N43/100)</f>
        <v>2751.3625919999995</v>
      </c>
      <c r="S43" s="256">
        <f t="shared" si="30"/>
        <v>2751.3625919999995</v>
      </c>
      <c r="T43" s="262">
        <f>R43</f>
        <v>2751.3625919999995</v>
      </c>
      <c r="U43" s="262">
        <f>S43</f>
        <v>2751.3625919999995</v>
      </c>
      <c r="V43" s="126">
        <f>'Tariff Jul 2019'!BI29</f>
        <v>0</v>
      </c>
      <c r="W43" s="127" t="str">
        <f>'Tariff Jul 2019'!BJ29</f>
        <v>n</v>
      </c>
    </row>
    <row r="44" spans="1:23" x14ac:dyDescent="0.15">
      <c r="A44" s="111" t="str">
        <f>'Tariff Jul 2019'!K30</f>
        <v>Powerdirect</v>
      </c>
      <c r="B44" s="29" t="str">
        <f>'Tariff Jul 2019'!L30</f>
        <v>Discount Saver</v>
      </c>
      <c r="C44" s="141">
        <f>91*'Tariff Jul 2019'!M30/100</f>
        <v>73.709999999999994</v>
      </c>
      <c r="D44" s="141">
        <f>($C$29*$C$30)*'Tariff Jul 2019'!N30/100</f>
        <v>550.63636363636363</v>
      </c>
      <c r="E44" s="141">
        <v>0</v>
      </c>
      <c r="F44" s="141">
        <v>0</v>
      </c>
      <c r="G44" s="141">
        <v>0</v>
      </c>
      <c r="H44" s="141">
        <f>($C$29*$C$31)*'Tariff Jul 2019'!AE30/100</f>
        <v>75.409090909090907</v>
      </c>
      <c r="I44" s="141">
        <v>0</v>
      </c>
      <c r="J44" s="141">
        <f t="shared" si="23"/>
        <v>699.75545454545454</v>
      </c>
      <c r="K44" s="256">
        <f t="shared" si="29"/>
        <v>2504.181818181818</v>
      </c>
      <c r="L44" s="125">
        <f t="shared" si="24"/>
        <v>2799.0218181818182</v>
      </c>
      <c r="M44" s="125">
        <f t="shared" si="25"/>
        <v>3078.9240000000004</v>
      </c>
      <c r="N44" s="29">
        <f>'Tariff Jul 2019'!AW30</f>
        <v>12</v>
      </c>
      <c r="O44" s="29">
        <f>'Tariff Jul 2019'!AX30</f>
        <v>0</v>
      </c>
      <c r="P44" s="29">
        <f>'Tariff Jul 2019'!AY30</f>
        <v>0</v>
      </c>
      <c r="Q44" s="29">
        <f>'Tariff Jul 2019'!AZ30</f>
        <v>0</v>
      </c>
      <c r="R44" s="256">
        <f>L44-(L44*N44/100)</f>
        <v>2463.1392000000001</v>
      </c>
      <c r="S44" s="256">
        <f t="shared" si="30"/>
        <v>2463.1392000000001</v>
      </c>
      <c r="T44" s="262">
        <f t="shared" ref="T44" si="32">R44*1.1</f>
        <v>2709.4531200000001</v>
      </c>
      <c r="U44" s="262">
        <f t="shared" ref="U44" si="33">S44*1.1</f>
        <v>2709.4531200000001</v>
      </c>
      <c r="V44" s="126">
        <f>'Tariff Jul 2019'!BI30</f>
        <v>0</v>
      </c>
      <c r="W44" s="127" t="str">
        <f>'Tariff Jul 2019'!BJ30</f>
        <v>n</v>
      </c>
    </row>
    <row r="45" spans="1:23" x14ac:dyDescent="0.15">
      <c r="A45" s="111" t="str">
        <f>'Tariff Jul 2019'!K31</f>
        <v>Red Energy</v>
      </c>
      <c r="B45" s="29" t="str">
        <f>'Tariff Jul 2019'!L31</f>
        <v>No exit fee saver</v>
      </c>
      <c r="C45" s="141">
        <f>91*'Tariff Jul 2019'!M31/100</f>
        <v>90.999999999999986</v>
      </c>
      <c r="D45" s="141">
        <f>($C$29*$C$30)*'Tariff Jul 2019'!N31/100</f>
        <v>524.59090909090901</v>
      </c>
      <c r="E45" s="141">
        <v>0</v>
      </c>
      <c r="F45" s="141">
        <v>0</v>
      </c>
      <c r="G45" s="141">
        <v>0</v>
      </c>
      <c r="H45" s="141">
        <f>($C$29*$C$31)*'Tariff Jul 2019'!AE31/100</f>
        <v>76.124999999999986</v>
      </c>
      <c r="I45" s="141">
        <v>0</v>
      </c>
      <c r="J45" s="141">
        <f t="shared" si="23"/>
        <v>691.71590909090901</v>
      </c>
      <c r="K45" s="256">
        <f t="shared" si="29"/>
        <v>2402.863636363636</v>
      </c>
      <c r="L45" s="125">
        <f t="shared" si="24"/>
        <v>2766.863636363636</v>
      </c>
      <c r="M45" s="125">
        <f t="shared" si="25"/>
        <v>3043.5499999999997</v>
      </c>
      <c r="N45" s="29">
        <f>'Tariff Jul 2019'!AW31</f>
        <v>0</v>
      </c>
      <c r="O45" s="29">
        <f>'Tariff Jul 2019'!AX31</f>
        <v>0</v>
      </c>
      <c r="P45" s="29">
        <f>'Tariff Jul 2019'!AY31</f>
        <v>10</v>
      </c>
      <c r="Q45" s="29">
        <f>'Tariff Jul 2019'!AZ31</f>
        <v>0</v>
      </c>
      <c r="R45" s="256">
        <f>M45</f>
        <v>3043.5499999999997</v>
      </c>
      <c r="S45" s="256">
        <f>M45-(M45*P45/100)</f>
        <v>2739.1949999999997</v>
      </c>
      <c r="T45" s="262">
        <f>R45</f>
        <v>3043.5499999999997</v>
      </c>
      <c r="U45" s="262">
        <f>S45</f>
        <v>2739.1949999999997</v>
      </c>
      <c r="V45" s="126">
        <f>'Tariff Jul 2019'!BI31</f>
        <v>0</v>
      </c>
      <c r="W45" s="127" t="str">
        <f>'Tariff Jul 2019'!BJ31</f>
        <v>n</v>
      </c>
    </row>
    <row r="46" spans="1:23" x14ac:dyDescent="0.15">
      <c r="A46" s="111" t="str">
        <f>'Tariff Jul 2019'!K32</f>
        <v>Energy Locals</v>
      </c>
      <c r="B46" s="29" t="str">
        <f>'Tariff Jul 2019'!L32</f>
        <v>Simple Saver</v>
      </c>
      <c r="C46" s="141">
        <f>91*'Tariff Jul 2019'!M32/100</f>
        <v>78.259999999999991</v>
      </c>
      <c r="D46" s="141">
        <f>IF($C$29*$C$30&gt;='Tariff Jul 2019'!P32,('Tariff Jul 2019'!P32*'Tariff Jul 2019'!N32/100),(($C$29*$C$30)*'Tariff Jul 2019'!N32/100))</f>
        <v>299.90909090909093</v>
      </c>
      <c r="E46" s="141">
        <v>0</v>
      </c>
      <c r="F46" s="141">
        <v>0</v>
      </c>
      <c r="G46" s="141">
        <f>IF(($C$29*$C$30&lt;'Tariff Jul 2019'!T32),(0),($C$29*$C$30-'Tariff Jul 2019'!T32)*'Tariff Jul 2019'!U32/100)</f>
        <v>154.95454545454547</v>
      </c>
      <c r="H46" s="141">
        <f>($C$29*$C$31)*'Tariff Jul 2019'!AE32/100</f>
        <v>89.965909090909079</v>
      </c>
      <c r="I46" s="141">
        <f>IF(($C$29*$C$31&lt;'Tariff Jul 2019'!AF32),(0),($C$29*$C$31-'Tariff Jul 2019'!AF32)*'Tariff Jul 2019'!AG32/100)</f>
        <v>0</v>
      </c>
      <c r="J46" s="141">
        <f t="shared" si="23"/>
        <v>623.08954545454549</v>
      </c>
      <c r="K46" s="256">
        <f t="shared" si="29"/>
        <v>2179.318181818182</v>
      </c>
      <c r="L46" s="125">
        <f t="shared" si="24"/>
        <v>2492.3581818181819</v>
      </c>
      <c r="M46" s="125">
        <f t="shared" si="25"/>
        <v>2741.5940000000005</v>
      </c>
      <c r="N46" s="29">
        <f>'Tariff Jul 2019'!AW32</f>
        <v>0</v>
      </c>
      <c r="O46" s="29">
        <f>'Tariff Jul 2019'!AX32</f>
        <v>0</v>
      </c>
      <c r="P46" s="29">
        <f>'Tariff Jul 2019'!AY32</f>
        <v>0</v>
      </c>
      <c r="Q46" s="29">
        <f>'Tariff Jul 2019'!AZ32</f>
        <v>0</v>
      </c>
      <c r="R46" s="256">
        <f t="shared" ref="R46:R48" si="34">L46</f>
        <v>2492.3581818181819</v>
      </c>
      <c r="S46" s="256">
        <f>R46</f>
        <v>2492.3581818181819</v>
      </c>
      <c r="T46" s="262">
        <f t="shared" ref="T46:T48" si="35">R46*1.1</f>
        <v>2741.5940000000005</v>
      </c>
      <c r="U46" s="262">
        <f t="shared" ref="U46:U48" si="36">S46*1.1</f>
        <v>2741.5940000000005</v>
      </c>
      <c r="V46" s="126">
        <f>'Tariff Jul 2019'!BI32</f>
        <v>0</v>
      </c>
      <c r="W46" s="127" t="str">
        <f>'Tariff Jul 2019'!BJ32</f>
        <v>n</v>
      </c>
    </row>
    <row r="47" spans="1:23" x14ac:dyDescent="0.15">
      <c r="A47" s="111" t="str">
        <f>'Tariff Jul 2019'!K33</f>
        <v>Simply Energy</v>
      </c>
      <c r="B47" s="29" t="str">
        <f>'Tariff Jul 2019'!L33</f>
        <v>Plus</v>
      </c>
      <c r="C47" s="141">
        <f>91*'Tariff Jul 2019'!M33/100</f>
        <v>79.327181818181813</v>
      </c>
      <c r="D47" s="141">
        <f>($C$29*$C$30)*'Tariff Jul 2019'!N33/100</f>
        <v>542.4545454545455</v>
      </c>
      <c r="E47" s="141">
        <v>0</v>
      </c>
      <c r="F47" s="141">
        <v>0</v>
      </c>
      <c r="G47" s="141">
        <v>0</v>
      </c>
      <c r="H47" s="141">
        <f>($C$29*$C$31)*'Tariff Jul 2019'!AE33/100</f>
        <v>75.647727272727266</v>
      </c>
      <c r="I47" s="141">
        <v>0</v>
      </c>
      <c r="J47" s="141">
        <f t="shared" si="23"/>
        <v>697.42945454545452</v>
      </c>
      <c r="K47" s="256">
        <f t="shared" si="29"/>
        <v>2472.409090909091</v>
      </c>
      <c r="L47" s="125">
        <f t="shared" si="24"/>
        <v>2789.7178181818181</v>
      </c>
      <c r="M47" s="125">
        <f t="shared" si="25"/>
        <v>3068.6896000000002</v>
      </c>
      <c r="N47" s="29">
        <f>'Tariff Jul 2019'!AW33</f>
        <v>0</v>
      </c>
      <c r="O47" s="29">
        <f>'Tariff Jul 2019'!AX33</f>
        <v>0</v>
      </c>
      <c r="P47" s="29">
        <f>'Tariff Jul 2019'!AY33</f>
        <v>0</v>
      </c>
      <c r="Q47" s="29">
        <f>'Tariff Jul 2019'!AZ33</f>
        <v>0</v>
      </c>
      <c r="R47" s="256">
        <f t="shared" si="34"/>
        <v>2789.7178181818181</v>
      </c>
      <c r="S47" s="256">
        <f>R47</f>
        <v>2789.7178181818181</v>
      </c>
      <c r="T47" s="262">
        <f t="shared" si="35"/>
        <v>3068.6896000000002</v>
      </c>
      <c r="U47" s="262">
        <f t="shared" si="36"/>
        <v>3068.6896000000002</v>
      </c>
      <c r="V47" s="126">
        <f>'Tariff Jul 2019'!BI33</f>
        <v>0</v>
      </c>
      <c r="W47" s="127" t="str">
        <f>'Tariff Jul 2019'!BJ33</f>
        <v>n</v>
      </c>
    </row>
    <row r="48" spans="1:23" x14ac:dyDescent="0.15">
      <c r="A48" s="111" t="str">
        <f>'Tariff Jul 2019'!K34</f>
        <v>Amaysim</v>
      </c>
      <c r="B48" s="29" t="str">
        <f>'Tariff Jul 2019'!L34</f>
        <v>Electricity as you go</v>
      </c>
      <c r="C48" s="141">
        <f>91*'Tariff Jul 2019'!M34/100</f>
        <v>63.7</v>
      </c>
      <c r="D48" s="141">
        <f>IF($C$29*$C$30&gt;='Tariff Jul 2019'!P34,('Tariff Jul 2019'!P34*'Tariff Jul 2019'!N34/100),(($C$29*$C$30)*'Tariff Jul 2019'!N34/100))</f>
        <v>370</v>
      </c>
      <c r="E48" s="141">
        <v>0</v>
      </c>
      <c r="F48" s="141">
        <v>0</v>
      </c>
      <c r="G48" s="141">
        <f>IF(($C$29*$C$30&lt;'Tariff Jul 2019'!T34),(0),($C$29*$C$30-'Tariff Jul 2019'!T34)*'Tariff Jul 2019'!U34/100)</f>
        <v>195</v>
      </c>
      <c r="H48" s="141">
        <f>($C$29*$C$31)*'Tariff Jul 2019'!AE34/100</f>
        <v>112.49999999999999</v>
      </c>
      <c r="I48" s="141">
        <v>0</v>
      </c>
      <c r="J48" s="141">
        <f t="shared" ref="J48:J49" si="37">SUM(C48:I48)</f>
        <v>741.2</v>
      </c>
      <c r="K48" s="256">
        <f t="shared" si="29"/>
        <v>2710</v>
      </c>
      <c r="L48" s="125">
        <f t="shared" si="24"/>
        <v>2964.8</v>
      </c>
      <c r="M48" s="125">
        <f t="shared" si="25"/>
        <v>3261.2800000000007</v>
      </c>
      <c r="N48" s="29">
        <f>'Tariff Jul 2019'!AW34</f>
        <v>0</v>
      </c>
      <c r="O48" s="29">
        <f>'Tariff Jul 2019'!AX34</f>
        <v>0</v>
      </c>
      <c r="P48" s="29">
        <f>'Tariff Jul 2019'!AY34</f>
        <v>0</v>
      </c>
      <c r="Q48" s="29">
        <f>'Tariff Jul 2019'!AZ34</f>
        <v>0</v>
      </c>
      <c r="R48" s="256">
        <f t="shared" si="34"/>
        <v>2964.8</v>
      </c>
      <c r="S48" s="256">
        <f>R48</f>
        <v>2964.8</v>
      </c>
      <c r="T48" s="262">
        <f t="shared" si="35"/>
        <v>3261.2800000000007</v>
      </c>
      <c r="U48" s="262">
        <f t="shared" si="36"/>
        <v>3261.2800000000007</v>
      </c>
      <c r="V48" s="126">
        <f>'Tariff Jul 2019'!BI34</f>
        <v>0</v>
      </c>
      <c r="W48" s="127" t="str">
        <f>'Tariff Jul 2019'!BJ34</f>
        <v>n</v>
      </c>
    </row>
    <row r="49" spans="1:23" ht="14" thickBot="1" x14ac:dyDescent="0.2">
      <c r="A49" s="128" t="str">
        <f>'Tariff Jul 2019'!K35</f>
        <v>Powershop</v>
      </c>
      <c r="B49" s="129" t="str">
        <f>'Tariff Jul 2019'!L35</f>
        <v>Shopper with Mega Pack</v>
      </c>
      <c r="C49" s="142">
        <f>91*'Tariff Jul 2019'!M35/100</f>
        <v>98.543900000000008</v>
      </c>
      <c r="D49" s="142">
        <f>($C$29*$C$30)*'Tariff Jul 2019'!N35/100</f>
        <v>512.72727272727275</v>
      </c>
      <c r="E49" s="142">
        <v>0</v>
      </c>
      <c r="F49" s="142">
        <v>0</v>
      </c>
      <c r="G49" s="142">
        <v>0</v>
      </c>
      <c r="H49" s="142">
        <f>($C$29*$C$31)*'Tariff Jul 2019'!AE35/100</f>
        <v>76.704545454545453</v>
      </c>
      <c r="I49" s="142">
        <v>0</v>
      </c>
      <c r="J49" s="142">
        <f t="shared" si="37"/>
        <v>687.97571818181825</v>
      </c>
      <c r="K49" s="257">
        <f t="shared" si="29"/>
        <v>2357.727272727273</v>
      </c>
      <c r="L49" s="134">
        <f t="shared" si="24"/>
        <v>2751.902872727273</v>
      </c>
      <c r="M49" s="134">
        <f t="shared" si="25"/>
        <v>3027.0931600000004</v>
      </c>
      <c r="N49" s="129">
        <f>'Tariff Jul 2019'!AW35</f>
        <v>0</v>
      </c>
      <c r="O49" s="129">
        <f>'Tariff Jul 2019'!AX35</f>
        <v>0</v>
      </c>
      <c r="P49" s="129">
        <f>'Tariff Jul 2019'!AY35</f>
        <v>15</v>
      </c>
      <c r="Q49" s="129">
        <f>'Tariff Jul 2019'!AZ35</f>
        <v>0</v>
      </c>
      <c r="R49" s="257">
        <f>L49</f>
        <v>2751.902872727273</v>
      </c>
      <c r="S49" s="257">
        <f>M49-(M49*P49/100)</f>
        <v>2573.0291860000002</v>
      </c>
      <c r="T49" s="263">
        <f>R49</f>
        <v>2751.902872727273</v>
      </c>
      <c r="U49" s="263">
        <f>S49</f>
        <v>2573.0291860000002</v>
      </c>
      <c r="V49" s="135">
        <f>'Tariff Jul 2019'!BI35</f>
        <v>0</v>
      </c>
      <c r="W49" s="136" t="str">
        <f>'Tariff Jul 2019'!BJ35</f>
        <v>n</v>
      </c>
    </row>
  </sheetData>
  <sheetProtection algorithmName="SHA-512" hashValue="j/C3EDP0HY8tIEPR6oc3cEVqKP89v3ai3HCW+CJY9aOO/tRz+5o4yXwbB0CC67BQKbQgGnOINlA5YpefjNuIOA==" saltValue="i4A+UiCELzp3+xhmvEh6V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C0E16-C1C4-C348-BC28-0126F113E2F9}">
  <sheetPr codeName="Sheet4"/>
  <dimension ref="A1:W47"/>
  <sheetViews>
    <sheetView workbookViewId="0">
      <selection activeCell="J20" sqref="J20"/>
    </sheetView>
  </sheetViews>
  <sheetFormatPr baseColWidth="10" defaultRowHeight="13" x14ac:dyDescent="0.15"/>
  <cols>
    <col min="1" max="2" width="20.33203125" style="153" customWidth="1"/>
    <col min="3" max="10" width="11.83203125" style="153" customWidth="1"/>
    <col min="11" max="12" width="11.83203125" style="153" hidden="1" customWidth="1"/>
    <col min="13" max="17" width="11.83203125" style="153" customWidth="1"/>
    <col min="18" max="19" width="11.83203125" style="153" hidden="1" customWidth="1"/>
    <col min="20" max="23" width="11.83203125" style="153" customWidth="1"/>
    <col min="24" max="16384" width="10.83203125" style="153"/>
  </cols>
  <sheetData>
    <row r="1" spans="1:23" ht="14" x14ac:dyDescent="0.15">
      <c r="A1" s="152" t="s">
        <v>161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14" x14ac:dyDescent="0.15">
      <c r="A2" s="154" t="s">
        <v>162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3" ht="15" thickBot="1" x14ac:dyDescent="0.2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3" ht="14" x14ac:dyDescent="0.15">
      <c r="A4" s="116" t="s">
        <v>163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8"/>
    </row>
    <row r="5" spans="1:23" ht="14" x14ac:dyDescent="0.15">
      <c r="A5" s="119" t="s">
        <v>240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120"/>
    </row>
    <row r="6" spans="1:23" ht="14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120"/>
    </row>
    <row r="7" spans="1:23" ht="75" x14ac:dyDescent="0.15">
      <c r="A7" s="239" t="s">
        <v>278</v>
      </c>
      <c r="B7" s="240" t="s">
        <v>73</v>
      </c>
      <c r="C7" s="248" t="s">
        <v>74</v>
      </c>
      <c r="D7" s="248" t="s">
        <v>75</v>
      </c>
      <c r="E7" s="241" t="s">
        <v>164</v>
      </c>
      <c r="F7" s="241" t="s">
        <v>165</v>
      </c>
      <c r="G7" s="241" t="s">
        <v>11</v>
      </c>
      <c r="H7" s="241" t="s">
        <v>238</v>
      </c>
      <c r="I7" s="241" t="s">
        <v>239</v>
      </c>
      <c r="J7" s="241" t="s">
        <v>958</v>
      </c>
      <c r="K7" s="249" t="s">
        <v>52</v>
      </c>
      <c r="L7" s="249" t="s">
        <v>172</v>
      </c>
      <c r="M7" s="242" t="s">
        <v>0</v>
      </c>
      <c r="N7" s="243" t="s">
        <v>174</v>
      </c>
      <c r="O7" s="243" t="s">
        <v>175</v>
      </c>
      <c r="P7" s="243" t="s">
        <v>76</v>
      </c>
      <c r="Q7" s="243" t="s">
        <v>77</v>
      </c>
      <c r="R7" s="250" t="s">
        <v>295</v>
      </c>
      <c r="S7" s="250" t="s">
        <v>304</v>
      </c>
      <c r="T7" s="244" t="s">
        <v>98</v>
      </c>
      <c r="U7" s="244" t="s">
        <v>94</v>
      </c>
      <c r="V7" s="243" t="s">
        <v>359</v>
      </c>
      <c r="W7" s="247" t="s">
        <v>360</v>
      </c>
    </row>
    <row r="8" spans="1:23" x14ac:dyDescent="0.15">
      <c r="A8" s="111" t="str">
        <f>'Tariff Jul 2018'!K2</f>
        <v>AGL</v>
      </c>
      <c r="B8" s="29" t="str">
        <f>'Tariff Jul 2018'!L2</f>
        <v xml:space="preserve">Savers </v>
      </c>
      <c r="C8" s="121">
        <f>91*'Tariff Jul 2018'!M2/100</f>
        <v>75.53</v>
      </c>
      <c r="D8" s="121">
        <f>$C$5*'Tariff Jul 2018'!N2/100</f>
        <v>566.99999999999989</v>
      </c>
      <c r="E8" s="121">
        <v>0</v>
      </c>
      <c r="F8" s="122">
        <v>0</v>
      </c>
      <c r="G8" s="121">
        <v>0</v>
      </c>
      <c r="H8" s="121">
        <v>0</v>
      </c>
      <c r="I8" s="121">
        <v>0</v>
      </c>
      <c r="J8" s="121">
        <f>SUM(C8:I8)</f>
        <v>642.52999999999986</v>
      </c>
      <c r="K8" s="256">
        <f>(J8-C8)*4</f>
        <v>2267.9999999999995</v>
      </c>
      <c r="L8" s="125">
        <f>J8*4</f>
        <v>2570.1199999999994</v>
      </c>
      <c r="M8" s="125">
        <f>L8*1.1</f>
        <v>2827.1319999999996</v>
      </c>
      <c r="N8" s="29">
        <f>'Tariff Jul 2018'!AW2</f>
        <v>0</v>
      </c>
      <c r="O8" s="29">
        <f>'Tariff Jul 2018'!AX2</f>
        <v>0</v>
      </c>
      <c r="P8" s="29">
        <f>'Tariff Jul 2018'!AY2</f>
        <v>0</v>
      </c>
      <c r="Q8" s="29">
        <f>'Tariff Jul 2018'!AZ2</f>
        <v>11</v>
      </c>
      <c r="R8" s="256">
        <f>L8</f>
        <v>2570.1199999999994</v>
      </c>
      <c r="S8" s="256">
        <f>R8-(K8*Q8/100)</f>
        <v>2320.6399999999994</v>
      </c>
      <c r="T8" s="262">
        <f>R8*1.1</f>
        <v>2827.1319999999996</v>
      </c>
      <c r="U8" s="262">
        <f>S8*1.1</f>
        <v>2552.7039999999997</v>
      </c>
      <c r="V8" s="126">
        <f>'Tariff Jul 2018'!BI2</f>
        <v>0</v>
      </c>
      <c r="W8" s="127" t="str">
        <f>'Tariff Jul 2018'!BJ2</f>
        <v>n</v>
      </c>
    </row>
    <row r="9" spans="1:23" x14ac:dyDescent="0.15">
      <c r="A9" s="111" t="str">
        <f>'Tariff Jul 2018'!K3</f>
        <v>Alinta Energy</v>
      </c>
      <c r="B9" s="29" t="str">
        <f>'Tariff Jul 2018'!L3</f>
        <v>Fair Deal</v>
      </c>
      <c r="C9" s="121">
        <f>91*'Tariff Jul 2018'!M3/100</f>
        <v>75.53</v>
      </c>
      <c r="D9" s="121">
        <f>IF($C$5&gt;='Tariff Jul 2018'!P3,('Tariff Jul 2018'!P3*'Tariff Jul 2018'!N3/100),($C$5*'Tariff Jul 2018'!N3/100))</f>
        <v>117</v>
      </c>
      <c r="E9" s="121">
        <f>IF($C$5&lt;'Tariff Jul 2018'!P3,0,IF(($C$5-'Tariff Jul 2018'!P3)&lt;='Tariff Jul 2018'!R3,(($C$5-'Tariff Jul 2018'!P3)*'Tariff Jul 2018'!Q3/100),(('Tariff Jul 2018'!R3-'Tariff Jul 2018'!P3)*'Tariff Jul 2018'!Q3/100)))</f>
        <v>304.15000000000003</v>
      </c>
      <c r="F9" s="122">
        <f>IF($C$5&lt;'Tariff Jul 2018'!R3,0,IF(($C$5-'Tariff Jul 2018'!R3)&lt;='Tariff Jul 2018'!T3,(($C$5-'Tariff Jul 2018'!R3)*'Tariff Jul 2018'!S3/100),(('Tariff Jul 2018'!T3-'Tariff Jul 2018'!R3)*'Tariff Jul 2018'!S3/100)))</f>
        <v>217.25</v>
      </c>
      <c r="G9" s="121">
        <v>0</v>
      </c>
      <c r="H9" s="121">
        <v>0</v>
      </c>
      <c r="I9" s="121">
        <f>IF(($C$5&lt;'Tariff Jul 2018'!T3),(0),($C$5-'Tariff Jul 2018'!T3)*'Tariff Jul 2018'!U3/100)</f>
        <v>0</v>
      </c>
      <c r="J9" s="121">
        <f t="shared" ref="J9:J21" si="0">SUM(C9:I9)</f>
        <v>713.93000000000006</v>
      </c>
      <c r="K9" s="256">
        <f>(J9-C9)*4</f>
        <v>2553.6000000000004</v>
      </c>
      <c r="L9" s="125">
        <f t="shared" ref="L9:L21" si="1">J9*4</f>
        <v>2855.7200000000003</v>
      </c>
      <c r="M9" s="125">
        <f t="shared" ref="M9:M21" si="2">L9*1.1</f>
        <v>3141.2920000000004</v>
      </c>
      <c r="N9" s="29">
        <f>'Tariff Jul 2018'!AW3</f>
        <v>0</v>
      </c>
      <c r="O9" s="29">
        <f>'Tariff Jul 2018'!AX3</f>
        <v>0</v>
      </c>
      <c r="P9" s="29">
        <f>'Tariff Jul 2018'!AY3</f>
        <v>0</v>
      </c>
      <c r="Q9" s="29">
        <f>'Tariff Jul 2018'!AZ3</f>
        <v>25</v>
      </c>
      <c r="R9" s="256">
        <f t="shared" ref="R9:R21" si="3">L9</f>
        <v>2855.7200000000003</v>
      </c>
      <c r="S9" s="256">
        <f>R9-(K9*Q9/100)</f>
        <v>2217.3200000000002</v>
      </c>
      <c r="T9" s="262">
        <f t="shared" ref="T9:U21" si="4">R9*1.1</f>
        <v>3141.2920000000004</v>
      </c>
      <c r="U9" s="262">
        <f t="shared" si="4"/>
        <v>2439.0520000000006</v>
      </c>
      <c r="V9" s="126">
        <f>'Tariff Jul 2018'!BI3</f>
        <v>0</v>
      </c>
      <c r="W9" s="127" t="str">
        <f>'Tariff Jul 2018'!BJ3</f>
        <v>n</v>
      </c>
    </row>
    <row r="10" spans="1:23" x14ac:dyDescent="0.15">
      <c r="A10" s="111" t="str">
        <f>'Tariff Jul 2018'!K4</f>
        <v>Click Energy</v>
      </c>
      <c r="B10" s="29" t="str">
        <f>'Tariff Jul 2018'!L4</f>
        <v>Agate</v>
      </c>
      <c r="C10" s="121">
        <f>91*'Tariff Jul 2018'!M4/100</f>
        <v>82.445999999999998</v>
      </c>
      <c r="D10" s="121">
        <f>IF($C$5&gt;='Tariff Jul 2018'!P4,('Tariff Jul 2018'!P4*'Tariff Jul 2018'!N4/100),($C$5*'Tariff Jul 2018'!N4/100))</f>
        <v>478</v>
      </c>
      <c r="E10" s="121">
        <v>0</v>
      </c>
      <c r="F10" s="122">
        <v>0</v>
      </c>
      <c r="G10" s="121">
        <v>0</v>
      </c>
      <c r="H10" s="121">
        <v>0</v>
      </c>
      <c r="I10" s="121">
        <f>IF(($C$5&lt;'Tariff Jul 2018'!T4),(0),($C$5-'Tariff Jul 2018'!T4)*'Tariff Jul 2018'!U4/100)</f>
        <v>250</v>
      </c>
      <c r="J10" s="121">
        <f t="shared" si="0"/>
        <v>810.44600000000003</v>
      </c>
      <c r="K10" s="256">
        <f t="shared" ref="K10:K20" si="5">(J10-C10)*4</f>
        <v>2912</v>
      </c>
      <c r="L10" s="125">
        <f t="shared" si="1"/>
        <v>3241.7840000000001</v>
      </c>
      <c r="M10" s="125">
        <f t="shared" si="2"/>
        <v>3565.9624000000003</v>
      </c>
      <c r="N10" s="29">
        <f>'Tariff Jul 2018'!AW4</f>
        <v>0</v>
      </c>
      <c r="O10" s="29">
        <f>'Tariff Jul 2018'!AX4</f>
        <v>0</v>
      </c>
      <c r="P10" s="29">
        <f>'Tariff Jul 2018'!AY4</f>
        <v>25</v>
      </c>
      <c r="Q10" s="29">
        <f>'Tariff Jul 2018'!AZ4</f>
        <v>0</v>
      </c>
      <c r="R10" s="256">
        <f t="shared" si="3"/>
        <v>3241.7840000000001</v>
      </c>
      <c r="S10" s="256">
        <f>R10-(R10*P10/100)</f>
        <v>2431.3380000000002</v>
      </c>
      <c r="T10" s="262">
        <f t="shared" si="4"/>
        <v>3565.9624000000003</v>
      </c>
      <c r="U10" s="262">
        <f t="shared" si="4"/>
        <v>2674.4718000000003</v>
      </c>
      <c r="V10" s="126">
        <f>'Tariff Jul 2018'!BI4</f>
        <v>0</v>
      </c>
      <c r="W10" s="127" t="str">
        <f>'Tariff Jul 2018'!BJ4</f>
        <v>n</v>
      </c>
    </row>
    <row r="11" spans="1:23" x14ac:dyDescent="0.15">
      <c r="A11" s="111" t="str">
        <f>'Tariff Jul 2018'!K5</f>
        <v>Commander</v>
      </c>
      <c r="B11" s="29" t="str">
        <f>'Tariff Jul 2018'!L5</f>
        <v>Market offer</v>
      </c>
      <c r="C11" s="121">
        <f>91*'Tariff Jul 2018'!M5/100</f>
        <v>73.664500000000004</v>
      </c>
      <c r="D11" s="121">
        <f>IF($C$5&gt;='Tariff Jul 2018'!P5,('Tariff Jul 2018'!P5*'Tariff Jul 2018'!N5/100),($C$5*'Tariff Jul 2018'!N5/100))</f>
        <v>409</v>
      </c>
      <c r="E11" s="121">
        <v>0</v>
      </c>
      <c r="F11" s="122">
        <v>0</v>
      </c>
      <c r="G11" s="121">
        <v>0</v>
      </c>
      <c r="H11" s="121">
        <v>0</v>
      </c>
      <c r="I11" s="121">
        <f>IF(($C$5&lt;'Tariff Jul 2018'!T5),(0),($C$5-'Tariff Jul 2018'!T5)*'Tariff Jul 2018'!U5/100)</f>
        <v>222</v>
      </c>
      <c r="J11" s="121">
        <f t="shared" si="0"/>
        <v>704.66449999999998</v>
      </c>
      <c r="K11" s="256">
        <f t="shared" si="5"/>
        <v>2524</v>
      </c>
      <c r="L11" s="125">
        <f t="shared" si="1"/>
        <v>2818.6579999999999</v>
      </c>
      <c r="M11" s="125">
        <f t="shared" si="2"/>
        <v>3100.5237999999999</v>
      </c>
      <c r="N11" s="29">
        <f>'Tariff Jul 2018'!AW5</f>
        <v>0</v>
      </c>
      <c r="O11" s="29">
        <f>'Tariff Jul 2018'!AX5</f>
        <v>0</v>
      </c>
      <c r="P11" s="29">
        <f>'Tariff Jul 2018'!AY5</f>
        <v>0</v>
      </c>
      <c r="Q11" s="29">
        <f>'Tariff Jul 2018'!AZ5</f>
        <v>20</v>
      </c>
      <c r="R11" s="256">
        <f t="shared" si="3"/>
        <v>2818.6579999999999</v>
      </c>
      <c r="S11" s="256">
        <f>R11-(K11*Q11/100)</f>
        <v>2313.8579999999997</v>
      </c>
      <c r="T11" s="262">
        <f t="shared" si="4"/>
        <v>3100.5237999999999</v>
      </c>
      <c r="U11" s="262">
        <f t="shared" si="4"/>
        <v>2545.2437999999997</v>
      </c>
      <c r="V11" s="126">
        <f>'Tariff Jul 2018'!BI5</f>
        <v>0</v>
      </c>
      <c r="W11" s="127" t="str">
        <f>'Tariff Jul 2018'!BJ5</f>
        <v>n</v>
      </c>
    </row>
    <row r="12" spans="1:23" x14ac:dyDescent="0.15">
      <c r="A12" s="111" t="str">
        <f>'Tariff Jul 2018'!K6</f>
        <v>Diamond Energy</v>
      </c>
      <c r="B12" s="29" t="str">
        <f>'Tariff Jul 2018'!L6</f>
        <v>Pay on time discount</v>
      </c>
      <c r="C12" s="121">
        <f>91*'Tariff Jul 2018'!M6/100</f>
        <v>79.124499999999998</v>
      </c>
      <c r="D12" s="121">
        <f>IF($C$5&gt;='Tariff Jul 2018'!P6,('Tariff Jul 2018'!P6*'Tariff Jul 2018'!N6/100),($C$5*'Tariff Jul 2018'!N6/100))</f>
        <v>99.78</v>
      </c>
      <c r="E12" s="121">
        <f>IF($C$5&lt;'Tariff Jul 2018'!P6,0,IF(($C$5-'Tariff Jul 2018'!P6)&lt;='Tariff Jul 2018'!R6,(($C$5-'Tariff Jul 2018'!P6)*'Tariff Jul 2018'!Q6/100),(('Tariff Jul 2018'!R6-'Tariff Jul 2018'!P6)*'Tariff Jul 2018'!Q6/100)))</f>
        <v>251.23</v>
      </c>
      <c r="F12" s="122">
        <f>IF($C$5&lt;'Tariff Jul 2018'!R6,0,IF(($C$5-'Tariff Jul 2018'!R6)&lt;='Tariff Jul 2018'!T6,(($C$5-'Tariff Jul 2018'!R6)*'Tariff Jul 2018'!S6/100),(('Tariff Jul 2018'!T6-'Tariff Jul 2018'!R6)*'Tariff Jul 2018'!S6/100)))</f>
        <v>194.75</v>
      </c>
      <c r="G12" s="121">
        <v>0</v>
      </c>
      <c r="H12" s="121">
        <v>0</v>
      </c>
      <c r="I12" s="121">
        <f>IF(($C$5&lt;'Tariff Jul 2018'!T6),(0),($C$5-'Tariff Jul 2018'!T6)*'Tariff Jul 2018'!U6/100)</f>
        <v>0</v>
      </c>
      <c r="J12" s="121">
        <f t="shared" si="0"/>
        <v>624.8845</v>
      </c>
      <c r="K12" s="256">
        <f t="shared" si="5"/>
        <v>2183.04</v>
      </c>
      <c r="L12" s="125">
        <f t="shared" si="1"/>
        <v>2499.538</v>
      </c>
      <c r="M12" s="125">
        <f t="shared" si="2"/>
        <v>2749.4918000000002</v>
      </c>
      <c r="N12" s="29">
        <f>'Tariff Jul 2018'!AW6</f>
        <v>0</v>
      </c>
      <c r="O12" s="29">
        <f>'Tariff Jul 2018'!AX6</f>
        <v>0</v>
      </c>
      <c r="P12" s="29">
        <f>'Tariff Jul 2018'!AY6</f>
        <v>7</v>
      </c>
      <c r="Q12" s="29">
        <f>'Tariff Jul 2018'!AZ6</f>
        <v>0</v>
      </c>
      <c r="R12" s="256">
        <f t="shared" si="3"/>
        <v>2499.538</v>
      </c>
      <c r="S12" s="256">
        <f>R12-(R12*P12/100)</f>
        <v>2324.5703400000002</v>
      </c>
      <c r="T12" s="262">
        <f t="shared" si="4"/>
        <v>2749.4918000000002</v>
      </c>
      <c r="U12" s="262">
        <f t="shared" si="4"/>
        <v>2557.0273740000002</v>
      </c>
      <c r="V12" s="126">
        <f>'Tariff Jul 2018'!BI6</f>
        <v>0</v>
      </c>
      <c r="W12" s="127" t="str">
        <f>'Tariff Jul 2018'!BJ6</f>
        <v>n</v>
      </c>
    </row>
    <row r="13" spans="1:23" x14ac:dyDescent="0.15">
      <c r="A13" s="111" t="str">
        <f>'Tariff Jul 2018'!K7</f>
        <v>Dodo Power &amp; Gas</v>
      </c>
      <c r="B13" s="29" t="str">
        <f>'Tariff Jul 2018'!L7</f>
        <v>Market offer</v>
      </c>
      <c r="C13" s="121">
        <f>91*'Tariff Jul 2018'!M7/100</f>
        <v>73.664500000000004</v>
      </c>
      <c r="D13" s="121">
        <f>IF($C$5&gt;='Tariff Jul 2018'!P7,('Tariff Jul 2018'!P7*'Tariff Jul 2018'!N7/100),($C$5*'Tariff Jul 2018'!N7/100))</f>
        <v>426.5</v>
      </c>
      <c r="E13" s="121">
        <v>0</v>
      </c>
      <c r="F13" s="122">
        <v>0</v>
      </c>
      <c r="G13" s="121">
        <v>0</v>
      </c>
      <c r="H13" s="121">
        <v>0</v>
      </c>
      <c r="I13" s="121">
        <f>IF(($C$5&lt;'Tariff Jul 2018'!T7),(0),($C$5-'Tariff Jul 2018'!T7)*'Tariff Jul 2018'!U7/100)</f>
        <v>231.25</v>
      </c>
      <c r="J13" s="121">
        <f t="shared" si="0"/>
        <v>731.41449999999998</v>
      </c>
      <c r="K13" s="256">
        <f t="shared" si="5"/>
        <v>2631</v>
      </c>
      <c r="L13" s="125">
        <f t="shared" si="1"/>
        <v>2925.6579999999999</v>
      </c>
      <c r="M13" s="125">
        <f t="shared" si="2"/>
        <v>3218.2238000000002</v>
      </c>
      <c r="N13" s="29">
        <f>'Tariff Jul 2018'!AW7</f>
        <v>0</v>
      </c>
      <c r="O13" s="29">
        <f>'Tariff Jul 2018'!AX7</f>
        <v>0</v>
      </c>
      <c r="P13" s="29">
        <f>'Tariff Jul 2018'!AY7</f>
        <v>0</v>
      </c>
      <c r="Q13" s="29">
        <f>'Tariff Jul 2018'!AZ7</f>
        <v>0</v>
      </c>
      <c r="R13" s="256">
        <f t="shared" si="3"/>
        <v>2925.6579999999999</v>
      </c>
      <c r="S13" s="256">
        <f>R13-(K13*Q13/100)</f>
        <v>2925.6579999999999</v>
      </c>
      <c r="T13" s="262">
        <f t="shared" si="4"/>
        <v>3218.2238000000002</v>
      </c>
      <c r="U13" s="262">
        <f t="shared" si="4"/>
        <v>3218.2238000000002</v>
      </c>
      <c r="V13" s="126">
        <f>'Tariff Jul 2018'!BI7</f>
        <v>0</v>
      </c>
      <c r="W13" s="127" t="str">
        <f>'Tariff Jul 2018'!BJ7</f>
        <v>n</v>
      </c>
    </row>
    <row r="14" spans="1:23" x14ac:dyDescent="0.15">
      <c r="A14" s="111" t="str">
        <f>'Tariff Jul 2018'!K8</f>
        <v>EnergyAustralia</v>
      </c>
      <c r="B14" s="29" t="str">
        <f>'Tariff Jul 2018'!L8</f>
        <v>Anytime Saver</v>
      </c>
      <c r="C14" s="121">
        <f>91*'Tariff Jul 2018'!M8/100</f>
        <v>81.536000000000001</v>
      </c>
      <c r="D14" s="121">
        <f>IF($C$5&gt;='Tariff Jul 2018'!P8,('Tariff Jul 2018'!P8*'Tariff Jul 2018'!N8/100),($C$5*'Tariff Jul 2018'!N8/100))</f>
        <v>422.7</v>
      </c>
      <c r="E14" s="121">
        <v>0</v>
      </c>
      <c r="F14" s="122">
        <v>0</v>
      </c>
      <c r="G14" s="121">
        <v>0</v>
      </c>
      <c r="H14" s="121">
        <v>0</v>
      </c>
      <c r="I14" s="121">
        <f>IF(($C$5&lt;'Tariff Jul 2018'!T8),(0),($C$5-'Tariff Jul 2018'!T8)*'Tariff Jul 2018'!U8/100)</f>
        <v>227.15</v>
      </c>
      <c r="J14" s="121">
        <f t="shared" si="0"/>
        <v>731.38599999999997</v>
      </c>
      <c r="K14" s="256">
        <f t="shared" si="5"/>
        <v>2599.3999999999996</v>
      </c>
      <c r="L14" s="125">
        <f t="shared" si="1"/>
        <v>2925.5439999999999</v>
      </c>
      <c r="M14" s="125">
        <f t="shared" si="2"/>
        <v>3218.0984000000003</v>
      </c>
      <c r="N14" s="29">
        <f>'Tariff Jul 2018'!AW8</f>
        <v>0</v>
      </c>
      <c r="O14" s="29">
        <f>'Tariff Jul 2018'!AX8</f>
        <v>20</v>
      </c>
      <c r="P14" s="29">
        <f>'Tariff Jul 2018'!AY8</f>
        <v>0</v>
      </c>
      <c r="Q14" s="29">
        <f>'Tariff Jul 2018'!AZ8</f>
        <v>0</v>
      </c>
      <c r="R14" s="256">
        <f>L14-(K14*O14/100)</f>
        <v>2405.6639999999998</v>
      </c>
      <c r="S14" s="256">
        <f>R14-(K14*Q14/100)</f>
        <v>2405.6639999999998</v>
      </c>
      <c r="T14" s="262">
        <f t="shared" si="4"/>
        <v>2646.2303999999999</v>
      </c>
      <c r="U14" s="262">
        <f t="shared" si="4"/>
        <v>2646.2303999999999</v>
      </c>
      <c r="V14" s="126">
        <f>'Tariff Jul 2018'!BI8</f>
        <v>0</v>
      </c>
      <c r="W14" s="127" t="str">
        <f>'Tariff Jul 2018'!BJ8</f>
        <v>n</v>
      </c>
    </row>
    <row r="15" spans="1:23" x14ac:dyDescent="0.15">
      <c r="A15" s="111" t="str">
        <f>'Tariff Jul 2018'!K9</f>
        <v>Lumo Energy</v>
      </c>
      <c r="B15" s="29" t="str">
        <f>'Tariff Jul 2018'!L9</f>
        <v>Advantage</v>
      </c>
      <c r="C15" s="121">
        <f>91*'Tariff Jul 2018'!M9/100</f>
        <v>80.08</v>
      </c>
      <c r="D15" s="121">
        <f>IF($C$5&gt;='Tariff Jul 2018'!P9,('Tariff Jul 2018'!P9*'Tariff Jul 2018'!N9/100),($C$5*'Tariff Jul 2018'!N9/100))</f>
        <v>390</v>
      </c>
      <c r="E15" s="121">
        <v>0</v>
      </c>
      <c r="F15" s="122">
        <v>0</v>
      </c>
      <c r="G15" s="121">
        <v>0</v>
      </c>
      <c r="H15" s="121">
        <v>0</v>
      </c>
      <c r="I15" s="121">
        <f>IF(($C$5&lt;'Tariff Jul 2018'!T9),(0),($C$5-'Tariff Jul 2018'!T9)*'Tariff Jul 2018'!U9/100)</f>
        <v>197.5</v>
      </c>
      <c r="J15" s="121">
        <f t="shared" si="0"/>
        <v>667.57999999999993</v>
      </c>
      <c r="K15" s="256">
        <f t="shared" si="5"/>
        <v>2349.9999999999995</v>
      </c>
      <c r="L15" s="125">
        <f t="shared" si="1"/>
        <v>2670.3199999999997</v>
      </c>
      <c r="M15" s="125">
        <f t="shared" si="2"/>
        <v>2937.3519999999999</v>
      </c>
      <c r="N15" s="29">
        <f>'Tariff Jul 2018'!AW9</f>
        <v>0</v>
      </c>
      <c r="O15" s="29">
        <f>'Tariff Jul 2018'!AX9</f>
        <v>0</v>
      </c>
      <c r="P15" s="29">
        <f>'Tariff Jul 2018'!AY9</f>
        <v>15</v>
      </c>
      <c r="Q15" s="29">
        <f>'Tariff Jul 2018'!AZ9</f>
        <v>0</v>
      </c>
      <c r="R15" s="256">
        <f t="shared" si="3"/>
        <v>2670.3199999999997</v>
      </c>
      <c r="S15" s="256">
        <f>R15-(R15*P15/100)</f>
        <v>2269.7719999999999</v>
      </c>
      <c r="T15" s="262">
        <f t="shared" si="4"/>
        <v>2937.3519999999999</v>
      </c>
      <c r="U15" s="262">
        <f t="shared" si="4"/>
        <v>2496.7492000000002</v>
      </c>
      <c r="V15" s="126">
        <f>'Tariff Jul 2018'!BI9</f>
        <v>0</v>
      </c>
      <c r="W15" s="127" t="str">
        <f>'Tariff Jul 2018'!BJ9</f>
        <v>n</v>
      </c>
    </row>
    <row r="16" spans="1:23" x14ac:dyDescent="0.15">
      <c r="A16" s="111" t="str">
        <f>'Tariff Jul 2018'!K10</f>
        <v>Momentum Energy</v>
      </c>
      <c r="B16" s="29" t="str">
        <f>'Tariff Jul 2018'!L10</f>
        <v>SmilePower</v>
      </c>
      <c r="C16" s="121">
        <f>91*'Tariff Jul 2018'!M10/100</f>
        <v>88.242699999999999</v>
      </c>
      <c r="D16" s="121">
        <f>IF($C$5&gt;='Tariff Jul 2018'!P10,('Tariff Jul 2018'!P10*'Tariff Jul 2018'!N10/100),($C$5*'Tariff Jul 2018'!N10/100))</f>
        <v>219.42</v>
      </c>
      <c r="E16" s="121">
        <v>0</v>
      </c>
      <c r="F16" s="122">
        <v>0</v>
      </c>
      <c r="G16" s="121">
        <v>0</v>
      </c>
      <c r="H16" s="121">
        <v>0</v>
      </c>
      <c r="I16" s="121">
        <f>IF(($C$5&lt;'Tariff Jul 2018'!T10),(0),($C$5-'Tariff Jul 2018'!T10)*'Tariff Jul 2018'!U10/100)</f>
        <v>329.13</v>
      </c>
      <c r="J16" s="121">
        <f t="shared" si="0"/>
        <v>636.79269999999997</v>
      </c>
      <c r="K16" s="256">
        <f t="shared" si="5"/>
        <v>2194.1999999999998</v>
      </c>
      <c r="L16" s="125">
        <f t="shared" si="1"/>
        <v>2547.1707999999999</v>
      </c>
      <c r="M16" s="125">
        <f t="shared" si="2"/>
        <v>2801.8878800000002</v>
      </c>
      <c r="N16" s="29">
        <f>'Tariff Jul 2018'!AW10</f>
        <v>0</v>
      </c>
      <c r="O16" s="29">
        <f>'Tariff Jul 2018'!AX10</f>
        <v>0</v>
      </c>
      <c r="P16" s="29">
        <f>'Tariff Jul 2018'!AY10</f>
        <v>0</v>
      </c>
      <c r="Q16" s="29">
        <f>'Tariff Jul 2018'!AZ10</f>
        <v>0</v>
      </c>
      <c r="R16" s="256">
        <f t="shared" si="3"/>
        <v>2547.1707999999999</v>
      </c>
      <c r="S16" s="256">
        <f>R16</f>
        <v>2547.1707999999999</v>
      </c>
      <c r="T16" s="262">
        <f t="shared" si="4"/>
        <v>2801.8878800000002</v>
      </c>
      <c r="U16" s="262">
        <f t="shared" si="4"/>
        <v>2801.8878800000002</v>
      </c>
      <c r="V16" s="126">
        <f>'Tariff Jul 2018'!BI10</f>
        <v>0</v>
      </c>
      <c r="W16" s="127" t="str">
        <f>'Tariff Jul 2018'!BJ10</f>
        <v>n</v>
      </c>
    </row>
    <row r="17" spans="1:23" x14ac:dyDescent="0.15">
      <c r="A17" s="111" t="str">
        <f>'Tariff Jul 2018'!K11</f>
        <v>Origin Energy</v>
      </c>
      <c r="B17" s="29" t="str">
        <f>'Tariff Jul 2018'!L11</f>
        <v>Saver</v>
      </c>
      <c r="C17" s="121">
        <f>91*'Tariff Jul 2018'!M11/100</f>
        <v>74.729200000000006</v>
      </c>
      <c r="D17" s="121">
        <f>IF($C$5&gt;='Tariff Jul 2018'!P11,('Tariff Jul 2018'!P11*'Tariff Jul 2018'!N11/100),($C$5*'Tariff Jul 2018'!N11/100))</f>
        <v>363.8</v>
      </c>
      <c r="E17" s="121">
        <v>0</v>
      </c>
      <c r="F17" s="122">
        <v>0</v>
      </c>
      <c r="G17" s="121">
        <v>0</v>
      </c>
      <c r="H17" s="121">
        <v>0</v>
      </c>
      <c r="I17" s="121">
        <f>IF(($C$5&lt;'Tariff Jul 2018'!T11),(0),($C$5-'Tariff Jul 2018'!T11)*'Tariff Jul 2018'!U11/100)</f>
        <v>194.2</v>
      </c>
      <c r="J17" s="121">
        <f t="shared" si="0"/>
        <v>632.72919999999999</v>
      </c>
      <c r="K17" s="256">
        <f t="shared" si="5"/>
        <v>2232</v>
      </c>
      <c r="L17" s="125">
        <f t="shared" si="1"/>
        <v>2530.9168</v>
      </c>
      <c r="M17" s="125">
        <f t="shared" si="2"/>
        <v>2784.00848</v>
      </c>
      <c r="N17" s="29">
        <f>'Tariff Jul 2018'!AW11</f>
        <v>0</v>
      </c>
      <c r="O17" s="29">
        <f>'Tariff Jul 2018'!AX11</f>
        <v>0</v>
      </c>
      <c r="P17" s="29">
        <f>'Tariff Jul 2018'!AY11</f>
        <v>0</v>
      </c>
      <c r="Q17" s="29">
        <f>'Tariff Jul 2018'!AZ11</f>
        <v>10</v>
      </c>
      <c r="R17" s="256">
        <f t="shared" si="3"/>
        <v>2530.9168</v>
      </c>
      <c r="S17" s="256">
        <f>R17-(K17*Q17/100)</f>
        <v>2307.7168000000001</v>
      </c>
      <c r="T17" s="262">
        <f t="shared" si="4"/>
        <v>2784.00848</v>
      </c>
      <c r="U17" s="262">
        <f t="shared" si="4"/>
        <v>2538.4884800000004</v>
      </c>
      <c r="V17" s="126">
        <f>'Tariff Jul 2018'!BI11</f>
        <v>0</v>
      </c>
      <c r="W17" s="127" t="str">
        <f>'Tariff Jul 2018'!BJ11</f>
        <v>n</v>
      </c>
    </row>
    <row r="18" spans="1:23" x14ac:dyDescent="0.15">
      <c r="A18" s="111" t="str">
        <f>'Tariff Jul 2018'!K12</f>
        <v>Powerdirect</v>
      </c>
      <c r="B18" s="29" t="str">
        <f>'Tariff Jul 2018'!L12</f>
        <v>Market offer</v>
      </c>
      <c r="C18" s="121">
        <f>91*'Tariff Jul 2018'!M12/100</f>
        <v>75.53</v>
      </c>
      <c r="D18" s="121">
        <f>$C$5*'Tariff Jul 2018'!N12/100</f>
        <v>566.99999999999989</v>
      </c>
      <c r="E18" s="121">
        <v>0</v>
      </c>
      <c r="F18" s="122">
        <v>0</v>
      </c>
      <c r="G18" s="121">
        <v>0</v>
      </c>
      <c r="H18" s="121">
        <v>0</v>
      </c>
      <c r="I18" s="121">
        <v>0</v>
      </c>
      <c r="J18" s="121">
        <f t="shared" si="0"/>
        <v>642.52999999999986</v>
      </c>
      <c r="K18" s="256">
        <f t="shared" si="5"/>
        <v>2267.9999999999995</v>
      </c>
      <c r="L18" s="125">
        <f t="shared" si="1"/>
        <v>2570.1199999999994</v>
      </c>
      <c r="M18" s="125">
        <f t="shared" si="2"/>
        <v>2827.1319999999996</v>
      </c>
      <c r="N18" s="29">
        <f>'Tariff Jul 2018'!AW12</f>
        <v>0</v>
      </c>
      <c r="O18" s="29">
        <f>'Tariff Jul 2018'!AX12</f>
        <v>0</v>
      </c>
      <c r="P18" s="29">
        <f>'Tariff Jul 2018'!AY12</f>
        <v>0</v>
      </c>
      <c r="Q18" s="29">
        <f>'Tariff Jul 2018'!AZ12</f>
        <v>17</v>
      </c>
      <c r="R18" s="256">
        <f t="shared" si="3"/>
        <v>2570.1199999999994</v>
      </c>
      <c r="S18" s="256">
        <f>R18-(K18*Q18/100)</f>
        <v>2184.5599999999995</v>
      </c>
      <c r="T18" s="262">
        <f t="shared" si="4"/>
        <v>2827.1319999999996</v>
      </c>
      <c r="U18" s="262">
        <f t="shared" si="4"/>
        <v>2403.0159999999996</v>
      </c>
      <c r="V18" s="126">
        <f>'Tariff Jul 2018'!BI12</f>
        <v>0</v>
      </c>
      <c r="W18" s="127" t="str">
        <f>'Tariff Jul 2018'!BJ12</f>
        <v>n</v>
      </c>
    </row>
    <row r="19" spans="1:23" x14ac:dyDescent="0.15">
      <c r="A19" s="111" t="str">
        <f>'Tariff Jul 2018'!K13</f>
        <v>Red Energy</v>
      </c>
      <c r="B19" s="29" t="str">
        <f>'Tariff Jul 2018'!L13</f>
        <v>No exit fee saver</v>
      </c>
      <c r="C19" s="121">
        <f>91*'Tariff Jul 2018'!M13/100</f>
        <v>77.304500000000004</v>
      </c>
      <c r="D19" s="121">
        <f>IF($C$5&gt;='Tariff Jul 2018'!P13,('Tariff Jul 2018'!P13*'Tariff Jul 2018'!N13/100),($C$5*'Tariff Jul 2018'!N13/100))</f>
        <v>376.5</v>
      </c>
      <c r="E19" s="121">
        <v>0</v>
      </c>
      <c r="F19" s="122">
        <v>0</v>
      </c>
      <c r="G19" s="121">
        <v>0</v>
      </c>
      <c r="H19" s="121">
        <v>0</v>
      </c>
      <c r="I19" s="121">
        <f>IF(($C$5&lt;'Tariff Jul 2018'!T13),(0),($C$5-'Tariff Jul 2018'!T13)*'Tariff Jul 2018'!U13/100)</f>
        <v>199.75</v>
      </c>
      <c r="J19" s="121">
        <f t="shared" si="0"/>
        <v>653.55449999999996</v>
      </c>
      <c r="K19" s="256">
        <f t="shared" si="5"/>
        <v>2305</v>
      </c>
      <c r="L19" s="125">
        <f t="shared" si="1"/>
        <v>2614.2179999999998</v>
      </c>
      <c r="M19" s="125">
        <f t="shared" si="2"/>
        <v>2875.6397999999999</v>
      </c>
      <c r="N19" s="29">
        <f>'Tariff Jul 2018'!AW13</f>
        <v>0</v>
      </c>
      <c r="O19" s="29">
        <f>'Tariff Jul 2018'!AX13</f>
        <v>0</v>
      </c>
      <c r="P19" s="29">
        <f>'Tariff Jul 2018'!AY13</f>
        <v>10</v>
      </c>
      <c r="Q19" s="29">
        <f>'Tariff Jul 2018'!AZ13</f>
        <v>0</v>
      </c>
      <c r="R19" s="256">
        <f t="shared" si="3"/>
        <v>2614.2179999999998</v>
      </c>
      <c r="S19" s="256">
        <f>R19-(R19*P19/100)</f>
        <v>2352.7961999999998</v>
      </c>
      <c r="T19" s="262">
        <f t="shared" si="4"/>
        <v>2875.6397999999999</v>
      </c>
      <c r="U19" s="262">
        <f t="shared" si="4"/>
        <v>2588.07582</v>
      </c>
      <c r="V19" s="126">
        <f>'Tariff Jul 2018'!BI13</f>
        <v>0</v>
      </c>
      <c r="W19" s="127" t="str">
        <f>'Tariff Jul 2018'!BJ13</f>
        <v>n</v>
      </c>
    </row>
    <row r="20" spans="1:23" x14ac:dyDescent="0.15">
      <c r="A20" s="111" t="str">
        <f>'Tariff Jul 2018'!K14</f>
        <v>Sanctuary Energy</v>
      </c>
      <c r="B20" s="29" t="str">
        <f>'Tariff Jul 2018'!L14</f>
        <v>Negotiated contract</v>
      </c>
      <c r="C20" s="121">
        <f>91*'Tariff Jul 2018'!M14/100</f>
        <v>68.692260000000005</v>
      </c>
      <c r="D20" s="121">
        <f>IF($C$5&gt;='Tariff Jul 2018'!P14,('Tariff Jul 2018'!P14*'Tariff Jul 2018'!N14/100),($C$5*'Tariff Jul 2018'!N14/100))</f>
        <v>100.49849999999998</v>
      </c>
      <c r="E20" s="121">
        <f>IF($C$5&lt;'Tariff Jul 2018'!P14,0,IF(($C$5-'Tariff Jul 2018'!P14)&lt;='Tariff Jul 2018'!R14,(($C$5-'Tariff Jul 2018'!P14)*'Tariff Jul 2018'!Q14/100),(('Tariff Jul 2018'!R14-'Tariff Jul 2018'!P14)*'Tariff Jul 2018'!Q14/100)))</f>
        <v>238.92399999999998</v>
      </c>
      <c r="F20" s="122">
        <f>IF($C$5&lt;'Tariff Jul 2018'!R14,0,IF(($C$5-'Tariff Jul 2018'!R14)&lt;='Tariff Jul 2018'!T14,(($C$5-'Tariff Jul 2018'!R14)*'Tariff Jul 2018'!S14/100),(('Tariff Jul 2018'!T14-'Tariff Jul 2018'!R14)*'Tariff Jul 2018'!S14/100)))</f>
        <v>195.32749999999999</v>
      </c>
      <c r="G20" s="121">
        <v>0</v>
      </c>
      <c r="H20" s="121">
        <v>0</v>
      </c>
      <c r="I20" s="121">
        <f>IF(($C$5&lt;'Tariff Jul 2018'!T14),(0),($C$5-'Tariff Jul 2018'!T14)*'Tariff Jul 2018'!U14/100)</f>
        <v>0</v>
      </c>
      <c r="J20" s="121">
        <f t="shared" si="0"/>
        <v>603.44225999999992</v>
      </c>
      <c r="K20" s="256">
        <f t="shared" si="5"/>
        <v>2138.9999999999995</v>
      </c>
      <c r="L20" s="125">
        <f t="shared" si="1"/>
        <v>2413.7690399999997</v>
      </c>
      <c r="M20" s="125">
        <f t="shared" si="2"/>
        <v>2655.1459439999999</v>
      </c>
      <c r="N20" s="29">
        <f>'Tariff Jul 2018'!AW14</f>
        <v>0</v>
      </c>
      <c r="O20" s="29">
        <f>'Tariff Jul 2018'!AX14</f>
        <v>0</v>
      </c>
      <c r="P20" s="29">
        <f>'Tariff Jul 2018'!AY14</f>
        <v>0</v>
      </c>
      <c r="Q20" s="29">
        <f>'Tariff Jul 2018'!AZ14</f>
        <v>0</v>
      </c>
      <c r="R20" s="256">
        <f t="shared" si="3"/>
        <v>2413.7690399999997</v>
      </c>
      <c r="S20" s="256">
        <f>R20</f>
        <v>2413.7690399999997</v>
      </c>
      <c r="T20" s="262">
        <f t="shared" si="4"/>
        <v>2655.1459439999999</v>
      </c>
      <c r="U20" s="262">
        <f t="shared" si="4"/>
        <v>2655.1459439999999</v>
      </c>
      <c r="V20" s="126">
        <f>'Tariff Jul 2018'!BI14</f>
        <v>36</v>
      </c>
      <c r="W20" s="127" t="str">
        <f>'Tariff Jul 2018'!BJ14</f>
        <v>n</v>
      </c>
    </row>
    <row r="21" spans="1:23" x14ac:dyDescent="0.15">
      <c r="A21" s="111" t="str">
        <f>'Tariff Jul 2018'!K15</f>
        <v>Simply Energy</v>
      </c>
      <c r="B21" s="29" t="str">
        <f>'Tariff Jul 2018'!L15</f>
        <v>Plus</v>
      </c>
      <c r="C21" s="121">
        <f>91*'Tariff Jul 2018'!M15/100</f>
        <v>74.328800000000015</v>
      </c>
      <c r="D21" s="121">
        <f>IF($C$5&gt;='Tariff Jul 2018'!P15,('Tariff Jul 2018'!P15*'Tariff Jul 2018'!N15/100),($C$5*'Tariff Jul 2018'!N15/100))</f>
        <v>379.9</v>
      </c>
      <c r="E21" s="121">
        <v>0</v>
      </c>
      <c r="F21" s="122">
        <v>0</v>
      </c>
      <c r="G21" s="121">
        <v>0</v>
      </c>
      <c r="H21" s="121">
        <v>0</v>
      </c>
      <c r="I21" s="121">
        <f>IF(($C$5&lt;'Tariff Jul 2018'!T15),(0),($C$5-'Tariff Jul 2018'!T15)*'Tariff Jul 2018'!U15/100)</f>
        <v>213.05</v>
      </c>
      <c r="J21" s="121">
        <f t="shared" si="0"/>
        <v>667.27880000000005</v>
      </c>
      <c r="K21" s="256">
        <f>(J21-C21)*4</f>
        <v>2371.8000000000002</v>
      </c>
      <c r="L21" s="125">
        <f t="shared" si="1"/>
        <v>2669.1152000000002</v>
      </c>
      <c r="M21" s="125">
        <f t="shared" si="2"/>
        <v>2936.0267200000003</v>
      </c>
      <c r="N21" s="29">
        <f>'Tariff Jul 2018'!AW15</f>
        <v>0</v>
      </c>
      <c r="O21" s="29">
        <f>'Tariff Jul 2018'!AX15</f>
        <v>0</v>
      </c>
      <c r="P21" s="29">
        <f>'Tariff Jul 2018'!AY15</f>
        <v>0</v>
      </c>
      <c r="Q21" s="29">
        <f>'Tariff Jul 2018'!AZ15</f>
        <v>18</v>
      </c>
      <c r="R21" s="256">
        <f t="shared" si="3"/>
        <v>2669.1152000000002</v>
      </c>
      <c r="S21" s="256">
        <f>R21-(K21*Q21/100)</f>
        <v>2242.1912000000002</v>
      </c>
      <c r="T21" s="262">
        <f t="shared" si="4"/>
        <v>2936.0267200000003</v>
      </c>
      <c r="U21" s="262">
        <f t="shared" si="4"/>
        <v>2466.4103200000004</v>
      </c>
      <c r="V21" s="126">
        <f>'Tariff Jul 2018'!BI15</f>
        <v>0</v>
      </c>
      <c r="W21" s="127" t="str">
        <f>'Tariff Jul 2018'!BJ15</f>
        <v>n</v>
      </c>
    </row>
    <row r="22" spans="1:23" x14ac:dyDescent="0.15">
      <c r="A22" s="111" t="str">
        <f>'Tariff Jul 2018'!K16</f>
        <v>Amaysim</v>
      </c>
      <c r="B22" s="29" t="str">
        <f>'Tariff Jul 2018'!L16</f>
        <v>Electricity 4</v>
      </c>
      <c r="C22" s="121">
        <f>91*'Tariff Jul 2018'!M16/100</f>
        <v>82.445999999999998</v>
      </c>
      <c r="D22" s="121">
        <f>IF($C$5&gt;='Tariff Jul 2018'!P16,('Tariff Jul 2018'!P16*'Tariff Jul 2018'!N16/100),($C$5*'Tariff Jul 2018'!N16/100))</f>
        <v>478</v>
      </c>
      <c r="E22" s="121">
        <v>0</v>
      </c>
      <c r="F22" s="122">
        <v>0</v>
      </c>
      <c r="G22" s="121">
        <v>0</v>
      </c>
      <c r="H22" s="121">
        <v>0</v>
      </c>
      <c r="I22" s="121">
        <f>IF(($C$5&lt;'Tariff Jul 2018'!T16),(0),($C$5-'Tariff Jul 2018'!T16)*'Tariff Jul 2018'!U16/100)</f>
        <v>250</v>
      </c>
      <c r="J22" s="121">
        <f t="shared" ref="J22:J23" si="6">SUM(C22:I22)</f>
        <v>810.44600000000003</v>
      </c>
      <c r="K22" s="256">
        <f t="shared" ref="K22:K23" si="7">(J22-C22)*4</f>
        <v>2912</v>
      </c>
      <c r="L22" s="125">
        <f t="shared" ref="L22:L23" si="8">J22*4</f>
        <v>3241.7840000000001</v>
      </c>
      <c r="M22" s="125">
        <f t="shared" ref="M22:M23" si="9">L22*1.1</f>
        <v>3565.9624000000003</v>
      </c>
      <c r="N22" s="29">
        <f>'Tariff Jul 2018'!AW16</f>
        <v>0</v>
      </c>
      <c r="O22" s="29">
        <f>'Tariff Jul 2018'!AX16</f>
        <v>0</v>
      </c>
      <c r="P22" s="29">
        <f>'Tariff Jul 2018'!AY16</f>
        <v>9</v>
      </c>
      <c r="Q22" s="29">
        <f>'Tariff Jul 2018'!AZ16</f>
        <v>0</v>
      </c>
      <c r="R22" s="256">
        <f t="shared" ref="R22" si="10">L22</f>
        <v>3241.7840000000001</v>
      </c>
      <c r="S22" s="256">
        <f>R22-(R22*P22/100)</f>
        <v>2950.0234399999999</v>
      </c>
      <c r="T22" s="262">
        <f t="shared" ref="T22:T23" si="11">R22*1.1</f>
        <v>3565.9624000000003</v>
      </c>
      <c r="U22" s="262">
        <f t="shared" ref="U22:U23" si="12">S22*1.1</f>
        <v>3245.0257840000004</v>
      </c>
      <c r="V22" s="126">
        <f>'Tariff Jul 2018'!BI16</f>
        <v>0</v>
      </c>
      <c r="W22" s="127" t="str">
        <f>'Tariff Jul 2018'!BJ16</f>
        <v>n</v>
      </c>
    </row>
    <row r="23" spans="1:23" ht="14" thickBot="1" x14ac:dyDescent="0.2">
      <c r="A23" s="128" t="str">
        <f>'Tariff Jul 2018'!K17</f>
        <v>Q Energy</v>
      </c>
      <c r="B23" s="129" t="str">
        <f>'Tariff Jul 2018'!L17</f>
        <v>Flexi Saver Home</v>
      </c>
      <c r="C23" s="130">
        <f>91*'Tariff Jul 2018'!M17/100</f>
        <v>72.8</v>
      </c>
      <c r="D23" s="130">
        <f>$C$5*'Tariff Jul 2018'!N17/100</f>
        <v>475.2</v>
      </c>
      <c r="E23" s="130">
        <v>0</v>
      </c>
      <c r="F23" s="131">
        <v>0</v>
      </c>
      <c r="G23" s="130">
        <v>0</v>
      </c>
      <c r="H23" s="130">
        <v>0</v>
      </c>
      <c r="I23" s="130">
        <v>0</v>
      </c>
      <c r="J23" s="130">
        <f t="shared" si="6"/>
        <v>548</v>
      </c>
      <c r="K23" s="257">
        <f t="shared" si="7"/>
        <v>1900.8</v>
      </c>
      <c r="L23" s="134">
        <f t="shared" si="8"/>
        <v>2192</v>
      </c>
      <c r="M23" s="134">
        <f t="shared" si="9"/>
        <v>2411.2000000000003</v>
      </c>
      <c r="N23" s="129">
        <f>'Tariff Jul 2018'!AW17</f>
        <v>0</v>
      </c>
      <c r="O23" s="129">
        <f>'Tariff Jul 2018'!AX17</f>
        <v>0</v>
      </c>
      <c r="P23" s="129">
        <f>'Tariff Jul 2018'!AY17</f>
        <v>0</v>
      </c>
      <c r="Q23" s="129">
        <f>'Tariff Jul 2018'!AZ17</f>
        <v>0</v>
      </c>
      <c r="R23" s="257">
        <f t="shared" ref="R23" si="13">L23</f>
        <v>2192</v>
      </c>
      <c r="S23" s="257">
        <f>R23</f>
        <v>2192</v>
      </c>
      <c r="T23" s="263">
        <f t="shared" si="11"/>
        <v>2411.2000000000003</v>
      </c>
      <c r="U23" s="263">
        <f t="shared" si="12"/>
        <v>2411.2000000000003</v>
      </c>
      <c r="V23" s="135">
        <f>'Tariff Jul 2018'!BI17</f>
        <v>24</v>
      </c>
      <c r="W23" s="136" t="str">
        <f>'Tariff Jul 2018'!BJ17</f>
        <v>n</v>
      </c>
    </row>
    <row r="25" spans="1:23" ht="14" thickBot="1" x14ac:dyDescent="0.2"/>
    <row r="26" spans="1:23" ht="14" x14ac:dyDescent="0.15">
      <c r="A26" s="116" t="s">
        <v>179</v>
      </c>
      <c r="B26" s="117"/>
      <c r="C26" s="117"/>
      <c r="D26" s="137"/>
      <c r="E26" s="137"/>
      <c r="F26" s="137"/>
      <c r="G26" s="138"/>
      <c r="H26" s="138"/>
      <c r="I26" s="117"/>
      <c r="J26" s="117"/>
      <c r="K26" s="138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8"/>
    </row>
    <row r="27" spans="1:23" ht="14" x14ac:dyDescent="0.15">
      <c r="A27" s="119" t="s">
        <v>72</v>
      </c>
      <c r="B27" s="60"/>
      <c r="C27" s="143">
        <v>1875</v>
      </c>
      <c r="D27" s="139"/>
      <c r="E27" s="139"/>
      <c r="F27" s="139"/>
      <c r="G27" s="140"/>
      <c r="H27" s="140"/>
      <c r="I27" s="60"/>
      <c r="J27" s="60"/>
      <c r="K27" s="14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120"/>
    </row>
    <row r="28" spans="1:23" ht="14" x14ac:dyDescent="0.15">
      <c r="A28" s="119" t="s">
        <v>241</v>
      </c>
      <c r="B28" s="60"/>
      <c r="C28" s="144">
        <v>0.8</v>
      </c>
      <c r="D28" s="139"/>
      <c r="E28" s="139"/>
      <c r="F28" s="139"/>
      <c r="G28" s="140"/>
      <c r="H28" s="140"/>
      <c r="I28" s="60"/>
      <c r="J28" s="60"/>
      <c r="K28" s="14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120"/>
    </row>
    <row r="29" spans="1:23" ht="14" x14ac:dyDescent="0.15">
      <c r="A29" s="119" t="s">
        <v>143</v>
      </c>
      <c r="B29" s="60"/>
      <c r="C29" s="144">
        <v>0.2</v>
      </c>
      <c r="D29" s="139"/>
      <c r="E29" s="139"/>
      <c r="F29" s="139"/>
      <c r="G29" s="140"/>
      <c r="H29" s="140"/>
      <c r="I29" s="60"/>
      <c r="J29" s="60"/>
      <c r="K29" s="14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120"/>
    </row>
    <row r="30" spans="1:23" ht="14" x14ac:dyDescent="0.15">
      <c r="A30" s="119"/>
      <c r="B30" s="60"/>
      <c r="C30" s="139"/>
      <c r="D30" s="139"/>
      <c r="E30" s="139"/>
      <c r="F30" s="139"/>
      <c r="G30" s="140"/>
      <c r="H30" s="140"/>
      <c r="I30" s="60"/>
      <c r="J30" s="60"/>
      <c r="K30" s="14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120"/>
    </row>
    <row r="31" spans="1:23" ht="75" x14ac:dyDescent="0.15">
      <c r="A31" s="239" t="s">
        <v>278</v>
      </c>
      <c r="B31" s="240" t="s">
        <v>73</v>
      </c>
      <c r="C31" s="248" t="s">
        <v>74</v>
      </c>
      <c r="D31" s="248" t="s">
        <v>75</v>
      </c>
      <c r="E31" s="241" t="s">
        <v>164</v>
      </c>
      <c r="F31" s="241" t="s">
        <v>165</v>
      </c>
      <c r="G31" s="241" t="s">
        <v>239</v>
      </c>
      <c r="H31" s="241" t="s">
        <v>356</v>
      </c>
      <c r="I31" s="241" t="s">
        <v>357</v>
      </c>
      <c r="J31" s="241" t="s">
        <v>958</v>
      </c>
      <c r="K31" s="249" t="s">
        <v>52</v>
      </c>
      <c r="L31" s="249" t="s">
        <v>172</v>
      </c>
      <c r="M31" s="242" t="s">
        <v>0</v>
      </c>
      <c r="N31" s="243" t="s">
        <v>174</v>
      </c>
      <c r="O31" s="243" t="s">
        <v>175</v>
      </c>
      <c r="P31" s="243" t="s">
        <v>76</v>
      </c>
      <c r="Q31" s="243" t="s">
        <v>77</v>
      </c>
      <c r="R31" s="250" t="s">
        <v>295</v>
      </c>
      <c r="S31" s="250" t="s">
        <v>304</v>
      </c>
      <c r="T31" s="245" t="s">
        <v>353</v>
      </c>
      <c r="U31" s="244" t="s">
        <v>354</v>
      </c>
      <c r="V31" s="246" t="s">
        <v>359</v>
      </c>
      <c r="W31" s="247" t="s">
        <v>360</v>
      </c>
    </row>
    <row r="32" spans="1:23" x14ac:dyDescent="0.15">
      <c r="A32" s="111" t="str">
        <f>'Tariff Jul 2018'!K18</f>
        <v>AGL</v>
      </c>
      <c r="B32" s="29" t="str">
        <f>'Tariff Jul 2018'!L18</f>
        <v xml:space="preserve">Savers </v>
      </c>
      <c r="C32" s="141">
        <f>91*'Tariff Jul 2018'!M18/100</f>
        <v>75.53</v>
      </c>
      <c r="D32" s="141">
        <f>($C$27*$C$28)*'Tariff Jul 2018'!N18/100</f>
        <v>566.99999999999989</v>
      </c>
      <c r="E32" s="141">
        <v>0</v>
      </c>
      <c r="F32" s="141">
        <v>0</v>
      </c>
      <c r="G32" s="141">
        <v>0</v>
      </c>
      <c r="H32" s="141">
        <f>($C$27*$C$29)*'Tariff Jul 2018'!AE18/100</f>
        <v>82.125</v>
      </c>
      <c r="I32" s="141">
        <v>0</v>
      </c>
      <c r="J32" s="141">
        <f>SUM(C32:I32)</f>
        <v>724.65499999999986</v>
      </c>
      <c r="K32" s="256">
        <f>(J32-C32)*4</f>
        <v>2596.4999999999995</v>
      </c>
      <c r="L32" s="125">
        <f>J32*4</f>
        <v>2898.6199999999994</v>
      </c>
      <c r="M32" s="125">
        <f>L32*1.1</f>
        <v>3188.4819999999995</v>
      </c>
      <c r="N32" s="29">
        <f>'Tariff Jul 2018'!AW18</f>
        <v>0</v>
      </c>
      <c r="O32" s="29">
        <f>'Tariff Jul 2018'!AX18</f>
        <v>0</v>
      </c>
      <c r="P32" s="29">
        <f>'Tariff Jul 2018'!AY18</f>
        <v>0</v>
      </c>
      <c r="Q32" s="29">
        <f>'Tariff Jul 2018'!AZ18</f>
        <v>11</v>
      </c>
      <c r="R32" s="256">
        <f>L32</f>
        <v>2898.6199999999994</v>
      </c>
      <c r="S32" s="256">
        <f>R32-(K32*Q32/100)</f>
        <v>2613.0049999999997</v>
      </c>
      <c r="T32" s="262">
        <f>R32*1.1</f>
        <v>3188.4819999999995</v>
      </c>
      <c r="U32" s="262">
        <f>S32*1.1</f>
        <v>2874.3054999999999</v>
      </c>
      <c r="V32" s="126">
        <f>'Tariff Jul 2018'!BI18</f>
        <v>0</v>
      </c>
      <c r="W32" s="127" t="str">
        <f>'Tariff Jul 2018'!BJ18</f>
        <v>n</v>
      </c>
    </row>
    <row r="33" spans="1:23" x14ac:dyDescent="0.15">
      <c r="A33" s="111" t="str">
        <f>'Tariff Jul 2018'!K19</f>
        <v>Alinta Energy</v>
      </c>
      <c r="B33" s="29" t="str">
        <f>'Tariff Jul 2018'!L19</f>
        <v>Fair Deal</v>
      </c>
      <c r="C33" s="141">
        <f>91*'Tariff Jul 2018'!M19/100</f>
        <v>75.53</v>
      </c>
      <c r="D33" s="141">
        <f>IF($C$27*$C$28&gt;='Tariff Jul 2018'!P19,('Tariff Jul 2018'!P19*'Tariff Jul 2018'!N19/100),(($C$27*$C$28)*'Tariff Jul 2018'!N19/100))</f>
        <v>117</v>
      </c>
      <c r="E33" s="141">
        <f>IF($C$27*$C$28&lt;'Tariff Jul 2018'!P19,0,IF(($C$27*$C$28-'Tariff Jul 2018'!P19)&lt;='Tariff Jul 2018'!R19,(($C$27*$C$28-'Tariff Jul 2018'!P19)*'Tariff Jul 2018'!Q19/100),(('Tariff Jul 2018'!R19-'Tariff Jul 2018'!P19)*'Tariff Jul 2018'!Q19/100)))</f>
        <v>304.15000000000003</v>
      </c>
      <c r="F33" s="141">
        <f>IF($C$27*$C$28&lt;'Tariff Jul 2018'!R19,0,IF(($C$27*$C$28-'Tariff Jul 2018'!R19)&lt;='Tariff Jul 2018'!T19,(($C$27*$C$28-'Tariff Jul 2018'!R19)*'Tariff Jul 2018'!S19/100),(('Tariff Jul 2018'!T19-'Tariff Jul 2018'!R19)*'Tariff Jul 2018'!S19/100)))</f>
        <v>217.25</v>
      </c>
      <c r="G33" s="141">
        <f>IF(($C$27*$C$28&lt;'Tariff Jul 2018'!T19),(0),($C$27*$C$28-'Tariff Jul 2018'!T19)*'Tariff Jul 2018'!U19/100)</f>
        <v>0</v>
      </c>
      <c r="H33" s="141">
        <f>IF($C$27*$C$29&gt;='Tariff Jul 2018'!AF19,('Tariff Jul 2018'!AF19*'Tariff Jul 2018'!AE19/100),(($C$27*$C$29)*'Tariff Jul 2018'!AE19/100))</f>
        <v>0</v>
      </c>
      <c r="I33" s="141">
        <f>IF(($C$27*$C$29&lt;'Tariff Jul 2018'!AF19),(0),($C$27*$C$29-'Tariff Jul 2018'!AF19)*'Tariff Jul 2018'!AG19/100)</f>
        <v>0</v>
      </c>
      <c r="J33" s="141">
        <f t="shared" ref="J33:J45" si="14">SUM(C33:I33)</f>
        <v>713.93000000000006</v>
      </c>
      <c r="K33" s="256">
        <f>(J33-C33)*4</f>
        <v>2553.6000000000004</v>
      </c>
      <c r="L33" s="125">
        <f t="shared" ref="L33:L45" si="15">J33*4</f>
        <v>2855.7200000000003</v>
      </c>
      <c r="M33" s="125">
        <f t="shared" ref="M33:M45" si="16">L33*1.1</f>
        <v>3141.2920000000004</v>
      </c>
      <c r="N33" s="29">
        <f>'Tariff Jul 2018'!AW19</f>
        <v>0</v>
      </c>
      <c r="O33" s="29">
        <f>'Tariff Jul 2018'!AX19</f>
        <v>0</v>
      </c>
      <c r="P33" s="29">
        <f>'Tariff Jul 2018'!AY19</f>
        <v>0</v>
      </c>
      <c r="Q33" s="29">
        <f>'Tariff Jul 2018'!AZ19</f>
        <v>25</v>
      </c>
      <c r="R33" s="256">
        <f t="shared" ref="R33:R37" si="17">L33</f>
        <v>2855.7200000000003</v>
      </c>
      <c r="S33" s="256">
        <f>R33-(K33*Q33/100)</f>
        <v>2217.3200000000002</v>
      </c>
      <c r="T33" s="262">
        <f t="shared" ref="T33:U45" si="18">R33*1.1</f>
        <v>3141.2920000000004</v>
      </c>
      <c r="U33" s="262">
        <f t="shared" si="18"/>
        <v>2439.0520000000006</v>
      </c>
      <c r="V33" s="126">
        <f>'Tariff Jul 2018'!BI19</f>
        <v>0</v>
      </c>
      <c r="W33" s="127" t="str">
        <f>'Tariff Jul 2018'!BJ19</f>
        <v>n</v>
      </c>
    </row>
    <row r="34" spans="1:23" x14ac:dyDescent="0.15">
      <c r="A34" s="111" t="str">
        <f>'Tariff Jul 2018'!K20</f>
        <v>Click Energy</v>
      </c>
      <c r="B34" s="29" t="str">
        <f>'Tariff Jul 2018'!L20</f>
        <v>Agate</v>
      </c>
      <c r="C34" s="141">
        <f>91*'Tariff Jul 2018'!M20/100</f>
        <v>82.445999999999998</v>
      </c>
      <c r="D34" s="141">
        <f>IF($C$27*$C$28&gt;='Tariff Jul 2018'!P20,('Tariff Jul 2018'!P20*'Tariff Jul 2018'!N20/100),(($C$27*$C$28)*'Tariff Jul 2018'!N20/100))</f>
        <v>478</v>
      </c>
      <c r="E34" s="141">
        <v>0</v>
      </c>
      <c r="F34" s="141">
        <v>0</v>
      </c>
      <c r="G34" s="141">
        <f>IF(($C$27*$C$28&lt;'Tariff Jul 2018'!T20),(0),($C$27*$C$28-'Tariff Jul 2018'!T20)*'Tariff Jul 2018'!U20/100)</f>
        <v>250</v>
      </c>
      <c r="H34" s="141">
        <f>($C$27*$C$29)*'Tariff Jul 2018'!AE20/100</f>
        <v>147.00000000000003</v>
      </c>
      <c r="I34" s="141">
        <v>0</v>
      </c>
      <c r="J34" s="141">
        <f t="shared" si="14"/>
        <v>957.44600000000003</v>
      </c>
      <c r="K34" s="256">
        <f t="shared" ref="K34:K45" si="19">(J34-C34)*4</f>
        <v>3500</v>
      </c>
      <c r="L34" s="125">
        <f t="shared" si="15"/>
        <v>3829.7840000000001</v>
      </c>
      <c r="M34" s="125">
        <f t="shared" si="16"/>
        <v>4212.7624000000005</v>
      </c>
      <c r="N34" s="29">
        <f>'Tariff Jul 2018'!AW20</f>
        <v>0</v>
      </c>
      <c r="O34" s="29">
        <f>'Tariff Jul 2018'!AX20</f>
        <v>0</v>
      </c>
      <c r="P34" s="29">
        <f>'Tariff Jul 2018'!AY20</f>
        <v>25</v>
      </c>
      <c r="Q34" s="29">
        <f>'Tariff Jul 2018'!AZ20</f>
        <v>0</v>
      </c>
      <c r="R34" s="256">
        <f t="shared" si="17"/>
        <v>3829.7840000000001</v>
      </c>
      <c r="S34" s="256">
        <f>R34-(R34*P34/100)</f>
        <v>2872.3380000000002</v>
      </c>
      <c r="T34" s="262">
        <f t="shared" si="18"/>
        <v>4212.7624000000005</v>
      </c>
      <c r="U34" s="262">
        <f t="shared" si="18"/>
        <v>3159.5718000000006</v>
      </c>
      <c r="V34" s="126">
        <f>'Tariff Jul 2018'!BI20</f>
        <v>0</v>
      </c>
      <c r="W34" s="127" t="str">
        <f>'Tariff Jul 2018'!BJ20</f>
        <v>n</v>
      </c>
    </row>
    <row r="35" spans="1:23" x14ac:dyDescent="0.15">
      <c r="A35" s="111" t="str">
        <f>'Tariff Jul 2018'!K21</f>
        <v>Commander</v>
      </c>
      <c r="B35" s="29" t="str">
        <f>'Tariff Jul 2018'!L21</f>
        <v>Market offer</v>
      </c>
      <c r="C35" s="141">
        <f>91*'Tariff Jul 2018'!M21/100</f>
        <v>73.664500000000004</v>
      </c>
      <c r="D35" s="141">
        <f>IF($C$27*$C$28&gt;='Tariff Jul 2018'!P21,('Tariff Jul 2018'!P21*'Tariff Jul 2018'!N21/100),(($C$27*$C$28)*'Tariff Jul 2018'!N21/100))</f>
        <v>409</v>
      </c>
      <c r="E35" s="141">
        <v>0</v>
      </c>
      <c r="F35" s="141">
        <v>0</v>
      </c>
      <c r="G35" s="141">
        <f>IF(($C$27*$C$28&lt;'Tariff Jul 2018'!T21),(0),($C$27*$C$28-'Tariff Jul 2018'!T21)*'Tariff Jul 2018'!U21/100)</f>
        <v>222</v>
      </c>
      <c r="H35" s="141">
        <f>($C$27*$C$29)*'Tariff Jul 2018'!AE21/100</f>
        <v>84.337500000000006</v>
      </c>
      <c r="I35" s="141">
        <v>0</v>
      </c>
      <c r="J35" s="141">
        <f t="shared" si="14"/>
        <v>789.00199999999995</v>
      </c>
      <c r="K35" s="256">
        <f t="shared" si="19"/>
        <v>2861.35</v>
      </c>
      <c r="L35" s="125">
        <f t="shared" si="15"/>
        <v>3156.0079999999998</v>
      </c>
      <c r="M35" s="125">
        <f t="shared" si="16"/>
        <v>3471.6088</v>
      </c>
      <c r="N35" s="29">
        <f>'Tariff Jul 2018'!AW21</f>
        <v>0</v>
      </c>
      <c r="O35" s="29">
        <f>'Tariff Jul 2018'!AX21</f>
        <v>0</v>
      </c>
      <c r="P35" s="29">
        <f>'Tariff Jul 2018'!AY21</f>
        <v>0</v>
      </c>
      <c r="Q35" s="29">
        <f>'Tariff Jul 2018'!AZ21</f>
        <v>20</v>
      </c>
      <c r="R35" s="256">
        <f t="shared" si="17"/>
        <v>3156.0079999999998</v>
      </c>
      <c r="S35" s="256">
        <f>R35-(K35*Q35/100)</f>
        <v>2583.7379999999998</v>
      </c>
      <c r="T35" s="262">
        <f t="shared" si="18"/>
        <v>3471.6088</v>
      </c>
      <c r="U35" s="262">
        <f t="shared" si="18"/>
        <v>2842.1118000000001</v>
      </c>
      <c r="V35" s="126">
        <f>'Tariff Jul 2018'!BI21</f>
        <v>0</v>
      </c>
      <c r="W35" s="127" t="str">
        <f>'Tariff Jul 2018'!BJ21</f>
        <v>n</v>
      </c>
    </row>
    <row r="36" spans="1:23" x14ac:dyDescent="0.15">
      <c r="A36" s="111" t="str">
        <f>'Tariff Jul 2018'!K22</f>
        <v>Diamond Energy</v>
      </c>
      <c r="B36" s="29" t="str">
        <f>'Tariff Jul 2018'!L22</f>
        <v>Pay on time discount</v>
      </c>
      <c r="C36" s="141">
        <f>91*'Tariff Jul 2018'!M22/100</f>
        <v>79.124499999999998</v>
      </c>
      <c r="D36" s="141">
        <f>IF($C$27*$C$28&gt;='Tariff Jul 2018'!P22,('Tariff Jul 2018'!P22*'Tariff Jul 2018'!N22/100),(($C$27*$C$28)*'Tariff Jul 2018'!N22/100))</f>
        <v>99.78</v>
      </c>
      <c r="E36" s="141">
        <f>IF($C$27*$C$28&lt;'Tariff Jul 2018'!P22,0,IF(($C$27*$C$28-'Tariff Jul 2018'!P22)&lt;='Tariff Jul 2018'!R22,(($C$27*$C$28-'Tariff Jul 2018'!P22)*'Tariff Jul 2018'!Q22/100),(('Tariff Jul 2018'!R22-'Tariff Jul 2018'!P22)*'Tariff Jul 2018'!Q22/100)))</f>
        <v>251.23</v>
      </c>
      <c r="F36" s="141">
        <f>IF($C$27*$C$28&lt;'Tariff Jul 2018'!R22,0,IF(($C$27*$C$28-'Tariff Jul 2018'!R22)&lt;='Tariff Jul 2018'!T22,(($C$27*$C$28-'Tariff Jul 2018'!R22)*'Tariff Jul 2018'!S22/100),(('Tariff Jul 2018'!T22-'Tariff Jul 2018'!R22)*'Tariff Jul 2018'!S22/100)))</f>
        <v>194.75</v>
      </c>
      <c r="G36" s="141">
        <f>IF(($C$27*$C$28&lt;'Tariff Jul 2018'!T22),(0),($C$27*$C$28-'Tariff Jul 2018'!T22)*'Tariff Jul 2018'!U22/100)</f>
        <v>0</v>
      </c>
      <c r="H36" s="141">
        <f>($C$27*$C$29)*'Tariff Jul 2018'!AE22/100</f>
        <v>74.8125</v>
      </c>
      <c r="I36" s="141">
        <v>0</v>
      </c>
      <c r="J36" s="141">
        <f t="shared" si="14"/>
        <v>699.697</v>
      </c>
      <c r="K36" s="256">
        <f t="shared" si="19"/>
        <v>2482.29</v>
      </c>
      <c r="L36" s="125">
        <f t="shared" si="15"/>
        <v>2798.788</v>
      </c>
      <c r="M36" s="125">
        <f t="shared" si="16"/>
        <v>3078.6668000000004</v>
      </c>
      <c r="N36" s="29">
        <f>'Tariff Jul 2018'!AW22</f>
        <v>0</v>
      </c>
      <c r="O36" s="29">
        <f>'Tariff Jul 2018'!AX22</f>
        <v>0</v>
      </c>
      <c r="P36" s="29">
        <f>'Tariff Jul 2018'!AY22</f>
        <v>7</v>
      </c>
      <c r="Q36" s="29">
        <f>'Tariff Jul 2018'!AZ22</f>
        <v>0</v>
      </c>
      <c r="R36" s="256">
        <f t="shared" si="17"/>
        <v>2798.788</v>
      </c>
      <c r="S36" s="256">
        <f>R36-(R36*P36/100)</f>
        <v>2602.87284</v>
      </c>
      <c r="T36" s="262">
        <f t="shared" si="18"/>
        <v>3078.6668000000004</v>
      </c>
      <c r="U36" s="262">
        <f t="shared" si="18"/>
        <v>2863.1601240000005</v>
      </c>
      <c r="V36" s="126">
        <f>'Tariff Jul 2018'!BI22</f>
        <v>0</v>
      </c>
      <c r="W36" s="127" t="str">
        <f>'Tariff Jul 2018'!BJ22</f>
        <v>n</v>
      </c>
    </row>
    <row r="37" spans="1:23" x14ac:dyDescent="0.15">
      <c r="A37" s="111" t="str">
        <f>'Tariff Jul 2018'!K23</f>
        <v>Dodo Power &amp; Gas</v>
      </c>
      <c r="B37" s="29" t="str">
        <f>'Tariff Jul 2018'!L23</f>
        <v>Market offer</v>
      </c>
      <c r="C37" s="141">
        <f>91*'Tariff Jul 2018'!M23/100</f>
        <v>73.664500000000004</v>
      </c>
      <c r="D37" s="141">
        <f>IF($C$27*$C$28&gt;='Tariff Jul 2018'!P23,('Tariff Jul 2018'!P23*'Tariff Jul 2018'!N23/100),(($C$27*$C$28)*'Tariff Jul 2018'!N23/100))</f>
        <v>426.5</v>
      </c>
      <c r="E37" s="141">
        <v>0</v>
      </c>
      <c r="F37" s="141">
        <v>0</v>
      </c>
      <c r="G37" s="141">
        <f>IF(($C$27*$C$28&lt;'Tariff Jul 2018'!T23),(0),($C$27*$C$28-'Tariff Jul 2018'!T23)*'Tariff Jul 2018'!U23/100)</f>
        <v>231.25</v>
      </c>
      <c r="H37" s="141">
        <f>($C$27*$C$29)*'Tariff Jul 2018'!AE23/100</f>
        <v>87.9375</v>
      </c>
      <c r="I37" s="141">
        <v>0</v>
      </c>
      <c r="J37" s="141">
        <f t="shared" si="14"/>
        <v>819.35199999999998</v>
      </c>
      <c r="K37" s="256">
        <f t="shared" si="19"/>
        <v>2982.75</v>
      </c>
      <c r="L37" s="125">
        <f t="shared" si="15"/>
        <v>3277.4079999999999</v>
      </c>
      <c r="M37" s="125">
        <f t="shared" si="16"/>
        <v>3605.1488000000004</v>
      </c>
      <c r="N37" s="29">
        <f>'Tariff Jul 2018'!AW23</f>
        <v>0</v>
      </c>
      <c r="O37" s="29">
        <f>'Tariff Jul 2018'!AX23</f>
        <v>0</v>
      </c>
      <c r="P37" s="29">
        <f>'Tariff Jul 2018'!AY23</f>
        <v>0</v>
      </c>
      <c r="Q37" s="29">
        <f>'Tariff Jul 2018'!AZ23</f>
        <v>0</v>
      </c>
      <c r="R37" s="256">
        <f t="shared" si="17"/>
        <v>3277.4079999999999</v>
      </c>
      <c r="S37" s="256">
        <f>R37-(K37*Q37/100)</f>
        <v>3277.4079999999999</v>
      </c>
      <c r="T37" s="262">
        <f t="shared" si="18"/>
        <v>3605.1488000000004</v>
      </c>
      <c r="U37" s="262">
        <f t="shared" si="18"/>
        <v>3605.1488000000004</v>
      </c>
      <c r="V37" s="126">
        <f>'Tariff Jul 2018'!BI23</f>
        <v>0</v>
      </c>
      <c r="W37" s="127" t="str">
        <f>'Tariff Jul 2018'!BJ23</f>
        <v>n</v>
      </c>
    </row>
    <row r="38" spans="1:23" x14ac:dyDescent="0.15">
      <c r="A38" s="111" t="str">
        <f>'Tariff Jul 2018'!K24</f>
        <v>EnergyAustralia</v>
      </c>
      <c r="B38" s="29" t="str">
        <f>'Tariff Jul 2018'!L24</f>
        <v>Anytime Saver</v>
      </c>
      <c r="C38" s="141">
        <f>91*'Tariff Jul 2018'!M24/100</f>
        <v>81.536000000000001</v>
      </c>
      <c r="D38" s="141">
        <f>IF($C$27*$C$28&gt;='Tariff Jul 2018'!P24,('Tariff Jul 2018'!P24*'Tariff Jul 2018'!N24/100),(($C$27*$C$28)*'Tariff Jul 2018'!N24/100))</f>
        <v>422.7</v>
      </c>
      <c r="E38" s="141">
        <v>0</v>
      </c>
      <c r="F38" s="141">
        <v>0</v>
      </c>
      <c r="G38" s="141">
        <f>IF(($C$27*$C$28&lt;'Tariff Jul 2018'!T24),(0),($C$27*$C$28-'Tariff Jul 2018'!T24)*'Tariff Jul 2018'!U24/100)</f>
        <v>227.15</v>
      </c>
      <c r="H38" s="141">
        <f>($C$27*$C$29)*'Tariff Jul 2018'!AE24/100</f>
        <v>63.412500000000001</v>
      </c>
      <c r="I38" s="141">
        <v>0</v>
      </c>
      <c r="J38" s="141">
        <f t="shared" si="14"/>
        <v>794.79849999999999</v>
      </c>
      <c r="K38" s="256">
        <f t="shared" si="19"/>
        <v>2853.05</v>
      </c>
      <c r="L38" s="125">
        <f t="shared" si="15"/>
        <v>3179.194</v>
      </c>
      <c r="M38" s="125">
        <f t="shared" si="16"/>
        <v>3497.1134000000002</v>
      </c>
      <c r="N38" s="29">
        <f>'Tariff Jul 2018'!AW24</f>
        <v>0</v>
      </c>
      <c r="O38" s="29">
        <f>'Tariff Jul 2018'!AX24</f>
        <v>20</v>
      </c>
      <c r="P38" s="29">
        <f>'Tariff Jul 2018'!AY24</f>
        <v>0</v>
      </c>
      <c r="Q38" s="29">
        <f>'Tariff Jul 2018'!AZ24</f>
        <v>0</v>
      </c>
      <c r="R38" s="256">
        <f>L38-(K38*O38/100)</f>
        <v>2608.5839999999998</v>
      </c>
      <c r="S38" s="256">
        <f>R38-(K38*Q38/100)</f>
        <v>2608.5839999999998</v>
      </c>
      <c r="T38" s="262">
        <f t="shared" si="18"/>
        <v>2869.4423999999999</v>
      </c>
      <c r="U38" s="262">
        <f t="shared" si="18"/>
        <v>2869.4423999999999</v>
      </c>
      <c r="V38" s="126">
        <f>'Tariff Jul 2018'!BI24</f>
        <v>0</v>
      </c>
      <c r="W38" s="127" t="str">
        <f>'Tariff Jul 2018'!BJ24</f>
        <v>n</v>
      </c>
    </row>
    <row r="39" spans="1:23" x14ac:dyDescent="0.15">
      <c r="A39" s="111" t="str">
        <f>'Tariff Jul 2018'!K25</f>
        <v>Lumo Energy</v>
      </c>
      <c r="B39" s="29" t="str">
        <f>'Tariff Jul 2018'!L25</f>
        <v>Advantage</v>
      </c>
      <c r="C39" s="141">
        <f>91*'Tariff Jul 2018'!M25/100</f>
        <v>80.08</v>
      </c>
      <c r="D39" s="141">
        <f>IF($C$27*$C$28&gt;='Tariff Jul 2018'!P25,('Tariff Jul 2018'!P25*'Tariff Jul 2018'!N25/100),(($C$27*$C$28)*'Tariff Jul 2018'!N25/100))</f>
        <v>390</v>
      </c>
      <c r="E39" s="141">
        <v>0</v>
      </c>
      <c r="F39" s="141">
        <v>0</v>
      </c>
      <c r="G39" s="141">
        <f>IF(($C$27*$C$28&lt;'Tariff Jul 2018'!T25),(0),($C$27*$C$28-'Tariff Jul 2018'!T25)*'Tariff Jul 2018'!U25/100)</f>
        <v>197.5</v>
      </c>
      <c r="H39" s="141">
        <f>($C$27*$C$29)*'Tariff Jul 2018'!AE25/100</f>
        <v>75</v>
      </c>
      <c r="I39" s="141">
        <v>0</v>
      </c>
      <c r="J39" s="141">
        <f t="shared" si="14"/>
        <v>742.57999999999993</v>
      </c>
      <c r="K39" s="256">
        <f t="shared" si="19"/>
        <v>2649.9999999999995</v>
      </c>
      <c r="L39" s="125">
        <f t="shared" si="15"/>
        <v>2970.3199999999997</v>
      </c>
      <c r="M39" s="125">
        <f t="shared" si="16"/>
        <v>3267.3519999999999</v>
      </c>
      <c r="N39" s="29">
        <f>'Tariff Jul 2018'!AW25</f>
        <v>0</v>
      </c>
      <c r="O39" s="29">
        <f>'Tariff Jul 2018'!AX25</f>
        <v>0</v>
      </c>
      <c r="P39" s="29">
        <f>'Tariff Jul 2018'!AY25</f>
        <v>15</v>
      </c>
      <c r="Q39" s="29">
        <f>'Tariff Jul 2018'!AZ25</f>
        <v>0</v>
      </c>
      <c r="R39" s="256">
        <f t="shared" ref="R39:R47" si="20">L39</f>
        <v>2970.3199999999997</v>
      </c>
      <c r="S39" s="256">
        <f>R39-(R39*P39/100)</f>
        <v>2524.7719999999999</v>
      </c>
      <c r="T39" s="262">
        <f t="shared" si="18"/>
        <v>3267.3519999999999</v>
      </c>
      <c r="U39" s="262">
        <f t="shared" si="18"/>
        <v>2777.2492000000002</v>
      </c>
      <c r="V39" s="126">
        <f>'Tariff Jul 2018'!BI25</f>
        <v>0</v>
      </c>
      <c r="W39" s="127" t="str">
        <f>'Tariff Jul 2018'!BJ25</f>
        <v>n</v>
      </c>
    </row>
    <row r="40" spans="1:23" x14ac:dyDescent="0.15">
      <c r="A40" s="111" t="str">
        <f>'Tariff Jul 2018'!K26</f>
        <v>Momentum Energy</v>
      </c>
      <c r="B40" s="29" t="str">
        <f>'Tariff Jul 2018'!L26</f>
        <v>SmilePower</v>
      </c>
      <c r="C40" s="141">
        <f>91*'Tariff Jul 2018'!M26/100</f>
        <v>95.431700000000006</v>
      </c>
      <c r="D40" s="141">
        <f>IF($C$27*$C$28&gt;='Tariff Jul 2018'!P26,('Tariff Jul 2018'!P26*'Tariff Jul 2018'!N26/100),(($C$27*$C$28)*'Tariff Jul 2018'!N26/100))</f>
        <v>217.62000000000003</v>
      </c>
      <c r="E40" s="141">
        <v>0</v>
      </c>
      <c r="F40" s="141">
        <v>0</v>
      </c>
      <c r="G40" s="141">
        <f>IF(($C$27*$C$28&lt;'Tariff Jul 2018'!T26),(0),($C$27*$C$28-'Tariff Jul 2018'!T26)*'Tariff Jul 2018'!U26/100)</f>
        <v>326.43000000000006</v>
      </c>
      <c r="H40" s="141">
        <f>($C$27*$C$29)*'Tariff Jul 2018'!AE26/100</f>
        <v>84.637500000000003</v>
      </c>
      <c r="I40" s="141">
        <v>0</v>
      </c>
      <c r="J40" s="141">
        <f t="shared" si="14"/>
        <v>724.11920000000009</v>
      </c>
      <c r="K40" s="256">
        <f t="shared" si="19"/>
        <v>2514.7500000000005</v>
      </c>
      <c r="L40" s="125">
        <f t="shared" si="15"/>
        <v>2896.4768000000004</v>
      </c>
      <c r="M40" s="125">
        <f t="shared" si="16"/>
        <v>3186.1244800000009</v>
      </c>
      <c r="N40" s="29">
        <f>'Tariff Jul 2018'!AW26</f>
        <v>0</v>
      </c>
      <c r="O40" s="29">
        <f>'Tariff Jul 2018'!AX26</f>
        <v>0</v>
      </c>
      <c r="P40" s="29">
        <f>'Tariff Jul 2018'!AY26</f>
        <v>0</v>
      </c>
      <c r="Q40" s="29">
        <f>'Tariff Jul 2018'!AZ26</f>
        <v>0</v>
      </c>
      <c r="R40" s="256">
        <f t="shared" si="20"/>
        <v>2896.4768000000004</v>
      </c>
      <c r="S40" s="256">
        <f>R40</f>
        <v>2896.4768000000004</v>
      </c>
      <c r="T40" s="262">
        <f t="shared" si="18"/>
        <v>3186.1244800000009</v>
      </c>
      <c r="U40" s="262">
        <f t="shared" si="18"/>
        <v>3186.1244800000009</v>
      </c>
      <c r="V40" s="126">
        <f>'Tariff Jul 2018'!BI26</f>
        <v>0</v>
      </c>
      <c r="W40" s="127" t="str">
        <f>'Tariff Jul 2018'!BJ26</f>
        <v>n</v>
      </c>
    </row>
    <row r="41" spans="1:23" x14ac:dyDescent="0.15">
      <c r="A41" s="111" t="str">
        <f>'Tariff Jul 2018'!K27</f>
        <v>Origin Energy</v>
      </c>
      <c r="B41" s="29" t="str">
        <f>'Tariff Jul 2018'!L27</f>
        <v>Saver</v>
      </c>
      <c r="C41" s="141">
        <f>91*'Tariff Jul 2018'!M27/100</f>
        <v>74.729200000000006</v>
      </c>
      <c r="D41" s="141">
        <f>IF($C$27*$C$28&gt;='Tariff Jul 2018'!P27,('Tariff Jul 2018'!P27*'Tariff Jul 2018'!N27/100),(($C$27*$C$28)*'Tariff Jul 2018'!N27/100))</f>
        <v>363.8</v>
      </c>
      <c r="E41" s="141">
        <v>0</v>
      </c>
      <c r="F41" s="141">
        <v>0</v>
      </c>
      <c r="G41" s="141">
        <f>IF(($C$27*$C$28&lt;'Tariff Jul 2018'!T27),(0),($C$27*$C$28-'Tariff Jul 2018'!T27)*'Tariff Jul 2018'!U27/100)</f>
        <v>194.2</v>
      </c>
      <c r="H41" s="141">
        <f>($C$27*$C$29)*'Tariff Jul 2018'!AE27/100</f>
        <v>71.474999999999994</v>
      </c>
      <c r="I41" s="141">
        <v>0</v>
      </c>
      <c r="J41" s="141">
        <f t="shared" si="14"/>
        <v>704.20420000000001</v>
      </c>
      <c r="K41" s="256">
        <f t="shared" si="19"/>
        <v>2517.9</v>
      </c>
      <c r="L41" s="125">
        <f t="shared" si="15"/>
        <v>2816.8168000000001</v>
      </c>
      <c r="M41" s="125">
        <f t="shared" si="16"/>
        <v>3098.4984800000002</v>
      </c>
      <c r="N41" s="29">
        <f>'Tariff Jul 2018'!AW27</f>
        <v>0</v>
      </c>
      <c r="O41" s="29">
        <f>'Tariff Jul 2018'!AX27</f>
        <v>0</v>
      </c>
      <c r="P41" s="29">
        <f>'Tariff Jul 2018'!AY27</f>
        <v>0</v>
      </c>
      <c r="Q41" s="29">
        <f>'Tariff Jul 2018'!AZ27</f>
        <v>10</v>
      </c>
      <c r="R41" s="256">
        <f t="shared" si="20"/>
        <v>2816.8168000000001</v>
      </c>
      <c r="S41" s="256">
        <f>R41-(K41*Q41/100)</f>
        <v>2565.0268000000001</v>
      </c>
      <c r="T41" s="262">
        <f t="shared" si="18"/>
        <v>3098.4984800000002</v>
      </c>
      <c r="U41" s="262">
        <f t="shared" si="18"/>
        <v>2821.5294800000001</v>
      </c>
      <c r="V41" s="126">
        <f>'Tariff Jul 2018'!BI27</f>
        <v>0</v>
      </c>
      <c r="W41" s="127" t="str">
        <f>'Tariff Jul 2018'!BJ27</f>
        <v>n</v>
      </c>
    </row>
    <row r="42" spans="1:23" x14ac:dyDescent="0.15">
      <c r="A42" s="111" t="str">
        <f>'Tariff Jul 2018'!K28</f>
        <v>Powerdirect</v>
      </c>
      <c r="B42" s="29" t="str">
        <f>'Tariff Jul 2018'!L28</f>
        <v>Market offer</v>
      </c>
      <c r="C42" s="141">
        <f>91*'Tariff Jul 2018'!M28/100</f>
        <v>75.53</v>
      </c>
      <c r="D42" s="141">
        <f>($C$27*$C$28)*'Tariff Jul 2018'!N28/100</f>
        <v>566.99999999999989</v>
      </c>
      <c r="E42" s="141">
        <v>0</v>
      </c>
      <c r="F42" s="141">
        <v>0</v>
      </c>
      <c r="G42" s="141">
        <v>0</v>
      </c>
      <c r="H42" s="141">
        <f>($C$27*$C$29)*'Tariff Jul 2018'!AE28/100</f>
        <v>82.125</v>
      </c>
      <c r="I42" s="141">
        <v>0</v>
      </c>
      <c r="J42" s="141">
        <f t="shared" si="14"/>
        <v>724.65499999999986</v>
      </c>
      <c r="K42" s="256">
        <f t="shared" si="19"/>
        <v>2596.4999999999995</v>
      </c>
      <c r="L42" s="125">
        <f t="shared" si="15"/>
        <v>2898.6199999999994</v>
      </c>
      <c r="M42" s="125">
        <f t="shared" si="16"/>
        <v>3188.4819999999995</v>
      </c>
      <c r="N42" s="29">
        <f>'Tariff Jul 2018'!AW28</f>
        <v>0</v>
      </c>
      <c r="O42" s="29">
        <f>'Tariff Jul 2018'!AX28</f>
        <v>0</v>
      </c>
      <c r="P42" s="29">
        <f>'Tariff Jul 2018'!AY28</f>
        <v>0</v>
      </c>
      <c r="Q42" s="29">
        <f>'Tariff Jul 2018'!AZ28</f>
        <v>17</v>
      </c>
      <c r="R42" s="256">
        <f t="shared" si="20"/>
        <v>2898.6199999999994</v>
      </c>
      <c r="S42" s="256">
        <f>R42-(K42*Q42/100)</f>
        <v>2457.2149999999997</v>
      </c>
      <c r="T42" s="262">
        <f t="shared" si="18"/>
        <v>3188.4819999999995</v>
      </c>
      <c r="U42" s="262">
        <f t="shared" si="18"/>
        <v>2702.9364999999998</v>
      </c>
      <c r="V42" s="126">
        <f>'Tariff Jul 2018'!BI28</f>
        <v>0</v>
      </c>
      <c r="W42" s="127" t="str">
        <f>'Tariff Jul 2018'!BJ28</f>
        <v>n</v>
      </c>
    </row>
    <row r="43" spans="1:23" x14ac:dyDescent="0.15">
      <c r="A43" s="111" t="str">
        <f>'Tariff Jul 2018'!K29</f>
        <v>Red Energy</v>
      </c>
      <c r="B43" s="29" t="str">
        <f>'Tariff Jul 2018'!L29</f>
        <v>No exit fee saver</v>
      </c>
      <c r="C43" s="141">
        <f>91*'Tariff Jul 2018'!M29/100</f>
        <v>77.304500000000004</v>
      </c>
      <c r="D43" s="141">
        <f>IF($C$27*$C$28&gt;='Tariff Jul 2018'!P29,('Tariff Jul 2018'!P29*'Tariff Jul 2018'!N29/100),(($C$27*$C$28)*'Tariff Jul 2018'!N29/100))</f>
        <v>376.5</v>
      </c>
      <c r="E43" s="141">
        <v>0</v>
      </c>
      <c r="F43" s="141">
        <v>0</v>
      </c>
      <c r="G43" s="141">
        <f>IF(($C$27*$C$28&lt;'Tariff Jul 2018'!T29),(0),($C$27*$C$28-'Tariff Jul 2018'!T29)*'Tariff Jul 2018'!U29/100)</f>
        <v>199.75</v>
      </c>
      <c r="H43" s="141">
        <f>($C$27*$C$29)*'Tariff Jul 2018'!AE29/100</f>
        <v>72.562500000000014</v>
      </c>
      <c r="I43" s="141">
        <v>0</v>
      </c>
      <c r="J43" s="141">
        <f t="shared" si="14"/>
        <v>726.11699999999996</v>
      </c>
      <c r="K43" s="256">
        <f t="shared" si="19"/>
        <v>2595.25</v>
      </c>
      <c r="L43" s="125">
        <f t="shared" si="15"/>
        <v>2904.4679999999998</v>
      </c>
      <c r="M43" s="125">
        <f t="shared" si="16"/>
        <v>3194.9148</v>
      </c>
      <c r="N43" s="29">
        <f>'Tariff Jul 2018'!AW29</f>
        <v>0</v>
      </c>
      <c r="O43" s="29">
        <f>'Tariff Jul 2018'!AX29</f>
        <v>0</v>
      </c>
      <c r="P43" s="29">
        <f>'Tariff Jul 2018'!AY29</f>
        <v>10</v>
      </c>
      <c r="Q43" s="29">
        <f>'Tariff Jul 2018'!AZ29</f>
        <v>0</v>
      </c>
      <c r="R43" s="256">
        <f t="shared" si="20"/>
        <v>2904.4679999999998</v>
      </c>
      <c r="S43" s="256">
        <f>R43-(R43*P43/100)</f>
        <v>2614.0211999999997</v>
      </c>
      <c r="T43" s="262">
        <f t="shared" si="18"/>
        <v>3194.9148</v>
      </c>
      <c r="U43" s="262">
        <f t="shared" si="18"/>
        <v>2875.4233199999999</v>
      </c>
      <c r="V43" s="126">
        <f>'Tariff Jul 2018'!BI29</f>
        <v>0</v>
      </c>
      <c r="W43" s="127" t="str">
        <f>'Tariff Jul 2018'!BJ29</f>
        <v>n</v>
      </c>
    </row>
    <row r="44" spans="1:23" x14ac:dyDescent="0.15">
      <c r="A44" s="111" t="str">
        <f>'Tariff Jul 2018'!K30</f>
        <v>Sanctuary Energy</v>
      </c>
      <c r="B44" s="29" t="str">
        <f>'Tariff Jul 2018'!L30</f>
        <v>Negotiated contract</v>
      </c>
      <c r="C44" s="141">
        <f>91*'Tariff Jul 2018'!M30/100</f>
        <v>68.692260000000005</v>
      </c>
      <c r="D44" s="141">
        <f>IF($C$27*$C$28&gt;='Tariff Jul 2018'!P30,('Tariff Jul 2018'!P30*'Tariff Jul 2018'!N30/100),(($C$27*$C$28)*'Tariff Jul 2018'!N30/100))</f>
        <v>100.49849999999998</v>
      </c>
      <c r="E44" s="141">
        <f>IF($C$27*$C$28&lt;'Tariff Jul 2018'!P30,0,IF(($C$27*$C$28-'Tariff Jul 2018'!P30)&lt;='Tariff Jul 2018'!R30,(($C$27*$C$28-'Tariff Jul 2018'!P30)*'Tariff Jul 2018'!Q30/100),(('Tariff Jul 2018'!R30-'Tariff Jul 2018'!P30)*'Tariff Jul 2018'!Q30/100)))</f>
        <v>238.92399999999998</v>
      </c>
      <c r="F44" s="141">
        <f>IF($C$27*$C$28&lt;'Tariff Jul 2018'!R30,0,IF(($C$27*$C$28-'Tariff Jul 2018'!R30)&lt;='Tariff Jul 2018'!T30,(($C$27*$C$28-'Tariff Jul 2018'!R30)*'Tariff Jul 2018'!S30/100),(('Tariff Jul 2018'!T30-'Tariff Jul 2018'!R30)*'Tariff Jul 2018'!S30/100)))</f>
        <v>195.32749999999999</v>
      </c>
      <c r="G44" s="141">
        <f>IF(($C$27*$C$28&lt;'Tariff Jul 2018'!T30),(0),($C$27*$C$28-'Tariff Jul 2018'!T30)*'Tariff Jul 2018'!U30/100)</f>
        <v>0</v>
      </c>
      <c r="H44" s="141">
        <f>IF($C$27*$C$29&gt;='Tariff Jul 2018'!AF30,('Tariff Jul 2018'!AF30*'Tariff Jul 2018'!AE30/100),(($C$27*$C$29)*'Tariff Jul 2018'!AE30/100))</f>
        <v>60.763124999999988</v>
      </c>
      <c r="I44" s="141">
        <f>IF(($C$27*$C$29&lt;'Tariff Jul 2018'!AF30),(0),($C$27*$C$29-'Tariff Jul 2018'!AF30)*'Tariff Jul 2018'!AG30/100)</f>
        <v>0</v>
      </c>
      <c r="J44" s="141">
        <f t="shared" si="14"/>
        <v>664.20538499999986</v>
      </c>
      <c r="K44" s="256">
        <f t="shared" si="19"/>
        <v>2382.0524999999993</v>
      </c>
      <c r="L44" s="125">
        <f t="shared" si="15"/>
        <v>2656.8215399999995</v>
      </c>
      <c r="M44" s="125">
        <f t="shared" si="16"/>
        <v>2922.5036939999995</v>
      </c>
      <c r="N44" s="29">
        <f>'Tariff Jul 2018'!AW30</f>
        <v>0</v>
      </c>
      <c r="O44" s="29">
        <f>'Tariff Jul 2018'!AX30</f>
        <v>0</v>
      </c>
      <c r="P44" s="29">
        <f>'Tariff Jul 2018'!AY30</f>
        <v>0</v>
      </c>
      <c r="Q44" s="29">
        <f>'Tariff Jul 2018'!AZ30</f>
        <v>0</v>
      </c>
      <c r="R44" s="256">
        <f t="shared" si="20"/>
        <v>2656.8215399999995</v>
      </c>
      <c r="S44" s="256">
        <f>R44</f>
        <v>2656.8215399999995</v>
      </c>
      <c r="T44" s="262">
        <f t="shared" si="18"/>
        <v>2922.5036939999995</v>
      </c>
      <c r="U44" s="262">
        <f t="shared" si="18"/>
        <v>2922.5036939999995</v>
      </c>
      <c r="V44" s="126">
        <f>'Tariff Jul 2018'!BI30</f>
        <v>36</v>
      </c>
      <c r="W44" s="127" t="str">
        <f>'Tariff Jul 2018'!BJ30</f>
        <v>n</v>
      </c>
    </row>
    <row r="45" spans="1:23" x14ac:dyDescent="0.15">
      <c r="A45" s="111" t="str">
        <f>'Tariff Jul 2018'!K31</f>
        <v>Simply Energy</v>
      </c>
      <c r="B45" s="29" t="str">
        <f>'Tariff Jul 2018'!L31</f>
        <v>Plus</v>
      </c>
      <c r="C45" s="141">
        <f>91*'Tariff Jul 2018'!M31/100</f>
        <v>74.328800000000015</v>
      </c>
      <c r="D45" s="141">
        <f>IF($C$27*$C$28&gt;='Tariff Jul 2018'!P31,('Tariff Jul 2018'!P31*'Tariff Jul 2018'!N31/100),(($C$27*$C$28)*'Tariff Jul 2018'!N31/100))</f>
        <v>379.9</v>
      </c>
      <c r="E45" s="141">
        <v>0</v>
      </c>
      <c r="F45" s="141">
        <v>0</v>
      </c>
      <c r="G45" s="141">
        <f>IF(($C$27*$C$28&lt;'Tariff Jul 2018'!T31),(0),($C$27*$C$28-'Tariff Jul 2018'!T31)*'Tariff Jul 2018'!U31/100)</f>
        <v>213.05</v>
      </c>
      <c r="H45" s="141">
        <f>($C$27*$C$29)*'Tariff Jul 2018'!AE31/100</f>
        <v>103.08750000000001</v>
      </c>
      <c r="I45" s="141">
        <v>0</v>
      </c>
      <c r="J45" s="141">
        <f t="shared" si="14"/>
        <v>770.36630000000002</v>
      </c>
      <c r="K45" s="256">
        <f t="shared" si="19"/>
        <v>2784.15</v>
      </c>
      <c r="L45" s="125">
        <f t="shared" si="15"/>
        <v>3081.4652000000001</v>
      </c>
      <c r="M45" s="125">
        <f t="shared" si="16"/>
        <v>3389.6117200000003</v>
      </c>
      <c r="N45" s="29">
        <f>'Tariff Jul 2018'!AW31</f>
        <v>0</v>
      </c>
      <c r="O45" s="29">
        <f>'Tariff Jul 2018'!AX31</f>
        <v>0</v>
      </c>
      <c r="P45" s="29">
        <f>'Tariff Jul 2018'!AY31</f>
        <v>0</v>
      </c>
      <c r="Q45" s="29">
        <f>'Tariff Jul 2018'!AZ31</f>
        <v>18</v>
      </c>
      <c r="R45" s="256">
        <f t="shared" si="20"/>
        <v>3081.4652000000001</v>
      </c>
      <c r="S45" s="256">
        <f>R45-(K45*Q45/100)</f>
        <v>2580.3182000000002</v>
      </c>
      <c r="T45" s="262">
        <f t="shared" si="18"/>
        <v>3389.6117200000003</v>
      </c>
      <c r="U45" s="262">
        <f t="shared" si="18"/>
        <v>2838.3500200000003</v>
      </c>
      <c r="V45" s="126">
        <f>'Tariff Jul 2018'!BI31</f>
        <v>0</v>
      </c>
      <c r="W45" s="127" t="str">
        <f>'Tariff Jul 2018'!BJ31</f>
        <v>n</v>
      </c>
    </row>
    <row r="46" spans="1:23" x14ac:dyDescent="0.15">
      <c r="A46" s="111" t="str">
        <f>'Tariff Jul 2018'!K32</f>
        <v>Amaysim</v>
      </c>
      <c r="B46" s="29" t="str">
        <f>'Tariff Jul 2018'!L32</f>
        <v>Electricity 4</v>
      </c>
      <c r="C46" s="141">
        <f>91*'Tariff Jul 2018'!M32/100</f>
        <v>82.445999999999998</v>
      </c>
      <c r="D46" s="141">
        <f>IF($C$27*$C$28&gt;='Tariff Jul 2018'!P32,('Tariff Jul 2018'!P32*'Tariff Jul 2018'!N32/100),(($C$27*$C$28)*'Tariff Jul 2018'!N32/100))</f>
        <v>478</v>
      </c>
      <c r="E46" s="141">
        <v>0</v>
      </c>
      <c r="F46" s="141">
        <v>0</v>
      </c>
      <c r="G46" s="141">
        <f>IF(($C$27*$C$28&lt;'Tariff Jul 2018'!T32),(0),($C$27*$C$28-'Tariff Jul 2018'!T32)*'Tariff Jul 2018'!U32/100)</f>
        <v>250</v>
      </c>
      <c r="H46" s="141">
        <f>($C$27*$C$29)*'Tariff Jul 2018'!AE32/100</f>
        <v>147.00000000000003</v>
      </c>
      <c r="I46" s="141">
        <v>0</v>
      </c>
      <c r="J46" s="141">
        <f t="shared" ref="J46:J47" si="21">SUM(C46:I46)</f>
        <v>957.44600000000003</v>
      </c>
      <c r="K46" s="256">
        <f t="shared" ref="K46:K47" si="22">(J46-C46)*4</f>
        <v>3500</v>
      </c>
      <c r="L46" s="125">
        <f t="shared" ref="L46:L47" si="23">J46*4</f>
        <v>3829.7840000000001</v>
      </c>
      <c r="M46" s="125">
        <f t="shared" ref="M46:M47" si="24">L46*1.1</f>
        <v>4212.7624000000005</v>
      </c>
      <c r="N46" s="29">
        <f>'Tariff Jul 2018'!AW32</f>
        <v>0</v>
      </c>
      <c r="O46" s="29">
        <f>'Tariff Jul 2018'!AX32</f>
        <v>0</v>
      </c>
      <c r="P46" s="29">
        <f>'Tariff Jul 2018'!AY32</f>
        <v>9</v>
      </c>
      <c r="Q46" s="29">
        <f>'Tariff Jul 2018'!AZ32</f>
        <v>0</v>
      </c>
      <c r="R46" s="256">
        <f t="shared" si="20"/>
        <v>3829.7840000000001</v>
      </c>
      <c r="S46" s="256">
        <f>R46-(R46*P46/100)</f>
        <v>3485.1034399999999</v>
      </c>
      <c r="T46" s="262">
        <f t="shared" ref="T46:T47" si="25">R46*1.1</f>
        <v>4212.7624000000005</v>
      </c>
      <c r="U46" s="262">
        <f t="shared" ref="U46:U47" si="26">S46*1.1</f>
        <v>3833.6137840000001</v>
      </c>
      <c r="V46" s="126">
        <f>'Tariff Jul 2018'!BI32</f>
        <v>0</v>
      </c>
      <c r="W46" s="127" t="str">
        <f>'Tariff Jul 2018'!BJ32</f>
        <v>n</v>
      </c>
    </row>
    <row r="47" spans="1:23" ht="14" thickBot="1" x14ac:dyDescent="0.2">
      <c r="A47" s="128" t="str">
        <f>'Tariff Jul 2018'!K33</f>
        <v>Q Energy</v>
      </c>
      <c r="B47" s="129" t="str">
        <f>'Tariff Jul 2018'!L33</f>
        <v>Flexi Saver Home</v>
      </c>
      <c r="C47" s="142">
        <f>91*'Tariff Jul 2018'!M33/100</f>
        <v>72.8</v>
      </c>
      <c r="D47" s="142">
        <f>($C$27*$C$28)*'Tariff Jul 2018'!N33/100</f>
        <v>475.2</v>
      </c>
      <c r="E47" s="142">
        <v>0</v>
      </c>
      <c r="F47" s="142">
        <v>0</v>
      </c>
      <c r="G47" s="142">
        <f>IF(($C$27*$C$28&lt;'Tariff Jul 2018'!T33),(0),($C$27*$C$28-'Tariff Jul 2018'!T33)*'Tariff Jul 2018'!U33/100)</f>
        <v>0</v>
      </c>
      <c r="H47" s="142">
        <f>($C$27*$C$29)*'Tariff Jul 2018'!AE33/100</f>
        <v>51.048749999999998</v>
      </c>
      <c r="I47" s="142">
        <v>0</v>
      </c>
      <c r="J47" s="142">
        <f t="shared" si="21"/>
        <v>599.04875000000004</v>
      </c>
      <c r="K47" s="257">
        <f t="shared" si="22"/>
        <v>2104.9950000000003</v>
      </c>
      <c r="L47" s="134">
        <f t="shared" si="23"/>
        <v>2396.1950000000002</v>
      </c>
      <c r="M47" s="134">
        <f t="shared" si="24"/>
        <v>2635.8145000000004</v>
      </c>
      <c r="N47" s="129">
        <f>'Tariff Jul 2018'!AW33</f>
        <v>0</v>
      </c>
      <c r="O47" s="129">
        <f>'Tariff Jul 2018'!AX33</f>
        <v>0</v>
      </c>
      <c r="P47" s="129">
        <f>'Tariff Jul 2018'!AY33</f>
        <v>0</v>
      </c>
      <c r="Q47" s="129">
        <f>'Tariff Jul 2018'!AZ33</f>
        <v>0</v>
      </c>
      <c r="R47" s="257">
        <f t="shared" si="20"/>
        <v>2396.1950000000002</v>
      </c>
      <c r="S47" s="257">
        <f>R47</f>
        <v>2396.1950000000002</v>
      </c>
      <c r="T47" s="263">
        <f t="shared" si="25"/>
        <v>2635.8145000000004</v>
      </c>
      <c r="U47" s="263">
        <f t="shared" si="26"/>
        <v>2635.8145000000004</v>
      </c>
      <c r="V47" s="135">
        <f>'Tariff Jul 2018'!BI33</f>
        <v>24</v>
      </c>
      <c r="W47" s="136" t="str">
        <f>'Tariff Jul 2018'!BJ33</f>
        <v>n</v>
      </c>
    </row>
  </sheetData>
  <sheetProtection algorithmName="SHA-512" hashValue="c1Dvff13whAIFFQnOx8/rZo/Ufp8NFDRIp2qXJJXXh2QQ5voRv8l7WDopPTaNc0ARKp1YygOYivQ/5gGc7N72g==" saltValue="PVbbtYe2Izx3HCIPJ7Jkj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AQ442"/>
  <sheetViews>
    <sheetView workbookViewId="0">
      <selection activeCell="P36" sqref="P36"/>
    </sheetView>
  </sheetViews>
  <sheetFormatPr baseColWidth="10" defaultRowHeight="13" x14ac:dyDescent="0.15"/>
  <cols>
    <col min="1" max="2" width="20.33203125" style="29" customWidth="1"/>
    <col min="3" max="10" width="11.83203125" style="29" customWidth="1"/>
    <col min="11" max="12" width="11.83203125" style="29" hidden="1" customWidth="1"/>
    <col min="13" max="17" width="11.83203125" style="29" customWidth="1"/>
    <col min="18" max="19" width="11.83203125" style="29" hidden="1" customWidth="1"/>
    <col min="20" max="23" width="11.83203125" style="29" customWidth="1"/>
    <col min="24" max="16384" width="10.83203125" style="29"/>
  </cols>
  <sheetData>
    <row r="1" spans="1:43" s="149" customFormat="1" ht="14" x14ac:dyDescent="0.15">
      <c r="A1" s="148" t="s">
        <v>161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</row>
    <row r="2" spans="1:43" s="149" customFormat="1" ht="14" x14ac:dyDescent="0.15">
      <c r="A2" s="150" t="s">
        <v>162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</row>
    <row r="3" spans="1:43" s="149" customFormat="1" ht="15" thickBot="1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</row>
    <row r="4" spans="1:43" ht="14" x14ac:dyDescent="0.15">
      <c r="A4" s="116" t="s">
        <v>163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8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</row>
    <row r="5" spans="1:43" ht="14" x14ac:dyDescent="0.15">
      <c r="A5" s="119" t="s">
        <v>240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120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</row>
    <row r="6" spans="1:43" ht="14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120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</row>
    <row r="7" spans="1:43" ht="75" x14ac:dyDescent="0.15">
      <c r="A7" s="239" t="s">
        <v>278</v>
      </c>
      <c r="B7" s="240" t="s">
        <v>73</v>
      </c>
      <c r="C7" s="248" t="s">
        <v>74</v>
      </c>
      <c r="D7" s="248" t="s">
        <v>361</v>
      </c>
      <c r="E7" s="241" t="s">
        <v>164</v>
      </c>
      <c r="F7" s="241" t="s">
        <v>165</v>
      </c>
      <c r="G7" s="241" t="s">
        <v>11</v>
      </c>
      <c r="H7" s="241" t="s">
        <v>238</v>
      </c>
      <c r="I7" s="241" t="s">
        <v>239</v>
      </c>
      <c r="J7" s="241" t="s">
        <v>958</v>
      </c>
      <c r="K7" s="242" t="s">
        <v>52</v>
      </c>
      <c r="L7" s="242" t="s">
        <v>172</v>
      </c>
      <c r="M7" s="242" t="s">
        <v>0</v>
      </c>
      <c r="N7" s="243" t="s">
        <v>174</v>
      </c>
      <c r="O7" s="243" t="s">
        <v>175</v>
      </c>
      <c r="P7" s="243" t="s">
        <v>76</v>
      </c>
      <c r="Q7" s="243" t="s">
        <v>77</v>
      </c>
      <c r="R7" s="244" t="s">
        <v>295</v>
      </c>
      <c r="S7" s="244" t="s">
        <v>304</v>
      </c>
      <c r="T7" s="244" t="s">
        <v>98</v>
      </c>
      <c r="U7" s="244" t="s">
        <v>94</v>
      </c>
      <c r="V7" s="243" t="s">
        <v>359</v>
      </c>
      <c r="W7" s="247" t="s">
        <v>360</v>
      </c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</row>
    <row r="8" spans="1:43" x14ac:dyDescent="0.15">
      <c r="A8" s="111" t="str">
        <f>'Tariff Jul 2017'!K2</f>
        <v>AGL</v>
      </c>
      <c r="B8" s="29" t="str">
        <f>'Tariff Jul 2017'!L2</f>
        <v xml:space="preserve">Savers </v>
      </c>
      <c r="C8" s="121">
        <f>91*'Tariff Jul 2017'!M2/100</f>
        <v>75.53</v>
      </c>
      <c r="D8" s="121">
        <f>$C$5*'Tariff Jul 2017'!N2/100</f>
        <v>570</v>
      </c>
      <c r="E8" s="121">
        <v>0</v>
      </c>
      <c r="F8" s="122">
        <v>0</v>
      </c>
      <c r="G8" s="121">
        <v>0</v>
      </c>
      <c r="H8" s="121">
        <v>0</v>
      </c>
      <c r="I8" s="121">
        <v>0</v>
      </c>
      <c r="J8" s="121">
        <f>SUM(C8:I8)</f>
        <v>645.53</v>
      </c>
      <c r="K8" s="123">
        <f>(J8-C8)*4</f>
        <v>2280</v>
      </c>
      <c r="L8" s="124">
        <f>J8*4</f>
        <v>2582.12</v>
      </c>
      <c r="M8" s="125">
        <f>L8*1.1</f>
        <v>2840.3320000000003</v>
      </c>
      <c r="N8" s="29">
        <f>'Tariff Jul 2017'!AW2</f>
        <v>0</v>
      </c>
      <c r="O8" s="29">
        <f>'Tariff Jul 2017'!AX2</f>
        <v>0</v>
      </c>
      <c r="P8" s="29">
        <f>'Tariff Jul 2017'!AY2</f>
        <v>0</v>
      </c>
      <c r="Q8" s="29">
        <f>'Tariff Jul 2017'!AZ2</f>
        <v>10</v>
      </c>
      <c r="R8" s="123">
        <f>L8</f>
        <v>2582.12</v>
      </c>
      <c r="S8" s="123">
        <f>R8-(K8*Q8/100)</f>
        <v>2354.12</v>
      </c>
      <c r="T8" s="262">
        <f>R8*1.1</f>
        <v>2840.3320000000003</v>
      </c>
      <c r="U8" s="262">
        <f>S8*1.1</f>
        <v>2589.5320000000002</v>
      </c>
      <c r="V8" s="126">
        <f>'Tariff Jul 2017'!BG2</f>
        <v>0</v>
      </c>
      <c r="W8" s="127" t="str">
        <f>'Tariff Jul 2017'!BH2</f>
        <v>n</v>
      </c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</row>
    <row r="9" spans="1:43" x14ac:dyDescent="0.15">
      <c r="A9" s="111" t="str">
        <f>'Tariff Jul 2017'!K3</f>
        <v>Alinta Energy</v>
      </c>
      <c r="B9" s="29" t="str">
        <f>'Tariff Jul 2017'!L3</f>
        <v>Fair Deal</v>
      </c>
      <c r="C9" s="121">
        <f>91*'Tariff Jul 2017'!M3/100</f>
        <v>88.433800000000005</v>
      </c>
      <c r="D9" s="121">
        <f>IF($C$5&gt;='Tariff Jul 2017'!P3,('Tariff Jul 2017'!P3*'Tariff Jul 2017'!N3/100),($C$5*'Tariff Jul 2017'!N3/100))</f>
        <v>117.09</v>
      </c>
      <c r="E9" s="121">
        <f>IF($C$5&lt;'Tariff Jul 2017'!P3,0,IF(($C$5-'Tariff Jul 2017'!P3)&lt;='Tariff Jul 2017'!R3,(($C$5-'Tariff Jul 2017'!P3)*'Tariff Jul 2017'!Q3/100),(('Tariff Jul 2017'!R3-'Tariff Jul 2017'!P3)*'Tariff Jul 2017'!Q3/100)))</f>
        <v>284.33999999999997</v>
      </c>
      <c r="F9" s="122">
        <f>IF($C$5&lt;'Tariff Jul 2017'!R3,0,IF(($C$5-'Tariff Jul 2017'!R3)&lt;='Tariff Jul 2017'!T3,(($C$5-'Tariff Jul 2017'!R3)*'Tariff Jul 2017'!S3/100),(('Tariff Jul 2017'!T3-'Tariff Jul 2017'!R3)*'Tariff Jul 2017'!S3/100)))</f>
        <v>223.4</v>
      </c>
      <c r="G9" s="121">
        <v>0</v>
      </c>
      <c r="H9" s="121">
        <v>0</v>
      </c>
      <c r="I9" s="121">
        <f>IF(($C$5&lt;'Tariff Jul 2017'!T3),(0),($C$5-'Tariff Jul 2017'!T3)*'Tariff Jul 2017'!U3/100)</f>
        <v>0</v>
      </c>
      <c r="J9" s="121">
        <f t="shared" ref="J9:J21" si="0">SUM(C9:I9)</f>
        <v>713.26379999999995</v>
      </c>
      <c r="K9" s="123">
        <f>(J9-C9)*4</f>
        <v>2499.3199999999997</v>
      </c>
      <c r="L9" s="124">
        <f t="shared" ref="L9:L21" si="1">J9*4</f>
        <v>2853.0551999999998</v>
      </c>
      <c r="M9" s="125">
        <f t="shared" ref="M9:M21" si="2">L9*1.1</f>
        <v>3138.3607200000001</v>
      </c>
      <c r="N9" s="29">
        <f>'Tariff Jul 2017'!AW3</f>
        <v>0</v>
      </c>
      <c r="O9" s="29">
        <f>'Tariff Jul 2017'!AX3</f>
        <v>0</v>
      </c>
      <c r="P9" s="29">
        <f>'Tariff Jul 2017'!AY3</f>
        <v>0</v>
      </c>
      <c r="Q9" s="29">
        <f>'Tariff Jul 2017'!AZ3</f>
        <v>25</v>
      </c>
      <c r="R9" s="123">
        <f t="shared" ref="R9:R21" si="3">L9</f>
        <v>2853.0551999999998</v>
      </c>
      <c r="S9" s="123">
        <f>R9-(K9*Q9/100)</f>
        <v>2228.2251999999999</v>
      </c>
      <c r="T9" s="262">
        <f t="shared" ref="T9:U21" si="4">R9*1.1</f>
        <v>3138.3607200000001</v>
      </c>
      <c r="U9" s="262">
        <f t="shared" si="4"/>
        <v>2451.04772</v>
      </c>
      <c r="V9" s="126">
        <f>'Tariff Jul 2017'!BG3</f>
        <v>0</v>
      </c>
      <c r="W9" s="127" t="str">
        <f>'Tariff Jul 2017'!BH3</f>
        <v>n</v>
      </c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</row>
    <row r="10" spans="1:43" x14ac:dyDescent="0.15">
      <c r="A10" s="111" t="str">
        <f>'Tariff Jul 2017'!K4</f>
        <v>Click Energy</v>
      </c>
      <c r="B10" s="29" t="str">
        <f>'Tariff Jul 2017'!L4</f>
        <v>Jade</v>
      </c>
      <c r="C10" s="121">
        <f>91*'Tariff Jul 2017'!M4/100</f>
        <v>76.674779999999998</v>
      </c>
      <c r="D10" s="121">
        <f>IF($C$5&gt;='Tariff Jul 2017'!P4,('Tariff Jul 2017'!P4*'Tariff Jul 2017'!N4/100),($C$5*'Tariff Jul 2017'!N4/100))</f>
        <v>444.54</v>
      </c>
      <c r="E10" s="121">
        <v>0</v>
      </c>
      <c r="F10" s="122">
        <v>0</v>
      </c>
      <c r="G10" s="121">
        <v>0</v>
      </c>
      <c r="H10" s="121">
        <v>0</v>
      </c>
      <c r="I10" s="121">
        <f>IF(($C$5&lt;'Tariff Jul 2017'!T4),(0),($C$5-'Tariff Jul 2017'!T4)*'Tariff Jul 2017'!U4/100)</f>
        <v>232.5</v>
      </c>
      <c r="J10" s="121">
        <f t="shared" si="0"/>
        <v>753.71478000000002</v>
      </c>
      <c r="K10" s="123">
        <f t="shared" ref="K10:K20" si="5">(J10-C10)*4</f>
        <v>2708.16</v>
      </c>
      <c r="L10" s="124">
        <f t="shared" si="1"/>
        <v>3014.8591200000001</v>
      </c>
      <c r="M10" s="125">
        <f t="shared" si="2"/>
        <v>3316.3450320000002</v>
      </c>
      <c r="N10" s="29">
        <f>'Tariff Jul 2017'!AW4</f>
        <v>0</v>
      </c>
      <c r="O10" s="29">
        <f>'Tariff Jul 2017'!AX4</f>
        <v>0</v>
      </c>
      <c r="P10" s="29">
        <f>'Tariff Jul 2017'!AY4</f>
        <v>15</v>
      </c>
      <c r="Q10" s="29">
        <f>'Tariff Jul 2017'!AZ4</f>
        <v>0</v>
      </c>
      <c r="R10" s="123">
        <f t="shared" si="3"/>
        <v>3014.8591200000001</v>
      </c>
      <c r="S10" s="123">
        <f>R10-(R10*P10/100)</f>
        <v>2562.6302519999999</v>
      </c>
      <c r="T10" s="262">
        <f t="shared" si="4"/>
        <v>3316.3450320000002</v>
      </c>
      <c r="U10" s="262">
        <f t="shared" si="4"/>
        <v>2818.8932772000003</v>
      </c>
      <c r="V10" s="126">
        <f>'Tariff Jul 2017'!BG4</f>
        <v>0</v>
      </c>
      <c r="W10" s="127" t="str">
        <f>'Tariff Jul 2017'!BH4</f>
        <v>n</v>
      </c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</row>
    <row r="11" spans="1:43" x14ac:dyDescent="0.15">
      <c r="A11" s="111" t="str">
        <f>'Tariff Jul 2017'!K5</f>
        <v>Commander</v>
      </c>
      <c r="B11" s="29" t="str">
        <f>'Tariff Jul 2017'!L5</f>
        <v>Market offer</v>
      </c>
      <c r="C11" s="121">
        <f>91*'Tariff Jul 2017'!M5/100</f>
        <v>73.664500000000004</v>
      </c>
      <c r="D11" s="121">
        <f>IF($C$5&gt;='Tariff Jul 2017'!P5,('Tariff Jul 2017'!P5*'Tariff Jul 2017'!N5/100),($C$5*'Tariff Jul 2017'!N5/100))</f>
        <v>409</v>
      </c>
      <c r="E11" s="121">
        <v>0</v>
      </c>
      <c r="F11" s="122">
        <v>0</v>
      </c>
      <c r="G11" s="121">
        <v>0</v>
      </c>
      <c r="H11" s="121">
        <v>0</v>
      </c>
      <c r="I11" s="121">
        <f>IF(($C$5&lt;'Tariff Jul 2017'!T5),(0),($C$5-'Tariff Jul 2017'!T5)*'Tariff Jul 2017'!U5/100)</f>
        <v>222</v>
      </c>
      <c r="J11" s="121">
        <f t="shared" si="0"/>
        <v>704.66449999999998</v>
      </c>
      <c r="K11" s="123">
        <f t="shared" si="5"/>
        <v>2524</v>
      </c>
      <c r="L11" s="124">
        <f t="shared" si="1"/>
        <v>2818.6579999999999</v>
      </c>
      <c r="M11" s="125">
        <f t="shared" si="2"/>
        <v>3100.5237999999999</v>
      </c>
      <c r="N11" s="29">
        <f>'Tariff Jul 2017'!AW5</f>
        <v>0</v>
      </c>
      <c r="O11" s="29">
        <f>'Tariff Jul 2017'!AX5</f>
        <v>0</v>
      </c>
      <c r="P11" s="29">
        <f>'Tariff Jul 2017'!AY5</f>
        <v>0</v>
      </c>
      <c r="Q11" s="29">
        <f>'Tariff Jul 2017'!AZ5</f>
        <v>20</v>
      </c>
      <c r="R11" s="123">
        <f t="shared" si="3"/>
        <v>2818.6579999999999</v>
      </c>
      <c r="S11" s="123">
        <f>R11-(K11*Q11/100)</f>
        <v>2313.8579999999997</v>
      </c>
      <c r="T11" s="262">
        <f t="shared" si="4"/>
        <v>3100.5237999999999</v>
      </c>
      <c r="U11" s="262">
        <f t="shared" si="4"/>
        <v>2545.2437999999997</v>
      </c>
      <c r="V11" s="126">
        <f>'Tariff Jul 2017'!BG5</f>
        <v>0</v>
      </c>
      <c r="W11" s="127" t="str">
        <f>'Tariff Jul 2017'!BH5</f>
        <v>n</v>
      </c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</row>
    <row r="12" spans="1:43" x14ac:dyDescent="0.15">
      <c r="A12" s="111" t="str">
        <f>'Tariff Jul 2017'!K6</f>
        <v>Diamond Energy</v>
      </c>
      <c r="B12" s="29" t="str">
        <f>'Tariff Jul 2017'!L6</f>
        <v>Pay on time discount</v>
      </c>
      <c r="C12" s="121">
        <f>91*'Tariff Jul 2017'!M6/100</f>
        <v>79.124499999999998</v>
      </c>
      <c r="D12" s="121">
        <f>IF($C$5&gt;='Tariff Jul 2017'!P6,('Tariff Jul 2017'!P6*'Tariff Jul 2017'!N6/100),($C$5*'Tariff Jul 2017'!N6/100))</f>
        <v>99.78</v>
      </c>
      <c r="E12" s="121">
        <f>IF($C$5&lt;'Tariff Jul 2017'!P6,0,IF(($C$5-'Tariff Jul 2017'!P6)&lt;='Tariff Jul 2017'!R6,(($C$5-'Tariff Jul 2017'!P6)*'Tariff Jul 2017'!Q6/100),(('Tariff Jul 2017'!R6-'Tariff Jul 2017'!P6)*'Tariff Jul 2017'!Q6/100)))</f>
        <v>251.23</v>
      </c>
      <c r="F12" s="122">
        <f>IF($C$5&lt;'Tariff Jul 2017'!R6,0,IF(($C$5-'Tariff Jul 2017'!R6)&lt;='Tariff Jul 2017'!T6,(($C$5-'Tariff Jul 2017'!R6)*'Tariff Jul 2017'!S6/100),(('Tariff Jul 2017'!T6-'Tariff Jul 2017'!R6)*'Tariff Jul 2017'!S6/100)))</f>
        <v>194.75</v>
      </c>
      <c r="G12" s="121">
        <v>0</v>
      </c>
      <c r="H12" s="121">
        <v>0</v>
      </c>
      <c r="I12" s="121">
        <f>IF(($C$5&lt;'Tariff Jul 2017'!T6),(0),($C$5-'Tariff Jul 2017'!T6)*'Tariff Jul 2017'!U6/100)</f>
        <v>0</v>
      </c>
      <c r="J12" s="121">
        <f t="shared" si="0"/>
        <v>624.8845</v>
      </c>
      <c r="K12" s="123">
        <f t="shared" si="5"/>
        <v>2183.04</v>
      </c>
      <c r="L12" s="124">
        <f t="shared" si="1"/>
        <v>2499.538</v>
      </c>
      <c r="M12" s="125">
        <f t="shared" si="2"/>
        <v>2749.4918000000002</v>
      </c>
      <c r="N12" s="29">
        <f>'Tariff Jul 2017'!AW6</f>
        <v>0</v>
      </c>
      <c r="O12" s="29">
        <f>'Tariff Jul 2017'!AX6</f>
        <v>0</v>
      </c>
      <c r="P12" s="29">
        <f>'Tariff Jul 2017'!AY6</f>
        <v>7</v>
      </c>
      <c r="Q12" s="29">
        <f>'Tariff Jul 2017'!AZ6</f>
        <v>0</v>
      </c>
      <c r="R12" s="123">
        <f t="shared" si="3"/>
        <v>2499.538</v>
      </c>
      <c r="S12" s="123">
        <f>R12-(R12*P12/100)</f>
        <v>2324.5703400000002</v>
      </c>
      <c r="T12" s="262">
        <f t="shared" si="4"/>
        <v>2749.4918000000002</v>
      </c>
      <c r="U12" s="262">
        <f t="shared" si="4"/>
        <v>2557.0273740000002</v>
      </c>
      <c r="V12" s="126">
        <f>'Tariff Jul 2017'!BG6</f>
        <v>24</v>
      </c>
      <c r="W12" s="127" t="str">
        <f>'Tariff Jul 2017'!BH6</f>
        <v>y</v>
      </c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</row>
    <row r="13" spans="1:43" x14ac:dyDescent="0.15">
      <c r="A13" s="111" t="str">
        <f>'Tariff Jul 2017'!K7</f>
        <v>Dodo Power &amp; Gas</v>
      </c>
      <c r="B13" s="29" t="str">
        <f>'Tariff Jul 2017'!L7</f>
        <v>Market offer</v>
      </c>
      <c r="C13" s="121">
        <f>91*'Tariff Jul 2017'!M7/100</f>
        <v>73.664500000000004</v>
      </c>
      <c r="D13" s="121">
        <f>IF($C$5&gt;='Tariff Jul 2017'!P7,('Tariff Jul 2017'!P7*'Tariff Jul 2017'!N7/100),($C$5*'Tariff Jul 2017'!N7/100))</f>
        <v>426.5</v>
      </c>
      <c r="E13" s="121">
        <v>0</v>
      </c>
      <c r="F13" s="122">
        <v>0</v>
      </c>
      <c r="G13" s="121">
        <v>0</v>
      </c>
      <c r="H13" s="121">
        <v>0</v>
      </c>
      <c r="I13" s="121">
        <f>IF(($C$5&lt;'Tariff Jul 2017'!T7),(0),($C$5-'Tariff Jul 2017'!T7)*'Tariff Jul 2017'!U7/100)</f>
        <v>231.25</v>
      </c>
      <c r="J13" s="121">
        <f t="shared" si="0"/>
        <v>731.41449999999998</v>
      </c>
      <c r="K13" s="123">
        <f t="shared" si="5"/>
        <v>2631</v>
      </c>
      <c r="L13" s="124">
        <f t="shared" si="1"/>
        <v>2925.6579999999999</v>
      </c>
      <c r="M13" s="125">
        <f t="shared" si="2"/>
        <v>3218.2238000000002</v>
      </c>
      <c r="N13" s="29">
        <f>'Tariff Jul 2017'!AW7</f>
        <v>0</v>
      </c>
      <c r="O13" s="29">
        <f>'Tariff Jul 2017'!AX7</f>
        <v>0</v>
      </c>
      <c r="P13" s="29">
        <f>'Tariff Jul 2017'!AY7</f>
        <v>0</v>
      </c>
      <c r="Q13" s="29">
        <f>'Tariff Jul 2017'!AZ7</f>
        <v>0</v>
      </c>
      <c r="R13" s="123">
        <f t="shared" si="3"/>
        <v>2925.6579999999999</v>
      </c>
      <c r="S13" s="123">
        <f>R13-(K13*Q13/100)</f>
        <v>2925.6579999999999</v>
      </c>
      <c r="T13" s="262">
        <f t="shared" si="4"/>
        <v>3218.2238000000002</v>
      </c>
      <c r="U13" s="262">
        <f t="shared" si="4"/>
        <v>3218.2238000000002</v>
      </c>
      <c r="V13" s="126">
        <f>'Tariff Jul 2017'!BG7</f>
        <v>0</v>
      </c>
      <c r="W13" s="127" t="str">
        <f>'Tariff Jul 2017'!BH7</f>
        <v>n</v>
      </c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</row>
    <row r="14" spans="1:43" x14ac:dyDescent="0.15">
      <c r="A14" s="111" t="str">
        <f>'Tariff Jul 2017'!K8</f>
        <v>EnergyAustralia</v>
      </c>
      <c r="B14" s="29" t="str">
        <f>'Tariff Jul 2017'!L8</f>
        <v xml:space="preserve">Flexi Saver </v>
      </c>
      <c r="C14" s="121">
        <f>91*'Tariff Jul 2017'!M8/100</f>
        <v>81.536000000000001</v>
      </c>
      <c r="D14" s="121">
        <f>IF($C$5&gt;='Tariff Jul 2017'!P8,('Tariff Jul 2017'!P8*'Tariff Jul 2017'!N8/100),($C$5*'Tariff Jul 2017'!N8/100))</f>
        <v>422.7</v>
      </c>
      <c r="E14" s="121">
        <v>0</v>
      </c>
      <c r="F14" s="122">
        <v>0</v>
      </c>
      <c r="G14" s="121">
        <v>0</v>
      </c>
      <c r="H14" s="121">
        <v>0</v>
      </c>
      <c r="I14" s="121">
        <f>IF(($C$5&lt;'Tariff Jul 2017'!T8),(0),($C$5-'Tariff Jul 2017'!T8)*'Tariff Jul 2017'!U8/100)</f>
        <v>227.15</v>
      </c>
      <c r="J14" s="121">
        <f t="shared" si="0"/>
        <v>731.38599999999997</v>
      </c>
      <c r="K14" s="123">
        <f t="shared" si="5"/>
        <v>2599.3999999999996</v>
      </c>
      <c r="L14" s="124">
        <f t="shared" si="1"/>
        <v>2925.5439999999999</v>
      </c>
      <c r="M14" s="125">
        <f t="shared" si="2"/>
        <v>3218.0984000000003</v>
      </c>
      <c r="N14" s="29">
        <f>'Tariff Jul 2017'!AW8</f>
        <v>0</v>
      </c>
      <c r="O14" s="29">
        <f>'Tariff Jul 2017'!AX8</f>
        <v>0</v>
      </c>
      <c r="P14" s="29">
        <f>'Tariff Jul 2017'!AY8</f>
        <v>0</v>
      </c>
      <c r="Q14" s="29">
        <f>'Tariff Jul 2017'!AZ8</f>
        <v>18</v>
      </c>
      <c r="R14" s="123">
        <f t="shared" si="3"/>
        <v>2925.5439999999999</v>
      </c>
      <c r="S14" s="123">
        <f>R14-(K14*Q14/100)</f>
        <v>2457.652</v>
      </c>
      <c r="T14" s="262">
        <f t="shared" si="4"/>
        <v>3218.0984000000003</v>
      </c>
      <c r="U14" s="262">
        <f t="shared" si="4"/>
        <v>2703.4172000000003</v>
      </c>
      <c r="V14" s="126">
        <f>'Tariff Jul 2017'!BG8</f>
        <v>0</v>
      </c>
      <c r="W14" s="127" t="str">
        <f>'Tariff Jul 2017'!BH8</f>
        <v>n</v>
      </c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</row>
    <row r="15" spans="1:43" x14ac:dyDescent="0.15">
      <c r="A15" s="111" t="str">
        <f>'Tariff Jul 2017'!K9</f>
        <v>Lumo Energy</v>
      </c>
      <c r="B15" s="29" t="str">
        <f>'Tariff Jul 2017'!L9</f>
        <v>Advantage</v>
      </c>
      <c r="C15" s="121">
        <f>91*'Tariff Jul 2017'!M9/100</f>
        <v>78.123499999999993</v>
      </c>
      <c r="D15" s="121">
        <f>IF($C$5&gt;='Tariff Jul 2017'!P9,('Tariff Jul 2017'!P9*'Tariff Jul 2017'!N9/100),($C$5*'Tariff Jul 2017'!N9/100))</f>
        <v>377</v>
      </c>
      <c r="E15" s="121">
        <v>0</v>
      </c>
      <c r="F15" s="122">
        <v>0</v>
      </c>
      <c r="G15" s="121">
        <v>0</v>
      </c>
      <c r="H15" s="121">
        <v>0</v>
      </c>
      <c r="I15" s="121">
        <f>IF(($C$5&lt;'Tariff Jul 2017'!T9),(0),($C$5-'Tariff Jul 2017'!T9)*'Tariff Jul 2017'!U9/100)</f>
        <v>210.5</v>
      </c>
      <c r="J15" s="121">
        <f t="shared" si="0"/>
        <v>665.62349999999992</v>
      </c>
      <c r="K15" s="123">
        <f t="shared" si="5"/>
        <v>2349.9999999999995</v>
      </c>
      <c r="L15" s="124">
        <f t="shared" si="1"/>
        <v>2662.4939999999997</v>
      </c>
      <c r="M15" s="125">
        <f t="shared" si="2"/>
        <v>2928.7433999999998</v>
      </c>
      <c r="N15" s="29">
        <f>'Tariff Jul 2017'!AW9</f>
        <v>0</v>
      </c>
      <c r="O15" s="29">
        <f>'Tariff Jul 2017'!AX9</f>
        <v>0</v>
      </c>
      <c r="P15" s="29">
        <f>'Tariff Jul 2017'!AY9</f>
        <v>10</v>
      </c>
      <c r="Q15" s="29">
        <f>'Tariff Jul 2017'!AZ9</f>
        <v>0</v>
      </c>
      <c r="R15" s="123">
        <f t="shared" si="3"/>
        <v>2662.4939999999997</v>
      </c>
      <c r="S15" s="123">
        <f>R15-(R15*P15/100)</f>
        <v>2396.2446</v>
      </c>
      <c r="T15" s="262">
        <f t="shared" si="4"/>
        <v>2928.7433999999998</v>
      </c>
      <c r="U15" s="262">
        <f t="shared" si="4"/>
        <v>2635.86906</v>
      </c>
      <c r="V15" s="126">
        <f>'Tariff Jul 2017'!BG9</f>
        <v>0</v>
      </c>
      <c r="W15" s="127" t="str">
        <f>'Tariff Jul 2017'!BH9</f>
        <v>n</v>
      </c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</row>
    <row r="16" spans="1:43" x14ac:dyDescent="0.15">
      <c r="A16" s="111" t="str">
        <f>'Tariff Jul 2017'!K10</f>
        <v>Momentum Energy</v>
      </c>
      <c r="B16" s="29" t="str">
        <f>'Tariff Jul 2017'!L10</f>
        <v>SmilePower</v>
      </c>
      <c r="C16" s="121">
        <f>91*'Tariff Jul 2017'!M10/100</f>
        <v>75.156900000000007</v>
      </c>
      <c r="D16" s="121">
        <f>IF($C$5&gt;='Tariff Jul 2017'!P10,('Tariff Jul 2017'!P10*'Tariff Jul 2017'!N10/100),($C$5*'Tariff Jul 2017'!N10/100))</f>
        <v>230.28</v>
      </c>
      <c r="E16" s="121">
        <v>0</v>
      </c>
      <c r="F16" s="122">
        <v>0</v>
      </c>
      <c r="G16" s="121">
        <v>0</v>
      </c>
      <c r="H16" s="121">
        <v>0</v>
      </c>
      <c r="I16" s="121">
        <f>IF(($C$5&lt;'Tariff Jul 2017'!T10),(0),($C$5-'Tariff Jul 2017'!T10)*'Tariff Jul 2017'!U10/100)</f>
        <v>338.58</v>
      </c>
      <c r="J16" s="121">
        <f t="shared" si="0"/>
        <v>644.01690000000008</v>
      </c>
      <c r="K16" s="123">
        <f t="shared" si="5"/>
        <v>2275.4400000000005</v>
      </c>
      <c r="L16" s="124">
        <f t="shared" si="1"/>
        <v>2576.0676000000003</v>
      </c>
      <c r="M16" s="125">
        <f t="shared" si="2"/>
        <v>2833.6743600000004</v>
      </c>
      <c r="N16" s="29">
        <f>'Tariff Jul 2017'!AW10</f>
        <v>0</v>
      </c>
      <c r="O16" s="29">
        <f>'Tariff Jul 2017'!AX10</f>
        <v>0</v>
      </c>
      <c r="P16" s="29">
        <f>'Tariff Jul 2017'!AY10</f>
        <v>0</v>
      </c>
      <c r="Q16" s="29">
        <f>'Tariff Jul 2017'!AZ10</f>
        <v>0</v>
      </c>
      <c r="R16" s="123">
        <f t="shared" si="3"/>
        <v>2576.0676000000003</v>
      </c>
      <c r="S16" s="123">
        <f>R16</f>
        <v>2576.0676000000003</v>
      </c>
      <c r="T16" s="262">
        <f t="shared" si="4"/>
        <v>2833.6743600000004</v>
      </c>
      <c r="U16" s="262">
        <f t="shared" si="4"/>
        <v>2833.6743600000004</v>
      </c>
      <c r="V16" s="126">
        <f>'Tariff Jul 2017'!BG10</f>
        <v>12</v>
      </c>
      <c r="W16" s="127" t="str">
        <f>'Tariff Jul 2017'!BH10</f>
        <v>y</v>
      </c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</row>
    <row r="17" spans="1:43" x14ac:dyDescent="0.15">
      <c r="A17" s="111" t="str">
        <f>'Tariff Jul 2017'!K11</f>
        <v>Origin Energy</v>
      </c>
      <c r="B17" s="29" t="str">
        <f>'Tariff Jul 2017'!L11</f>
        <v>Saver</v>
      </c>
      <c r="C17" s="121">
        <f>91*'Tariff Jul 2017'!M11/100</f>
        <v>75.484499999999997</v>
      </c>
      <c r="D17" s="121">
        <f>IF($C$5&gt;='Tariff Jul 2017'!P11,('Tariff Jul 2017'!P11*'Tariff Jul 2017'!N11/100),($C$5*'Tariff Jul 2017'!N11/100))</f>
        <v>367.5</v>
      </c>
      <c r="E17" s="121">
        <v>0</v>
      </c>
      <c r="F17" s="122">
        <v>0</v>
      </c>
      <c r="G17" s="121">
        <v>0</v>
      </c>
      <c r="H17" s="121">
        <v>0</v>
      </c>
      <c r="I17" s="121">
        <f>IF(($C$5&lt;'Tariff Jul 2017'!T11),(0),($C$5-'Tariff Jul 2017'!T11)*'Tariff Jul 2017'!U11/100)</f>
        <v>196.15</v>
      </c>
      <c r="J17" s="121">
        <f t="shared" si="0"/>
        <v>639.1345</v>
      </c>
      <c r="K17" s="123">
        <f t="shared" si="5"/>
        <v>2254.6</v>
      </c>
      <c r="L17" s="124">
        <f t="shared" si="1"/>
        <v>2556.538</v>
      </c>
      <c r="M17" s="125">
        <f t="shared" si="2"/>
        <v>2812.1918000000001</v>
      </c>
      <c r="N17" s="29">
        <f>'Tariff Jul 2017'!AW11</f>
        <v>0</v>
      </c>
      <c r="O17" s="29">
        <f>'Tariff Jul 2017'!AX11</f>
        <v>0</v>
      </c>
      <c r="P17" s="29">
        <f>'Tariff Jul 2017'!AY11</f>
        <v>0</v>
      </c>
      <c r="Q17" s="29">
        <f>'Tariff Jul 2017'!AZ11</f>
        <v>14</v>
      </c>
      <c r="R17" s="123">
        <f t="shared" si="3"/>
        <v>2556.538</v>
      </c>
      <c r="S17" s="123">
        <f>R17-(K17*Q17/100)</f>
        <v>2240.8940000000002</v>
      </c>
      <c r="T17" s="262">
        <f t="shared" si="4"/>
        <v>2812.1918000000001</v>
      </c>
      <c r="U17" s="262">
        <f t="shared" si="4"/>
        <v>2464.9834000000005</v>
      </c>
      <c r="V17" s="126">
        <f>'Tariff Jul 2017'!BG11</f>
        <v>0</v>
      </c>
      <c r="W17" s="127" t="str">
        <f>'Tariff Jul 2017'!BH11</f>
        <v>n</v>
      </c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</row>
    <row r="18" spans="1:43" x14ac:dyDescent="0.15">
      <c r="A18" s="111" t="str">
        <f>'Tariff Jul 2017'!K12</f>
        <v>Powerdirect</v>
      </c>
      <c r="B18" s="29" t="str">
        <f>'Tariff Jul 2017'!L12</f>
        <v>Market offer</v>
      </c>
      <c r="C18" s="121">
        <f>91*'Tariff Jul 2017'!M12/100</f>
        <v>75.53</v>
      </c>
      <c r="D18" s="121">
        <f>$C$5*'Tariff Jul 2017'!N12/100</f>
        <v>570</v>
      </c>
      <c r="E18" s="121">
        <v>0</v>
      </c>
      <c r="F18" s="122">
        <v>0</v>
      </c>
      <c r="G18" s="121">
        <v>0</v>
      </c>
      <c r="H18" s="121">
        <v>0</v>
      </c>
      <c r="I18" s="121">
        <v>0</v>
      </c>
      <c r="J18" s="121">
        <f t="shared" si="0"/>
        <v>645.53</v>
      </c>
      <c r="K18" s="123">
        <f t="shared" si="5"/>
        <v>2280</v>
      </c>
      <c r="L18" s="124">
        <f t="shared" si="1"/>
        <v>2582.12</v>
      </c>
      <c r="M18" s="125">
        <f t="shared" si="2"/>
        <v>2840.3320000000003</v>
      </c>
      <c r="N18" s="29">
        <f>'Tariff Jul 2017'!AW12</f>
        <v>0</v>
      </c>
      <c r="O18" s="29">
        <f>'Tariff Jul 2017'!AX12</f>
        <v>0</v>
      </c>
      <c r="P18" s="29">
        <f>'Tariff Jul 2017'!AY12</f>
        <v>0</v>
      </c>
      <c r="Q18" s="29">
        <f>'Tariff Jul 2017'!AZ12</f>
        <v>14</v>
      </c>
      <c r="R18" s="123">
        <f t="shared" si="3"/>
        <v>2582.12</v>
      </c>
      <c r="S18" s="123">
        <f>R18-(K18*Q18/100)</f>
        <v>2262.92</v>
      </c>
      <c r="T18" s="262">
        <f t="shared" si="4"/>
        <v>2840.3320000000003</v>
      </c>
      <c r="U18" s="262">
        <f t="shared" si="4"/>
        <v>2489.2120000000004</v>
      </c>
      <c r="V18" s="126">
        <f>'Tariff Jul 2017'!BG12</f>
        <v>24</v>
      </c>
      <c r="W18" s="127" t="str">
        <f>'Tariff Jul 2017'!BH12</f>
        <v>n</v>
      </c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</row>
    <row r="19" spans="1:43" x14ac:dyDescent="0.15">
      <c r="A19" s="111" t="str">
        <f>'Tariff Jul 2017'!K13</f>
        <v>Red Energy</v>
      </c>
      <c r="B19" s="29" t="str">
        <f>'Tariff Jul 2017'!L13</f>
        <v>No exit fee saver</v>
      </c>
      <c r="C19" s="121">
        <f>91*'Tariff Jul 2017'!M13/100</f>
        <v>78.123499999999993</v>
      </c>
      <c r="D19" s="121">
        <f>IF($C$5&gt;='Tariff Jul 2017'!P13,('Tariff Jul 2017'!P13*'Tariff Jul 2017'!N13/100),($C$5*'Tariff Jul 2017'!N13/100))</f>
        <v>377</v>
      </c>
      <c r="E19" s="121">
        <v>0</v>
      </c>
      <c r="F19" s="122">
        <v>0</v>
      </c>
      <c r="G19" s="121">
        <v>0</v>
      </c>
      <c r="H19" s="121">
        <v>0</v>
      </c>
      <c r="I19" s="121">
        <f>IF(($C$5&lt;'Tariff Jul 2017'!T13),(0),($C$5-'Tariff Jul 2017'!T13)*'Tariff Jul 2017'!U13/100)</f>
        <v>210.5</v>
      </c>
      <c r="J19" s="121">
        <f t="shared" si="0"/>
        <v>665.62349999999992</v>
      </c>
      <c r="K19" s="123">
        <f t="shared" si="5"/>
        <v>2349.9999999999995</v>
      </c>
      <c r="L19" s="124">
        <f t="shared" si="1"/>
        <v>2662.4939999999997</v>
      </c>
      <c r="M19" s="125">
        <f t="shared" si="2"/>
        <v>2928.7433999999998</v>
      </c>
      <c r="N19" s="29">
        <f>'Tariff Jul 2017'!AW13</f>
        <v>0</v>
      </c>
      <c r="O19" s="29">
        <f>'Tariff Jul 2017'!AX13</f>
        <v>0</v>
      </c>
      <c r="P19" s="29">
        <f>'Tariff Jul 2017'!AY13</f>
        <v>10</v>
      </c>
      <c r="Q19" s="29">
        <f>'Tariff Jul 2017'!AZ13</f>
        <v>0</v>
      </c>
      <c r="R19" s="123">
        <f t="shared" si="3"/>
        <v>2662.4939999999997</v>
      </c>
      <c r="S19" s="123">
        <f>R19-(R19*P19/100)</f>
        <v>2396.2446</v>
      </c>
      <c r="T19" s="262">
        <f t="shared" si="4"/>
        <v>2928.7433999999998</v>
      </c>
      <c r="U19" s="262">
        <f t="shared" si="4"/>
        <v>2635.86906</v>
      </c>
      <c r="V19" s="126">
        <f>'Tariff Jul 2017'!BG13</f>
        <v>0</v>
      </c>
      <c r="W19" s="127" t="str">
        <f>'Tariff Jul 2017'!BH13</f>
        <v>n</v>
      </c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</row>
    <row r="20" spans="1:43" x14ac:dyDescent="0.15">
      <c r="A20" s="111" t="str">
        <f>'Tariff Jul 2017'!K14</f>
        <v>Sanctuary Energy</v>
      </c>
      <c r="B20" s="29" t="str">
        <f>'Tariff Jul 2017'!L14</f>
        <v>Negotiated contract</v>
      </c>
      <c r="C20" s="121">
        <f>91*'Tariff Jul 2017'!M14/100</f>
        <v>68.692260000000005</v>
      </c>
      <c r="D20" s="121">
        <f>IF($C$5&gt;='Tariff Jul 2017'!P14,('Tariff Jul 2017'!P14*'Tariff Jul 2017'!N14/100),($C$5*'Tariff Jul 2017'!N14/100))</f>
        <v>100.49849999999998</v>
      </c>
      <c r="E20" s="121">
        <f>IF($C$5&lt;'Tariff Jul 2017'!P14,0,IF(($C$5-'Tariff Jul 2017'!P14)&lt;='Tariff Jul 2017'!R14,(($C$5-'Tariff Jul 2017'!P14)*'Tariff Jul 2017'!Q14/100),(('Tariff Jul 2017'!R14-'Tariff Jul 2017'!P14)*'Tariff Jul 2017'!Q14/100)))</f>
        <v>238.92399999999998</v>
      </c>
      <c r="F20" s="122">
        <f>IF($C$5&lt;'Tariff Jul 2017'!R14,0,IF(($C$5-'Tariff Jul 2017'!R14)&lt;='Tariff Jul 2017'!T14,(($C$5-'Tariff Jul 2017'!R14)*'Tariff Jul 2017'!S14/100),(('Tariff Jul 2017'!T14-'Tariff Jul 2017'!R14)*'Tariff Jul 2017'!S14/100)))</f>
        <v>195.32749999999999</v>
      </c>
      <c r="G20" s="121">
        <v>0</v>
      </c>
      <c r="H20" s="121">
        <v>0</v>
      </c>
      <c r="I20" s="121">
        <f>IF(($C$5&lt;'Tariff Jul 2017'!T14),(0),($C$5-'Tariff Jul 2017'!T14)*'Tariff Jul 2017'!U14/100)</f>
        <v>0</v>
      </c>
      <c r="J20" s="121">
        <f t="shared" si="0"/>
        <v>603.44225999999992</v>
      </c>
      <c r="K20" s="123">
        <f t="shared" si="5"/>
        <v>2138.9999999999995</v>
      </c>
      <c r="L20" s="124">
        <f t="shared" si="1"/>
        <v>2413.7690399999997</v>
      </c>
      <c r="M20" s="125">
        <f t="shared" si="2"/>
        <v>2655.1459439999999</v>
      </c>
      <c r="N20" s="29">
        <f>'Tariff Jul 2017'!AW14</f>
        <v>0</v>
      </c>
      <c r="O20" s="29">
        <f>'Tariff Jul 2017'!AX14</f>
        <v>0</v>
      </c>
      <c r="P20" s="29">
        <f>'Tariff Jul 2017'!AY14</f>
        <v>0</v>
      </c>
      <c r="Q20" s="29">
        <f>'Tariff Jul 2017'!AZ14</f>
        <v>0</v>
      </c>
      <c r="R20" s="123">
        <f t="shared" si="3"/>
        <v>2413.7690399999997</v>
      </c>
      <c r="S20" s="123">
        <f>R20</f>
        <v>2413.7690399999997</v>
      </c>
      <c r="T20" s="262">
        <f t="shared" si="4"/>
        <v>2655.1459439999999</v>
      </c>
      <c r="U20" s="262">
        <f t="shared" si="4"/>
        <v>2655.1459439999999</v>
      </c>
      <c r="V20" s="126">
        <f>'Tariff Jul 2017'!BG14</f>
        <v>36</v>
      </c>
      <c r="W20" s="127" t="str">
        <f>'Tariff Jul 2017'!BH14</f>
        <v>n</v>
      </c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</row>
    <row r="21" spans="1:43" ht="14" thickBot="1" x14ac:dyDescent="0.2">
      <c r="A21" s="128" t="str">
        <f>'Tariff Jul 2017'!K15</f>
        <v>Simply Energy</v>
      </c>
      <c r="B21" s="129" t="str">
        <f>'Tariff Jul 2017'!L15</f>
        <v>Plus</v>
      </c>
      <c r="C21" s="130">
        <f>91*'Tariff Jul 2017'!M15/100</f>
        <v>57.921499999999995</v>
      </c>
      <c r="D21" s="130">
        <f>IF($C$5&gt;='Tariff Jul 2017'!P15,('Tariff Jul 2017'!P15*'Tariff Jul 2017'!N15/100),($C$5*'Tariff Jul 2017'!N15/100))</f>
        <v>324.39999999999998</v>
      </c>
      <c r="E21" s="130">
        <v>0</v>
      </c>
      <c r="F21" s="131">
        <v>0</v>
      </c>
      <c r="G21" s="130">
        <v>0</v>
      </c>
      <c r="H21" s="130">
        <v>0</v>
      </c>
      <c r="I21" s="130">
        <f>IF(($C$5&lt;'Tariff Jul 2017'!T15),(0),($C$5-'Tariff Jul 2017'!T15)*'Tariff Jul 2017'!U15/100)</f>
        <v>181.9</v>
      </c>
      <c r="J21" s="130">
        <f t="shared" si="0"/>
        <v>564.22149999999999</v>
      </c>
      <c r="K21" s="132">
        <f>(J21-C21)*4</f>
        <v>2025.2</v>
      </c>
      <c r="L21" s="133">
        <f t="shared" si="1"/>
        <v>2256.886</v>
      </c>
      <c r="M21" s="134">
        <f t="shared" si="2"/>
        <v>2482.5746000000004</v>
      </c>
      <c r="N21" s="129">
        <f>'Tariff Jul 2017'!AW15</f>
        <v>0</v>
      </c>
      <c r="O21" s="129">
        <f>'Tariff Jul 2017'!AX15</f>
        <v>0</v>
      </c>
      <c r="P21" s="129">
        <f>'Tariff Jul 2017'!AY15</f>
        <v>0</v>
      </c>
      <c r="Q21" s="129">
        <f>'Tariff Jul 2017'!AZ15</f>
        <v>15</v>
      </c>
      <c r="R21" s="132">
        <f t="shared" si="3"/>
        <v>2256.886</v>
      </c>
      <c r="S21" s="132">
        <f>R21-(K21*Q21/100)</f>
        <v>1953.106</v>
      </c>
      <c r="T21" s="263">
        <f t="shared" si="4"/>
        <v>2482.5746000000004</v>
      </c>
      <c r="U21" s="263">
        <f t="shared" si="4"/>
        <v>2148.4166</v>
      </c>
      <c r="V21" s="135">
        <f>'Tariff Jul 2017'!BG15</f>
        <v>24</v>
      </c>
      <c r="W21" s="136" t="str">
        <f>'Tariff Jul 2017'!BH15</f>
        <v>y</v>
      </c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</row>
    <row r="22" spans="1:43" s="149" customFormat="1" x14ac:dyDescent="0.15"/>
    <row r="23" spans="1:43" s="149" customFormat="1" ht="14" thickBot="1" x14ac:dyDescent="0.2"/>
    <row r="24" spans="1:43" ht="14" x14ac:dyDescent="0.15">
      <c r="A24" s="116" t="s">
        <v>355</v>
      </c>
      <c r="B24" s="117"/>
      <c r="C24" s="117"/>
      <c r="D24" s="137"/>
      <c r="E24" s="137"/>
      <c r="F24" s="137"/>
      <c r="G24" s="138"/>
      <c r="H24" s="138"/>
      <c r="I24" s="117"/>
      <c r="J24" s="117"/>
      <c r="K24" s="138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8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</row>
    <row r="25" spans="1:43" ht="14" x14ac:dyDescent="0.15">
      <c r="A25" s="119" t="s">
        <v>72</v>
      </c>
      <c r="B25" s="60"/>
      <c r="C25" s="143">
        <v>1875</v>
      </c>
      <c r="D25" s="139"/>
      <c r="E25" s="139"/>
      <c r="F25" s="139"/>
      <c r="G25" s="140"/>
      <c r="H25" s="140"/>
      <c r="I25" s="60"/>
      <c r="J25" s="60"/>
      <c r="K25" s="14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120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</row>
    <row r="26" spans="1:43" ht="14" x14ac:dyDescent="0.15">
      <c r="A26" s="119" t="s">
        <v>241</v>
      </c>
      <c r="B26" s="60"/>
      <c r="C26" s="144">
        <v>0.8</v>
      </c>
      <c r="D26" s="139"/>
      <c r="E26" s="139"/>
      <c r="F26" s="139"/>
      <c r="G26" s="140"/>
      <c r="H26" s="140"/>
      <c r="I26" s="60"/>
      <c r="J26" s="60"/>
      <c r="K26" s="14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120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</row>
    <row r="27" spans="1:43" ht="14" x14ac:dyDescent="0.15">
      <c r="A27" s="119" t="s">
        <v>143</v>
      </c>
      <c r="B27" s="60"/>
      <c r="C27" s="144">
        <v>0.2</v>
      </c>
      <c r="D27" s="139"/>
      <c r="E27" s="139"/>
      <c r="F27" s="139"/>
      <c r="G27" s="140"/>
      <c r="H27" s="140"/>
      <c r="I27" s="60"/>
      <c r="J27" s="60"/>
      <c r="K27" s="14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120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</row>
    <row r="28" spans="1:43" ht="14" x14ac:dyDescent="0.15">
      <c r="A28" s="119"/>
      <c r="B28" s="60"/>
      <c r="C28" s="139"/>
      <c r="D28" s="139"/>
      <c r="E28" s="139"/>
      <c r="F28" s="139"/>
      <c r="G28" s="140"/>
      <c r="H28" s="140"/>
      <c r="I28" s="60"/>
      <c r="J28" s="60"/>
      <c r="K28" s="14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120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</row>
    <row r="29" spans="1:43" ht="75" x14ac:dyDescent="0.15">
      <c r="A29" s="239" t="s">
        <v>278</v>
      </c>
      <c r="B29" s="240" t="s">
        <v>73</v>
      </c>
      <c r="C29" s="248" t="s">
        <v>74</v>
      </c>
      <c r="D29" s="248" t="s">
        <v>75</v>
      </c>
      <c r="E29" s="241" t="s">
        <v>164</v>
      </c>
      <c r="F29" s="241" t="s">
        <v>165</v>
      </c>
      <c r="G29" s="241" t="s">
        <v>239</v>
      </c>
      <c r="H29" s="241" t="s">
        <v>356</v>
      </c>
      <c r="I29" s="241" t="s">
        <v>357</v>
      </c>
      <c r="J29" s="241" t="s">
        <v>958</v>
      </c>
      <c r="K29" s="242" t="s">
        <v>171</v>
      </c>
      <c r="L29" s="242" t="s">
        <v>172</v>
      </c>
      <c r="M29" s="242" t="s">
        <v>173</v>
      </c>
      <c r="N29" s="243" t="s">
        <v>174</v>
      </c>
      <c r="O29" s="243" t="s">
        <v>175</v>
      </c>
      <c r="P29" s="243" t="s">
        <v>76</v>
      </c>
      <c r="Q29" s="243" t="s">
        <v>77</v>
      </c>
      <c r="R29" s="244" t="s">
        <v>295</v>
      </c>
      <c r="S29" s="244" t="s">
        <v>358</v>
      </c>
      <c r="T29" s="245" t="s">
        <v>353</v>
      </c>
      <c r="U29" s="244" t="s">
        <v>354</v>
      </c>
      <c r="V29" s="246" t="s">
        <v>359</v>
      </c>
      <c r="W29" s="247" t="s">
        <v>360</v>
      </c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</row>
    <row r="30" spans="1:43" x14ac:dyDescent="0.15">
      <c r="A30" s="111" t="str">
        <f>'Tariff Jul 2017'!K16</f>
        <v>AGL</v>
      </c>
      <c r="B30" s="29" t="str">
        <f>'Tariff Jul 2017'!L16</f>
        <v xml:space="preserve">Savers </v>
      </c>
      <c r="C30" s="141">
        <f>91*'Tariff Jul 2017'!M16/100</f>
        <v>75.53</v>
      </c>
      <c r="D30" s="141">
        <f>($C$25*$C$26)*'Tariff Jul 2017'!N16/100</f>
        <v>570</v>
      </c>
      <c r="E30" s="141">
        <v>0</v>
      </c>
      <c r="F30" s="141">
        <v>0</v>
      </c>
      <c r="G30" s="141">
        <v>0</v>
      </c>
      <c r="H30" s="141">
        <f>($C$25*$C$27)*'Tariff Jul 2017'!AE16/100</f>
        <v>82.5</v>
      </c>
      <c r="I30" s="141">
        <v>0</v>
      </c>
      <c r="J30" s="141">
        <f>SUM(C30:I30)</f>
        <v>728.03</v>
      </c>
      <c r="K30" s="123">
        <f>(J30-C30)*4</f>
        <v>2610</v>
      </c>
      <c r="L30" s="124">
        <f>J30*4</f>
        <v>2912.12</v>
      </c>
      <c r="M30" s="125">
        <f>L30*1.1</f>
        <v>3203.3320000000003</v>
      </c>
      <c r="N30" s="29">
        <f>'Tariff Jul 2017'!AW16</f>
        <v>0</v>
      </c>
      <c r="O30" s="29">
        <f>'Tariff Jul 2017'!AX16</f>
        <v>0</v>
      </c>
      <c r="P30" s="29">
        <f>'Tariff Jul 2017'!AY16</f>
        <v>0</v>
      </c>
      <c r="Q30" s="29">
        <f>'Tariff Jul 2017'!AZ16</f>
        <v>10</v>
      </c>
      <c r="R30" s="123">
        <f>L30</f>
        <v>2912.12</v>
      </c>
      <c r="S30" s="123">
        <f>R30-(K30*Q30/100)</f>
        <v>2651.12</v>
      </c>
      <c r="T30" s="262">
        <f>R30*1.1</f>
        <v>3203.3320000000003</v>
      </c>
      <c r="U30" s="262">
        <f>S30*1.1</f>
        <v>2916.232</v>
      </c>
      <c r="V30" s="126">
        <f>'Tariff Jul 2017'!BG16</f>
        <v>0</v>
      </c>
      <c r="W30" s="127" t="str">
        <f>'Tariff Jul 2017'!BH16</f>
        <v>n</v>
      </c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</row>
    <row r="31" spans="1:43" x14ac:dyDescent="0.15">
      <c r="A31" s="111" t="str">
        <f>'Tariff Jul 2017'!K17</f>
        <v>Alinta Energy</v>
      </c>
      <c r="B31" s="29" t="str">
        <f>'Tariff Jul 2017'!L17</f>
        <v>Fair Deal</v>
      </c>
      <c r="C31" s="141">
        <f>91*'Tariff Jul 2017'!M17/100</f>
        <v>88.433800000000005</v>
      </c>
      <c r="D31" s="141">
        <f>IF($C$25*$C$26&gt;='Tariff Jul 2017'!P17,('Tariff Jul 2017'!P17*'Tariff Jul 2017'!N17/100),(($C$25*$C$26)*'Tariff Jul 2017'!N17/100))</f>
        <v>117.09</v>
      </c>
      <c r="E31" s="141">
        <f>IF($C$25*$C$26&lt;'Tariff Jul 2017'!P17,0,IF(($C$25*$C$26-'Tariff Jul 2017'!P17)&lt;='Tariff Jul 2017'!R17,(($C$25*$C$26-'Tariff Jul 2017'!P17)*'Tariff Jul 2017'!Q17/100),(('Tariff Jul 2017'!R17-'Tariff Jul 2017'!P17)*'Tariff Jul 2017'!Q17/100)))</f>
        <v>284.33999999999997</v>
      </c>
      <c r="F31" s="141">
        <f>IF($C$25*$C$26&lt;'Tariff Jul 2017'!R17,0,IF(($C$25*$C$26-'Tariff Jul 2017'!R17)&lt;='Tariff Jul 2017'!T17,(($C$25*$C$26-'Tariff Jul 2017'!R17)*'Tariff Jul 2017'!S17/100),(('Tariff Jul 2017'!T17-'Tariff Jul 2017'!R17)*'Tariff Jul 2017'!S17/100)))</f>
        <v>223.4</v>
      </c>
      <c r="G31" s="141">
        <f>IF(($C$25*$C$26&lt;'Tariff Jul 2017'!T17),(0),($C$25*$C$26-'Tariff Jul 2017'!T17)*'Tariff Jul 2017'!U17/100)</f>
        <v>0</v>
      </c>
      <c r="H31" s="141">
        <f>IF($C$25*$C$27&gt;='Tariff Jul 2017'!AF17,('Tariff Jul 2017'!AF17*'Tariff Jul 2017'!AE17/100),(($C$25*$C$27)*'Tariff Jul 2017'!AE17/100))</f>
        <v>82.612499999999997</v>
      </c>
      <c r="I31" s="141">
        <f>IF(($C$25*$C$27&lt;'Tariff Jul 2017'!AF17),(0),($C$25*$C$27-'Tariff Jul 2017'!AF17)*'Tariff Jul 2017'!AG17/100)</f>
        <v>0</v>
      </c>
      <c r="J31" s="141">
        <f t="shared" ref="J31:J43" si="6">SUM(C31:I31)</f>
        <v>795.8762999999999</v>
      </c>
      <c r="K31" s="123">
        <f>(J31-C31)*4</f>
        <v>2829.7699999999995</v>
      </c>
      <c r="L31" s="124">
        <f t="shared" ref="L31:L43" si="7">J31*4</f>
        <v>3183.5051999999996</v>
      </c>
      <c r="M31" s="125">
        <f t="shared" ref="M31:M43" si="8">L31*1.1</f>
        <v>3501.85572</v>
      </c>
      <c r="N31" s="29">
        <f>'Tariff Jul 2017'!AW17</f>
        <v>0</v>
      </c>
      <c r="O31" s="29">
        <f>'Tariff Jul 2017'!AX17</f>
        <v>0</v>
      </c>
      <c r="P31" s="29">
        <f>'Tariff Jul 2017'!AY17</f>
        <v>0</v>
      </c>
      <c r="Q31" s="29">
        <f>'Tariff Jul 2017'!AZ17</f>
        <v>25</v>
      </c>
      <c r="R31" s="123">
        <f t="shared" ref="R31:R43" si="9">L31</f>
        <v>3183.5051999999996</v>
      </c>
      <c r="S31" s="123">
        <f>R31-(K31*Q31/100)</f>
        <v>2476.0626999999995</v>
      </c>
      <c r="T31" s="262">
        <f t="shared" ref="T31:U43" si="10">R31*1.1</f>
        <v>3501.85572</v>
      </c>
      <c r="U31" s="262">
        <f t="shared" si="10"/>
        <v>2723.6689699999997</v>
      </c>
      <c r="V31" s="126">
        <f>'Tariff Jul 2017'!BG17</f>
        <v>0</v>
      </c>
      <c r="W31" s="127" t="str">
        <f>'Tariff Jul 2017'!BH17</f>
        <v>n</v>
      </c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</row>
    <row r="32" spans="1:43" x14ac:dyDescent="0.15">
      <c r="A32" s="111" t="str">
        <f>'Tariff Jul 2017'!K18</f>
        <v>Click Energy</v>
      </c>
      <c r="B32" s="29" t="str">
        <f>'Tariff Jul 2017'!L18</f>
        <v>Jade</v>
      </c>
      <c r="C32" s="141">
        <f>91*'Tariff Jul 2017'!M18/100</f>
        <v>76.674779999999998</v>
      </c>
      <c r="D32" s="141">
        <f>IF($C$25*$C$26&gt;='Tariff Jul 2017'!P18,('Tariff Jul 2017'!P18*'Tariff Jul 2017'!N18/100),(($C$25*$C$26)*'Tariff Jul 2017'!N18/100))</f>
        <v>444.54</v>
      </c>
      <c r="E32" s="141">
        <v>0</v>
      </c>
      <c r="F32" s="141">
        <v>0</v>
      </c>
      <c r="G32" s="141">
        <f>IF(($C$25*$C$26&lt;'Tariff Jul 2017'!T18),(0),($C$25*$C$26-'Tariff Jul 2017'!T18)*'Tariff Jul 2017'!U18/100)</f>
        <v>232.5</v>
      </c>
      <c r="H32" s="141">
        <f>($C$25*$C$27)*'Tariff Jul 2017'!AE18/100</f>
        <v>136.71</v>
      </c>
      <c r="I32" s="141">
        <v>0</v>
      </c>
      <c r="J32" s="141">
        <f t="shared" si="6"/>
        <v>890.42478000000006</v>
      </c>
      <c r="K32" s="123">
        <f t="shared" ref="K32:K43" si="11">(J32-C32)*4</f>
        <v>3255</v>
      </c>
      <c r="L32" s="124">
        <f t="shared" si="7"/>
        <v>3561.6991200000002</v>
      </c>
      <c r="M32" s="125">
        <f t="shared" si="8"/>
        <v>3917.8690320000005</v>
      </c>
      <c r="N32" s="29">
        <f>'Tariff Jul 2017'!AW18</f>
        <v>0</v>
      </c>
      <c r="O32" s="29">
        <f>'Tariff Jul 2017'!AX18</f>
        <v>0</v>
      </c>
      <c r="P32" s="29">
        <f>'Tariff Jul 2017'!AY18</f>
        <v>15</v>
      </c>
      <c r="Q32" s="29">
        <f>'Tariff Jul 2017'!AZ18</f>
        <v>0</v>
      </c>
      <c r="R32" s="123">
        <f t="shared" si="9"/>
        <v>3561.6991200000002</v>
      </c>
      <c r="S32" s="123">
        <f>R32-(R32*P32/100)</f>
        <v>3027.4442520000002</v>
      </c>
      <c r="T32" s="262">
        <f t="shared" si="10"/>
        <v>3917.8690320000005</v>
      </c>
      <c r="U32" s="262">
        <f t="shared" si="10"/>
        <v>3330.1886772000007</v>
      </c>
      <c r="V32" s="126">
        <f>'Tariff Jul 2017'!BG18</f>
        <v>0</v>
      </c>
      <c r="W32" s="127" t="str">
        <f>'Tariff Jul 2017'!BH18</f>
        <v>n</v>
      </c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</row>
    <row r="33" spans="1:43" x14ac:dyDescent="0.15">
      <c r="A33" s="111" t="str">
        <f>'Tariff Jul 2017'!K19</f>
        <v>Commander</v>
      </c>
      <c r="B33" s="29" t="str">
        <f>'Tariff Jul 2017'!L19</f>
        <v>Market offer</v>
      </c>
      <c r="C33" s="141">
        <f>91*'Tariff Jul 2017'!M19/100</f>
        <v>73.664500000000004</v>
      </c>
      <c r="D33" s="141">
        <f>IF($C$25*$C$26&gt;='Tariff Jul 2017'!P19,('Tariff Jul 2017'!P19*'Tariff Jul 2017'!N19/100),(($C$25*$C$26)*'Tariff Jul 2017'!N19/100))</f>
        <v>409</v>
      </c>
      <c r="E33" s="141">
        <v>0</v>
      </c>
      <c r="F33" s="141">
        <v>0</v>
      </c>
      <c r="G33" s="141">
        <f>IF(($C$25*$C$26&lt;'Tariff Jul 2017'!T19),(0),($C$25*$C$26-'Tariff Jul 2017'!T19)*'Tariff Jul 2017'!U19/100)</f>
        <v>222</v>
      </c>
      <c r="H33" s="141">
        <f>($C$25*$C$27)*'Tariff Jul 2017'!AE19/100</f>
        <v>84.337500000000006</v>
      </c>
      <c r="I33" s="141">
        <v>0</v>
      </c>
      <c r="J33" s="141">
        <f t="shared" si="6"/>
        <v>789.00199999999995</v>
      </c>
      <c r="K33" s="123">
        <f t="shared" si="11"/>
        <v>2861.35</v>
      </c>
      <c r="L33" s="124">
        <f t="shared" si="7"/>
        <v>3156.0079999999998</v>
      </c>
      <c r="M33" s="125">
        <f t="shared" si="8"/>
        <v>3471.6088</v>
      </c>
      <c r="N33" s="29">
        <f>'Tariff Jul 2017'!AW19</f>
        <v>0</v>
      </c>
      <c r="O33" s="29">
        <f>'Tariff Jul 2017'!AX19</f>
        <v>0</v>
      </c>
      <c r="P33" s="29">
        <f>'Tariff Jul 2017'!AY19</f>
        <v>0</v>
      </c>
      <c r="Q33" s="29">
        <f>'Tariff Jul 2017'!AZ19</f>
        <v>20</v>
      </c>
      <c r="R33" s="123">
        <f t="shared" si="9"/>
        <v>3156.0079999999998</v>
      </c>
      <c r="S33" s="123">
        <f>R33-(K33*Q33/100)</f>
        <v>2583.7379999999998</v>
      </c>
      <c r="T33" s="262">
        <f t="shared" si="10"/>
        <v>3471.6088</v>
      </c>
      <c r="U33" s="262">
        <f t="shared" si="10"/>
        <v>2842.1118000000001</v>
      </c>
      <c r="V33" s="126">
        <f>'Tariff Jul 2017'!BG19</f>
        <v>0</v>
      </c>
      <c r="W33" s="127" t="str">
        <f>'Tariff Jul 2017'!BH19</f>
        <v>n</v>
      </c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</row>
    <row r="34" spans="1:43" x14ac:dyDescent="0.15">
      <c r="A34" s="111" t="str">
        <f>'Tariff Jul 2017'!K20</f>
        <v>Diamond Energy</v>
      </c>
      <c r="B34" s="29" t="str">
        <f>'Tariff Jul 2017'!L20</f>
        <v>Pay on time discount</v>
      </c>
      <c r="C34" s="141">
        <f>91*'Tariff Jul 2017'!M20/100</f>
        <v>79.124499999999998</v>
      </c>
      <c r="D34" s="141">
        <f>IF($C$25*$C$26&gt;='Tariff Jul 2017'!P20,('Tariff Jul 2017'!P20*'Tariff Jul 2017'!N20/100),(($C$25*$C$26)*'Tariff Jul 2017'!N20/100))</f>
        <v>99.78</v>
      </c>
      <c r="E34" s="141">
        <f>IF($C$25*$C$26&lt;'Tariff Jul 2017'!P20,0,IF(($C$25*$C$26-'Tariff Jul 2017'!P20)&lt;='Tariff Jul 2017'!R20,(($C$25*$C$26-'Tariff Jul 2017'!P20)*'Tariff Jul 2017'!Q20/100),(('Tariff Jul 2017'!R20-'Tariff Jul 2017'!P20)*'Tariff Jul 2017'!Q20/100)))</f>
        <v>251.23</v>
      </c>
      <c r="F34" s="141">
        <f>IF($C$25*$C$26&lt;'Tariff Jul 2017'!R20,0,IF(($C$25*$C$26-'Tariff Jul 2017'!R20)&lt;='Tariff Jul 2017'!T20,(($C$25*$C$26-'Tariff Jul 2017'!R20)*'Tariff Jul 2017'!S20/100),(('Tariff Jul 2017'!T20-'Tariff Jul 2017'!R20)*'Tariff Jul 2017'!S20/100)))</f>
        <v>194.75</v>
      </c>
      <c r="G34" s="141">
        <f>IF(($C$25*$C$26&lt;'Tariff Jul 2017'!T20),(0),($C$25*$C$26-'Tariff Jul 2017'!T20)*'Tariff Jul 2017'!U20/100)</f>
        <v>0</v>
      </c>
      <c r="H34" s="141">
        <f>($C$25*$C$27)*'Tariff Jul 2017'!AE20/100</f>
        <v>74.8125</v>
      </c>
      <c r="I34" s="141">
        <v>0</v>
      </c>
      <c r="J34" s="141">
        <f t="shared" si="6"/>
        <v>699.697</v>
      </c>
      <c r="K34" s="123">
        <f t="shared" si="11"/>
        <v>2482.29</v>
      </c>
      <c r="L34" s="124">
        <f t="shared" si="7"/>
        <v>2798.788</v>
      </c>
      <c r="M34" s="125">
        <f t="shared" si="8"/>
        <v>3078.6668000000004</v>
      </c>
      <c r="N34" s="29">
        <f>'Tariff Jul 2017'!AW20</f>
        <v>0</v>
      </c>
      <c r="O34" s="29">
        <f>'Tariff Jul 2017'!AX20</f>
        <v>0</v>
      </c>
      <c r="P34" s="29">
        <f>'Tariff Jul 2017'!AY20</f>
        <v>7</v>
      </c>
      <c r="Q34" s="29">
        <f>'Tariff Jul 2017'!AZ20</f>
        <v>0</v>
      </c>
      <c r="R34" s="123">
        <f t="shared" si="9"/>
        <v>2798.788</v>
      </c>
      <c r="S34" s="123">
        <f>R34-(R34*P34/100)</f>
        <v>2602.87284</v>
      </c>
      <c r="T34" s="262">
        <f t="shared" si="10"/>
        <v>3078.6668000000004</v>
      </c>
      <c r="U34" s="262">
        <f t="shared" si="10"/>
        <v>2863.1601240000005</v>
      </c>
      <c r="V34" s="126">
        <f>'Tariff Jul 2017'!BG20</f>
        <v>24</v>
      </c>
      <c r="W34" s="127" t="str">
        <f>'Tariff Jul 2017'!BH20</f>
        <v>y</v>
      </c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</row>
    <row r="35" spans="1:43" x14ac:dyDescent="0.15">
      <c r="A35" s="111" t="str">
        <f>'Tariff Jul 2017'!K21</f>
        <v>Dodo Power &amp; Gas</v>
      </c>
      <c r="B35" s="29" t="str">
        <f>'Tariff Jul 2017'!L21</f>
        <v>Market offer</v>
      </c>
      <c r="C35" s="141">
        <f>91*'Tariff Jul 2017'!M21/100</f>
        <v>73.664500000000004</v>
      </c>
      <c r="D35" s="141">
        <f>IF($C$25*$C$26&gt;='Tariff Jul 2017'!P21,('Tariff Jul 2017'!P21*'Tariff Jul 2017'!N21/100),(($C$25*$C$26)*'Tariff Jul 2017'!N21/100))</f>
        <v>426.5</v>
      </c>
      <c r="E35" s="141">
        <v>0</v>
      </c>
      <c r="F35" s="141">
        <v>0</v>
      </c>
      <c r="G35" s="141">
        <f>IF(($C$25*$C$26&lt;'Tariff Jul 2017'!T21),(0),($C$25*$C$26-'Tariff Jul 2017'!T21)*'Tariff Jul 2017'!U21/100)</f>
        <v>231.25</v>
      </c>
      <c r="H35" s="141">
        <f>($C$25*$C$27)*'Tariff Jul 2017'!AE21/100</f>
        <v>87.9375</v>
      </c>
      <c r="I35" s="141">
        <v>0</v>
      </c>
      <c r="J35" s="141">
        <f t="shared" si="6"/>
        <v>819.35199999999998</v>
      </c>
      <c r="K35" s="123">
        <f t="shared" si="11"/>
        <v>2982.75</v>
      </c>
      <c r="L35" s="124">
        <f t="shared" si="7"/>
        <v>3277.4079999999999</v>
      </c>
      <c r="M35" s="125">
        <f t="shared" si="8"/>
        <v>3605.1488000000004</v>
      </c>
      <c r="N35" s="29">
        <f>'Tariff Jul 2017'!AW21</f>
        <v>0</v>
      </c>
      <c r="O35" s="29">
        <f>'Tariff Jul 2017'!AX21</f>
        <v>0</v>
      </c>
      <c r="P35" s="29">
        <f>'Tariff Jul 2017'!AY21</f>
        <v>0</v>
      </c>
      <c r="Q35" s="29">
        <f>'Tariff Jul 2017'!AZ21</f>
        <v>0</v>
      </c>
      <c r="R35" s="123">
        <f t="shared" si="9"/>
        <v>3277.4079999999999</v>
      </c>
      <c r="S35" s="123">
        <f>R35-(K35*Q35/100)</f>
        <v>3277.4079999999999</v>
      </c>
      <c r="T35" s="262">
        <f t="shared" si="10"/>
        <v>3605.1488000000004</v>
      </c>
      <c r="U35" s="262">
        <f t="shared" si="10"/>
        <v>3605.1488000000004</v>
      </c>
      <c r="V35" s="126">
        <f>'Tariff Jul 2017'!BG21</f>
        <v>0</v>
      </c>
      <c r="W35" s="127" t="str">
        <f>'Tariff Jul 2017'!BH21</f>
        <v>n</v>
      </c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</row>
    <row r="36" spans="1:43" x14ac:dyDescent="0.15">
      <c r="A36" s="111" t="str">
        <f>'Tariff Jul 2017'!K22</f>
        <v>EnergyAustralia</v>
      </c>
      <c r="B36" s="29" t="str">
        <f>'Tariff Jul 2017'!L22</f>
        <v xml:space="preserve">Flexi Saver </v>
      </c>
      <c r="C36" s="141">
        <f>91*'Tariff Jul 2017'!M22/100</f>
        <v>81.536000000000001</v>
      </c>
      <c r="D36" s="141">
        <f>IF($C$25*$C$26&gt;='Tariff Jul 2017'!P22,('Tariff Jul 2017'!P22*'Tariff Jul 2017'!N22/100),(($C$25*$C$26)*'Tariff Jul 2017'!N22/100))</f>
        <v>422.7</v>
      </c>
      <c r="E36" s="141">
        <v>0</v>
      </c>
      <c r="F36" s="141">
        <v>0</v>
      </c>
      <c r="G36" s="141">
        <f>IF(($C$25*$C$26&lt;'Tariff Jul 2017'!T22),(0),($C$25*$C$26-'Tariff Jul 2017'!T22)*'Tariff Jul 2017'!U22/100)</f>
        <v>227.15</v>
      </c>
      <c r="H36" s="141">
        <f>($C$25*$C$27)*'Tariff Jul 2017'!AE22/100</f>
        <v>63.412500000000001</v>
      </c>
      <c r="I36" s="141">
        <v>0</v>
      </c>
      <c r="J36" s="141">
        <f t="shared" si="6"/>
        <v>794.79849999999999</v>
      </c>
      <c r="K36" s="123">
        <f t="shared" si="11"/>
        <v>2853.05</v>
      </c>
      <c r="L36" s="124">
        <f t="shared" si="7"/>
        <v>3179.194</v>
      </c>
      <c r="M36" s="125">
        <f t="shared" si="8"/>
        <v>3497.1134000000002</v>
      </c>
      <c r="N36" s="29">
        <f>'Tariff Jul 2017'!AW22</f>
        <v>0</v>
      </c>
      <c r="O36" s="29">
        <f>'Tariff Jul 2017'!AX22</f>
        <v>0</v>
      </c>
      <c r="P36" s="29">
        <f>'Tariff Jul 2017'!AY22</f>
        <v>0</v>
      </c>
      <c r="Q36" s="29">
        <f>'Tariff Jul 2017'!AZ22</f>
        <v>18</v>
      </c>
      <c r="R36" s="123">
        <f t="shared" si="9"/>
        <v>3179.194</v>
      </c>
      <c r="S36" s="123">
        <f>R36-(K36*Q36/100)</f>
        <v>2665.645</v>
      </c>
      <c r="T36" s="262">
        <f t="shared" si="10"/>
        <v>3497.1134000000002</v>
      </c>
      <c r="U36" s="262">
        <f t="shared" si="10"/>
        <v>2932.2095000000004</v>
      </c>
      <c r="V36" s="126">
        <f>'Tariff Jul 2017'!BG22</f>
        <v>0</v>
      </c>
      <c r="W36" s="127" t="str">
        <f>'Tariff Jul 2017'!BH22</f>
        <v>n</v>
      </c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</row>
    <row r="37" spans="1:43" x14ac:dyDescent="0.15">
      <c r="A37" s="111" t="str">
        <f>'Tariff Jul 2017'!K23</f>
        <v>Lumo Energy</v>
      </c>
      <c r="B37" s="29" t="str">
        <f>'Tariff Jul 2017'!L23</f>
        <v>Advantage</v>
      </c>
      <c r="C37" s="141">
        <f>91*'Tariff Jul 2017'!M23/100</f>
        <v>78.123499999999993</v>
      </c>
      <c r="D37" s="141">
        <f>IF($C$25*$C$26&gt;='Tariff Jul 2017'!P23,('Tariff Jul 2017'!P23*'Tariff Jul 2017'!N23/100),(($C$25*$C$26)*'Tariff Jul 2017'!N23/100))</f>
        <v>377</v>
      </c>
      <c r="E37" s="141">
        <v>0</v>
      </c>
      <c r="F37" s="141">
        <v>0</v>
      </c>
      <c r="G37" s="141">
        <f>IF(($C$25*$C$26&lt;'Tariff Jul 2017'!T23),(0),($C$25*$C$26-'Tariff Jul 2017'!T23)*'Tariff Jul 2017'!U23/100)</f>
        <v>210.5</v>
      </c>
      <c r="H37" s="141">
        <f>($C$25*$C$27)*'Tariff Jul 2017'!AE23/100</f>
        <v>72.749999999999986</v>
      </c>
      <c r="I37" s="141">
        <v>0</v>
      </c>
      <c r="J37" s="141">
        <f t="shared" si="6"/>
        <v>738.37349999999992</v>
      </c>
      <c r="K37" s="123">
        <f t="shared" si="11"/>
        <v>2640.9999999999995</v>
      </c>
      <c r="L37" s="124">
        <f t="shared" si="7"/>
        <v>2953.4939999999997</v>
      </c>
      <c r="M37" s="125">
        <f t="shared" si="8"/>
        <v>3248.8433999999997</v>
      </c>
      <c r="N37" s="29">
        <f>'Tariff Jul 2017'!AW23</f>
        <v>0</v>
      </c>
      <c r="O37" s="29">
        <f>'Tariff Jul 2017'!AX23</f>
        <v>0</v>
      </c>
      <c r="P37" s="29">
        <f>'Tariff Jul 2017'!AY23</f>
        <v>10</v>
      </c>
      <c r="Q37" s="29">
        <f>'Tariff Jul 2017'!AZ23</f>
        <v>0</v>
      </c>
      <c r="R37" s="123">
        <f t="shared" si="9"/>
        <v>2953.4939999999997</v>
      </c>
      <c r="S37" s="123">
        <f>R37-(R37*P37/100)</f>
        <v>2658.1445999999996</v>
      </c>
      <c r="T37" s="262">
        <f t="shared" si="10"/>
        <v>3248.8433999999997</v>
      </c>
      <c r="U37" s="262">
        <f t="shared" si="10"/>
        <v>2923.9590599999997</v>
      </c>
      <c r="V37" s="126">
        <f>'Tariff Jul 2017'!BG23</f>
        <v>0</v>
      </c>
      <c r="W37" s="127" t="str">
        <f>'Tariff Jul 2017'!BH23</f>
        <v>n</v>
      </c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</row>
    <row r="38" spans="1:43" x14ac:dyDescent="0.15">
      <c r="A38" s="111" t="str">
        <f>'Tariff Jul 2017'!K24</f>
        <v>Momentum Energy</v>
      </c>
      <c r="B38" s="29" t="str">
        <f>'Tariff Jul 2017'!L24</f>
        <v>SmilePower</v>
      </c>
      <c r="C38" s="141">
        <f>91*'Tariff Jul 2017'!M24/100</f>
        <v>75.156900000000007</v>
      </c>
      <c r="D38" s="141">
        <f>IF($C$25*$C$26&gt;='Tariff Jul 2017'!P24,('Tariff Jul 2017'!P24*'Tariff Jul 2017'!N24/100),(($C$25*$C$26)*'Tariff Jul 2017'!N24/100))</f>
        <v>240.24</v>
      </c>
      <c r="E38" s="141">
        <v>0</v>
      </c>
      <c r="F38" s="141">
        <v>0</v>
      </c>
      <c r="G38" s="141">
        <f>IF(($C$25*$C$26&lt;'Tariff Jul 2017'!T24),(0),($C$25*$C$26-'Tariff Jul 2017'!T24)*'Tariff Jul 2017'!U24/100)</f>
        <v>353.16</v>
      </c>
      <c r="H38" s="141">
        <f>($C$25*$C$27)*'Tariff Jul 2017'!AE24/100</f>
        <v>80.849999999999994</v>
      </c>
      <c r="I38" s="141">
        <v>0</v>
      </c>
      <c r="J38" s="141">
        <f t="shared" si="6"/>
        <v>749.40690000000006</v>
      </c>
      <c r="K38" s="123">
        <f t="shared" si="11"/>
        <v>2697</v>
      </c>
      <c r="L38" s="124">
        <f t="shared" si="7"/>
        <v>2997.6276000000003</v>
      </c>
      <c r="M38" s="125">
        <f t="shared" si="8"/>
        <v>3297.3903600000003</v>
      </c>
      <c r="N38" s="29">
        <f>'Tariff Jul 2017'!AW24</f>
        <v>0</v>
      </c>
      <c r="O38" s="29">
        <f>'Tariff Jul 2017'!AX24</f>
        <v>0</v>
      </c>
      <c r="P38" s="29">
        <f>'Tariff Jul 2017'!AY24</f>
        <v>0</v>
      </c>
      <c r="Q38" s="29">
        <f>'Tariff Jul 2017'!AZ24</f>
        <v>0</v>
      </c>
      <c r="R38" s="123">
        <f t="shared" si="9"/>
        <v>2997.6276000000003</v>
      </c>
      <c r="S38" s="123">
        <f>R38</f>
        <v>2997.6276000000003</v>
      </c>
      <c r="T38" s="262">
        <f t="shared" si="10"/>
        <v>3297.3903600000003</v>
      </c>
      <c r="U38" s="262">
        <f t="shared" si="10"/>
        <v>3297.3903600000003</v>
      </c>
      <c r="V38" s="126">
        <f>'Tariff Jul 2017'!BG24</f>
        <v>12</v>
      </c>
      <c r="W38" s="127" t="str">
        <f>'Tariff Jul 2017'!BH24</f>
        <v>y</v>
      </c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</row>
    <row r="39" spans="1:43" x14ac:dyDescent="0.15">
      <c r="A39" s="111" t="str">
        <f>'Tariff Jul 2017'!K25</f>
        <v>Origin Energy</v>
      </c>
      <c r="B39" s="29" t="str">
        <f>'Tariff Jul 2017'!L25</f>
        <v>Saver</v>
      </c>
      <c r="C39" s="141">
        <f>91*'Tariff Jul 2017'!M25/100</f>
        <v>75.484499999999997</v>
      </c>
      <c r="D39" s="141">
        <f>IF($C$25*$C$26&gt;='Tariff Jul 2017'!P25,('Tariff Jul 2017'!P25*'Tariff Jul 2017'!N25/100),(($C$25*$C$26)*'Tariff Jul 2017'!N25/100))</f>
        <v>367.5</v>
      </c>
      <c r="E39" s="141">
        <v>0</v>
      </c>
      <c r="F39" s="141">
        <v>0</v>
      </c>
      <c r="G39" s="141">
        <f>IF(($C$25*$C$26&lt;'Tariff Jul 2017'!T25),(0),($C$25*$C$26-'Tariff Jul 2017'!T25)*'Tariff Jul 2017'!U25/100)</f>
        <v>196.15</v>
      </c>
      <c r="H39" s="141">
        <f>($C$25*$C$27)*'Tariff Jul 2017'!AE25/100</f>
        <v>72.1875</v>
      </c>
      <c r="I39" s="141">
        <v>0</v>
      </c>
      <c r="J39" s="141">
        <f t="shared" si="6"/>
        <v>711.322</v>
      </c>
      <c r="K39" s="123">
        <f t="shared" si="11"/>
        <v>2543.35</v>
      </c>
      <c r="L39" s="124">
        <f t="shared" si="7"/>
        <v>2845.288</v>
      </c>
      <c r="M39" s="125">
        <f t="shared" si="8"/>
        <v>3129.8168000000001</v>
      </c>
      <c r="N39" s="29">
        <f>'Tariff Jul 2017'!AW25</f>
        <v>0</v>
      </c>
      <c r="O39" s="29">
        <f>'Tariff Jul 2017'!AX25</f>
        <v>0</v>
      </c>
      <c r="P39" s="29">
        <f>'Tariff Jul 2017'!AY25</f>
        <v>0</v>
      </c>
      <c r="Q39" s="29">
        <f>'Tariff Jul 2017'!AZ25</f>
        <v>14</v>
      </c>
      <c r="R39" s="123">
        <f t="shared" si="9"/>
        <v>2845.288</v>
      </c>
      <c r="S39" s="123">
        <f>R39-(K39*Q39/100)</f>
        <v>2489.2190000000001</v>
      </c>
      <c r="T39" s="262">
        <f t="shared" si="10"/>
        <v>3129.8168000000001</v>
      </c>
      <c r="U39" s="262">
        <f t="shared" si="10"/>
        <v>2738.1409000000003</v>
      </c>
      <c r="V39" s="126">
        <f>'Tariff Jul 2017'!BG25</f>
        <v>0</v>
      </c>
      <c r="W39" s="127" t="str">
        <f>'Tariff Jul 2017'!BH25</f>
        <v>n</v>
      </c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</row>
    <row r="40" spans="1:43" x14ac:dyDescent="0.15">
      <c r="A40" s="111" t="str">
        <f>'Tariff Jul 2017'!K26</f>
        <v>Powerdirect</v>
      </c>
      <c r="B40" s="29" t="str">
        <f>'Tariff Jul 2017'!L26</f>
        <v>Market offer</v>
      </c>
      <c r="C40" s="141">
        <f>91*'Tariff Jul 2017'!M26/100</f>
        <v>75.53</v>
      </c>
      <c r="D40" s="141">
        <f>($C$25*$C$26)*'Tariff Jul 2017'!N26/100</f>
        <v>570</v>
      </c>
      <c r="E40" s="141">
        <v>0</v>
      </c>
      <c r="F40" s="141">
        <v>0</v>
      </c>
      <c r="G40" s="141">
        <v>0</v>
      </c>
      <c r="H40" s="141">
        <f>($C$25*$C$27)*'Tariff Jul 2017'!AE26/100</f>
        <v>105</v>
      </c>
      <c r="I40" s="141">
        <v>0</v>
      </c>
      <c r="J40" s="141">
        <f t="shared" si="6"/>
        <v>750.53</v>
      </c>
      <c r="K40" s="123">
        <f t="shared" si="11"/>
        <v>2700</v>
      </c>
      <c r="L40" s="124">
        <f t="shared" si="7"/>
        <v>3002.12</v>
      </c>
      <c r="M40" s="125">
        <f t="shared" si="8"/>
        <v>3302.3320000000003</v>
      </c>
      <c r="N40" s="29">
        <f>'Tariff Jul 2017'!AW26</f>
        <v>0</v>
      </c>
      <c r="O40" s="29">
        <f>'Tariff Jul 2017'!AX26</f>
        <v>0</v>
      </c>
      <c r="P40" s="29">
        <f>'Tariff Jul 2017'!AY26</f>
        <v>0</v>
      </c>
      <c r="Q40" s="29">
        <f>'Tariff Jul 2017'!AZ26</f>
        <v>14</v>
      </c>
      <c r="R40" s="123">
        <f t="shared" si="9"/>
        <v>3002.12</v>
      </c>
      <c r="S40" s="123">
        <f>R40-(K40*Q40/100)</f>
        <v>2624.12</v>
      </c>
      <c r="T40" s="262">
        <f t="shared" si="10"/>
        <v>3302.3320000000003</v>
      </c>
      <c r="U40" s="262">
        <f t="shared" si="10"/>
        <v>2886.5320000000002</v>
      </c>
      <c r="V40" s="126">
        <f>'Tariff Jul 2017'!BG26</f>
        <v>24</v>
      </c>
      <c r="W40" s="127" t="str">
        <f>'Tariff Jul 2017'!BH26</f>
        <v>n</v>
      </c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</row>
    <row r="41" spans="1:43" x14ac:dyDescent="0.15">
      <c r="A41" s="111" t="str">
        <f>'Tariff Jul 2017'!K27</f>
        <v>Red Energy</v>
      </c>
      <c r="B41" s="29" t="str">
        <f>'Tariff Jul 2017'!L27</f>
        <v>No exit fee saver</v>
      </c>
      <c r="C41" s="141">
        <f>91*'Tariff Jul 2017'!M27/100</f>
        <v>78.123499999999993</v>
      </c>
      <c r="D41" s="141">
        <f>IF($C$25*$C$26&gt;='Tariff Jul 2017'!P27,('Tariff Jul 2017'!P27*'Tariff Jul 2017'!N27/100),(($C$25*$C$26)*'Tariff Jul 2017'!N27/100))</f>
        <v>377</v>
      </c>
      <c r="E41" s="141">
        <v>0</v>
      </c>
      <c r="F41" s="141">
        <v>0</v>
      </c>
      <c r="G41" s="141">
        <f>IF(($C$25*$C$26&lt;'Tariff Jul 2017'!T27),(0),($C$25*$C$26-'Tariff Jul 2017'!T27)*'Tariff Jul 2017'!U27/100)</f>
        <v>210.5</v>
      </c>
      <c r="H41" s="141">
        <f>($C$25*$C$27)*'Tariff Jul 2017'!AE27/100</f>
        <v>72.749999999999986</v>
      </c>
      <c r="I41" s="141">
        <v>0</v>
      </c>
      <c r="J41" s="141">
        <f t="shared" si="6"/>
        <v>738.37349999999992</v>
      </c>
      <c r="K41" s="123">
        <f t="shared" si="11"/>
        <v>2640.9999999999995</v>
      </c>
      <c r="L41" s="124">
        <f t="shared" si="7"/>
        <v>2953.4939999999997</v>
      </c>
      <c r="M41" s="125">
        <f t="shared" si="8"/>
        <v>3248.8433999999997</v>
      </c>
      <c r="N41" s="29">
        <f>'Tariff Jul 2017'!AW27</f>
        <v>0</v>
      </c>
      <c r="O41" s="29">
        <f>'Tariff Jul 2017'!AX27</f>
        <v>0</v>
      </c>
      <c r="P41" s="29">
        <f>'Tariff Jul 2017'!AY27</f>
        <v>10</v>
      </c>
      <c r="Q41" s="29">
        <f>'Tariff Jul 2017'!AZ27</f>
        <v>0</v>
      </c>
      <c r="R41" s="123">
        <f t="shared" si="9"/>
        <v>2953.4939999999997</v>
      </c>
      <c r="S41" s="123">
        <f>R41-(R41*P41/100)</f>
        <v>2658.1445999999996</v>
      </c>
      <c r="T41" s="262">
        <f t="shared" si="10"/>
        <v>3248.8433999999997</v>
      </c>
      <c r="U41" s="262">
        <f t="shared" si="10"/>
        <v>2923.9590599999997</v>
      </c>
      <c r="V41" s="126">
        <f>'Tariff Jul 2017'!BG27</f>
        <v>0</v>
      </c>
      <c r="W41" s="127" t="str">
        <f>'Tariff Jul 2017'!BH27</f>
        <v>n</v>
      </c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</row>
    <row r="42" spans="1:43" x14ac:dyDescent="0.15">
      <c r="A42" s="111" t="str">
        <f>'Tariff Jul 2017'!K28</f>
        <v>Sanctuary Energy</v>
      </c>
      <c r="B42" s="29" t="str">
        <f>'Tariff Jul 2017'!L28</f>
        <v>Negotiated contract</v>
      </c>
      <c r="C42" s="141">
        <f>91*'Tariff Jul 2017'!M28/100</f>
        <v>68.692260000000005</v>
      </c>
      <c r="D42" s="141">
        <f>IF($C$25*$C$26&gt;='Tariff Jul 2017'!P28,('Tariff Jul 2017'!P28*'Tariff Jul 2017'!N28/100),(($C$25*$C$26)*'Tariff Jul 2017'!N28/100))</f>
        <v>100.49849999999998</v>
      </c>
      <c r="E42" s="141">
        <f>IF($C$25*$C$26&lt;'Tariff Jul 2017'!P28,0,IF(($C$25*$C$26-'Tariff Jul 2017'!P28)&lt;='Tariff Jul 2017'!R28,(($C$25*$C$26-'Tariff Jul 2017'!P28)*'Tariff Jul 2017'!Q28/100),(('Tariff Jul 2017'!R28-'Tariff Jul 2017'!P28)*'Tariff Jul 2017'!Q28/100)))</f>
        <v>238.92399999999998</v>
      </c>
      <c r="F42" s="141">
        <f>IF($C$25*$C$26&lt;'Tariff Jul 2017'!R28,0,IF(($C$25*$C$26-'Tariff Jul 2017'!R28)&lt;='Tariff Jul 2017'!T28,(($C$25*$C$26-'Tariff Jul 2017'!R28)*'Tariff Jul 2017'!S28/100),(('Tariff Jul 2017'!T28-'Tariff Jul 2017'!R28)*'Tariff Jul 2017'!S28/100)))</f>
        <v>195.32749999999999</v>
      </c>
      <c r="G42" s="141">
        <f>IF(($C$25*$C$26&lt;'Tariff Jul 2017'!T28),(0),($C$25*$C$26-'Tariff Jul 2017'!T28)*'Tariff Jul 2017'!U28/100)</f>
        <v>0</v>
      </c>
      <c r="H42" s="141">
        <f>IF($C$25*$C$27&gt;='Tariff Jul 2017'!AF28,('Tariff Jul 2017'!AF28*'Tariff Jul 2017'!AE28/100),(($C$25*$C$27)*'Tariff Jul 2017'!AE28/100))</f>
        <v>60.763124999999988</v>
      </c>
      <c r="I42" s="141">
        <f>IF(($C$25*$C$27&lt;'Tariff Jul 2017'!AF28),(0),($C$25*$C$27-'Tariff Jul 2017'!AF28)*'Tariff Jul 2017'!AG28/100)</f>
        <v>0</v>
      </c>
      <c r="J42" s="141">
        <f t="shared" si="6"/>
        <v>664.20538499999986</v>
      </c>
      <c r="K42" s="123">
        <f t="shared" si="11"/>
        <v>2382.0524999999993</v>
      </c>
      <c r="L42" s="124">
        <f t="shared" si="7"/>
        <v>2656.8215399999995</v>
      </c>
      <c r="M42" s="125">
        <f t="shared" si="8"/>
        <v>2922.5036939999995</v>
      </c>
      <c r="N42" s="29">
        <f>'Tariff Jul 2017'!AW28</f>
        <v>0</v>
      </c>
      <c r="O42" s="29">
        <f>'Tariff Jul 2017'!AX28</f>
        <v>0</v>
      </c>
      <c r="P42" s="29">
        <f>'Tariff Jul 2017'!AY28</f>
        <v>0</v>
      </c>
      <c r="Q42" s="29">
        <f>'Tariff Jul 2017'!AZ28</f>
        <v>0</v>
      </c>
      <c r="R42" s="123">
        <f t="shared" si="9"/>
        <v>2656.8215399999995</v>
      </c>
      <c r="S42" s="123">
        <f>R42</f>
        <v>2656.8215399999995</v>
      </c>
      <c r="T42" s="262">
        <f t="shared" si="10"/>
        <v>2922.5036939999995</v>
      </c>
      <c r="U42" s="262">
        <f t="shared" si="10"/>
        <v>2922.5036939999995</v>
      </c>
      <c r="V42" s="126">
        <f>'Tariff Jul 2017'!BG28</f>
        <v>36</v>
      </c>
      <c r="W42" s="127" t="str">
        <f>'Tariff Jul 2017'!BH28</f>
        <v>n</v>
      </c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</row>
    <row r="43" spans="1:43" ht="14" thickBot="1" x14ac:dyDescent="0.2">
      <c r="A43" s="128" t="str">
        <f>'Tariff Jul 2017'!K29</f>
        <v>Simply Energy</v>
      </c>
      <c r="B43" s="129" t="str">
        <f>'Tariff Jul 2017'!L29</f>
        <v>Plus</v>
      </c>
      <c r="C43" s="142">
        <f>91*'Tariff Jul 2017'!M29/100</f>
        <v>57.921499999999995</v>
      </c>
      <c r="D43" s="142">
        <f>IF($C$25*$C$26&gt;='Tariff Jul 2017'!P29,('Tariff Jul 2017'!P29*'Tariff Jul 2017'!N29/100),(($C$25*$C$26)*'Tariff Jul 2017'!N29/100))</f>
        <v>324.39999999999998</v>
      </c>
      <c r="E43" s="142">
        <v>0</v>
      </c>
      <c r="F43" s="142">
        <v>0</v>
      </c>
      <c r="G43" s="142">
        <f>IF(($C$25*$C$26&lt;'Tariff Jul 2017'!T29),(0),($C$25*$C$26-'Tariff Jul 2017'!T29)*'Tariff Jul 2017'!U29/100)</f>
        <v>181.9</v>
      </c>
      <c r="H43" s="142">
        <f>($C$25*$C$27)*'Tariff Jul 2017'!AE29/100</f>
        <v>77.7</v>
      </c>
      <c r="I43" s="142">
        <v>0</v>
      </c>
      <c r="J43" s="142">
        <f t="shared" si="6"/>
        <v>641.92150000000004</v>
      </c>
      <c r="K43" s="132">
        <f t="shared" si="11"/>
        <v>2336</v>
      </c>
      <c r="L43" s="133">
        <f t="shared" si="7"/>
        <v>2567.6860000000001</v>
      </c>
      <c r="M43" s="134">
        <f t="shared" si="8"/>
        <v>2824.4546000000005</v>
      </c>
      <c r="N43" s="129">
        <f>'Tariff Jul 2017'!AW29</f>
        <v>0</v>
      </c>
      <c r="O43" s="129">
        <f>'Tariff Jul 2017'!AX29</f>
        <v>0</v>
      </c>
      <c r="P43" s="129">
        <f>'Tariff Jul 2017'!AY29</f>
        <v>0</v>
      </c>
      <c r="Q43" s="129">
        <f>'Tariff Jul 2017'!AZ29</f>
        <v>15</v>
      </c>
      <c r="R43" s="132">
        <f t="shared" si="9"/>
        <v>2567.6860000000001</v>
      </c>
      <c r="S43" s="132">
        <f>R43-(K43*Q43/100)</f>
        <v>2217.2860000000001</v>
      </c>
      <c r="T43" s="263">
        <f t="shared" si="10"/>
        <v>2824.4546000000005</v>
      </c>
      <c r="U43" s="263">
        <f t="shared" si="10"/>
        <v>2439.0146000000004</v>
      </c>
      <c r="V43" s="135">
        <f>'Tariff Jul 2017'!BG29</f>
        <v>24</v>
      </c>
      <c r="W43" s="136" t="str">
        <f>'Tariff Jul 2017'!BH29</f>
        <v>y</v>
      </c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</row>
    <row r="44" spans="1:43" s="149" customFormat="1" x14ac:dyDescent="0.15"/>
    <row r="45" spans="1:43" s="149" customFormat="1" x14ac:dyDescent="0.15"/>
    <row r="46" spans="1:43" s="149" customFormat="1" x14ac:dyDescent="0.15"/>
    <row r="47" spans="1:43" s="149" customFormat="1" x14ac:dyDescent="0.15"/>
    <row r="48" spans="1:43" s="149" customFormat="1" x14ac:dyDescent="0.15"/>
    <row r="49" s="149" customFormat="1" x14ac:dyDescent="0.15"/>
    <row r="50" s="149" customFormat="1" x14ac:dyDescent="0.15"/>
    <row r="51" s="149" customFormat="1" x14ac:dyDescent="0.15"/>
    <row r="52" s="149" customFormat="1" x14ac:dyDescent="0.15"/>
    <row r="53" s="149" customFormat="1" x14ac:dyDescent="0.15"/>
    <row r="54" s="149" customFormat="1" x14ac:dyDescent="0.15"/>
    <row r="55" s="149" customFormat="1" x14ac:dyDescent="0.15"/>
    <row r="56" s="149" customFormat="1" x14ac:dyDescent="0.15"/>
    <row r="57" s="149" customFormat="1" x14ac:dyDescent="0.15"/>
    <row r="58" s="149" customFormat="1" x14ac:dyDescent="0.15"/>
    <row r="59" s="149" customFormat="1" x14ac:dyDescent="0.15"/>
    <row r="60" s="149" customFormat="1" x14ac:dyDescent="0.15"/>
    <row r="61" s="149" customFormat="1" x14ac:dyDescent="0.15"/>
    <row r="62" s="149" customFormat="1" x14ac:dyDescent="0.15"/>
    <row r="63" s="149" customFormat="1" x14ac:dyDescent="0.15"/>
    <row r="64" s="149" customFormat="1" x14ac:dyDescent="0.15"/>
    <row r="65" s="149" customFormat="1" x14ac:dyDescent="0.15"/>
    <row r="66" s="149" customFormat="1" x14ac:dyDescent="0.15"/>
    <row r="67" s="149" customFormat="1" x14ac:dyDescent="0.15"/>
    <row r="68" s="149" customFormat="1" x14ac:dyDescent="0.15"/>
    <row r="69" s="149" customFormat="1" x14ac:dyDescent="0.15"/>
    <row r="70" s="149" customFormat="1" x14ac:dyDescent="0.15"/>
    <row r="71" s="149" customFormat="1" x14ac:dyDescent="0.15"/>
    <row r="72" s="149" customFormat="1" x14ac:dyDescent="0.15"/>
    <row r="73" s="149" customFormat="1" x14ac:dyDescent="0.15"/>
    <row r="74" s="149" customFormat="1" x14ac:dyDescent="0.15"/>
    <row r="75" s="149" customFormat="1" x14ac:dyDescent="0.15"/>
    <row r="76" s="149" customFormat="1" x14ac:dyDescent="0.15"/>
    <row r="77" s="149" customFormat="1" x14ac:dyDescent="0.15"/>
    <row r="78" s="149" customFormat="1" x14ac:dyDescent="0.15"/>
    <row r="79" s="149" customFormat="1" x14ac:dyDescent="0.15"/>
    <row r="80" s="149" customFormat="1" x14ac:dyDescent="0.15"/>
    <row r="81" s="149" customFormat="1" x14ac:dyDescent="0.15"/>
    <row r="82" s="149" customFormat="1" x14ac:dyDescent="0.15"/>
    <row r="83" s="149" customFormat="1" x14ac:dyDescent="0.15"/>
    <row r="84" s="149" customFormat="1" x14ac:dyDescent="0.15"/>
    <row r="85" s="149" customFormat="1" x14ac:dyDescent="0.15"/>
    <row r="86" s="149" customFormat="1" x14ac:dyDescent="0.15"/>
    <row r="87" s="149" customFormat="1" x14ac:dyDescent="0.15"/>
    <row r="88" s="149" customFormat="1" x14ac:dyDescent="0.15"/>
    <row r="89" s="149" customFormat="1" x14ac:dyDescent="0.15"/>
    <row r="90" s="149" customFormat="1" x14ac:dyDescent="0.15"/>
    <row r="91" s="149" customFormat="1" x14ac:dyDescent="0.15"/>
    <row r="92" s="149" customFormat="1" x14ac:dyDescent="0.15"/>
    <row r="93" s="149" customFormat="1" x14ac:dyDescent="0.15"/>
    <row r="94" s="149" customFormat="1" x14ac:dyDescent="0.15"/>
    <row r="95" s="149" customFormat="1" x14ac:dyDescent="0.15"/>
    <row r="96" s="149" customFormat="1" x14ac:dyDescent="0.15"/>
    <row r="97" s="149" customFormat="1" x14ac:dyDescent="0.15"/>
    <row r="98" s="149" customFormat="1" x14ac:dyDescent="0.15"/>
    <row r="99" s="149" customFormat="1" x14ac:dyDescent="0.15"/>
    <row r="100" s="149" customFormat="1" x14ac:dyDescent="0.15"/>
    <row r="101" s="149" customFormat="1" x14ac:dyDescent="0.15"/>
    <row r="102" s="149" customFormat="1" x14ac:dyDescent="0.15"/>
    <row r="103" s="149" customFormat="1" x14ac:dyDescent="0.15"/>
    <row r="104" s="149" customFormat="1" x14ac:dyDescent="0.15"/>
    <row r="105" s="149" customFormat="1" x14ac:dyDescent="0.15"/>
    <row r="106" s="149" customFormat="1" x14ac:dyDescent="0.15"/>
    <row r="107" s="149" customFormat="1" x14ac:dyDescent="0.15"/>
    <row r="108" s="149" customFormat="1" x14ac:dyDescent="0.15"/>
    <row r="109" s="149" customFormat="1" x14ac:dyDescent="0.15"/>
    <row r="110" s="149" customFormat="1" x14ac:dyDescent="0.15"/>
    <row r="111" s="149" customFormat="1" x14ac:dyDescent="0.15"/>
    <row r="112" s="149" customFormat="1" x14ac:dyDescent="0.15"/>
    <row r="113" s="149" customFormat="1" x14ac:dyDescent="0.15"/>
    <row r="114" s="149" customFormat="1" x14ac:dyDescent="0.15"/>
    <row r="115" s="149" customFormat="1" x14ac:dyDescent="0.15"/>
    <row r="116" s="149" customFormat="1" x14ac:dyDescent="0.15"/>
    <row r="117" s="149" customFormat="1" x14ac:dyDescent="0.15"/>
    <row r="118" s="149" customFormat="1" x14ac:dyDescent="0.15"/>
    <row r="119" s="149" customFormat="1" x14ac:dyDescent="0.15"/>
    <row r="120" s="149" customFormat="1" x14ac:dyDescent="0.15"/>
    <row r="121" s="149" customFormat="1" x14ac:dyDescent="0.15"/>
    <row r="122" s="149" customFormat="1" x14ac:dyDescent="0.15"/>
    <row r="123" s="149" customFormat="1" x14ac:dyDescent="0.15"/>
    <row r="124" s="149" customFormat="1" x14ac:dyDescent="0.15"/>
    <row r="125" s="149" customFormat="1" x14ac:dyDescent="0.15"/>
    <row r="126" s="149" customFormat="1" x14ac:dyDescent="0.15"/>
    <row r="127" s="149" customFormat="1" x14ac:dyDescent="0.15"/>
    <row r="128" s="149" customFormat="1" x14ac:dyDescent="0.15"/>
    <row r="129" s="149" customFormat="1" x14ac:dyDescent="0.15"/>
    <row r="130" s="149" customFormat="1" x14ac:dyDescent="0.15"/>
    <row r="131" s="149" customFormat="1" x14ac:dyDescent="0.15"/>
    <row r="132" s="149" customFormat="1" x14ac:dyDescent="0.15"/>
    <row r="133" s="149" customFormat="1" x14ac:dyDescent="0.15"/>
    <row r="134" s="149" customFormat="1" x14ac:dyDescent="0.15"/>
    <row r="135" s="149" customFormat="1" x14ac:dyDescent="0.15"/>
    <row r="136" s="149" customFormat="1" x14ac:dyDescent="0.15"/>
    <row r="137" s="149" customFormat="1" x14ac:dyDescent="0.15"/>
    <row r="138" s="149" customFormat="1" x14ac:dyDescent="0.15"/>
    <row r="139" s="149" customFormat="1" x14ac:dyDescent="0.15"/>
    <row r="140" s="149" customFormat="1" x14ac:dyDescent="0.15"/>
    <row r="141" s="149" customFormat="1" x14ac:dyDescent="0.15"/>
    <row r="142" s="149" customFormat="1" x14ac:dyDescent="0.15"/>
    <row r="143" s="149" customFormat="1" x14ac:dyDescent="0.15"/>
    <row r="144" s="149" customFormat="1" x14ac:dyDescent="0.15"/>
    <row r="145" s="149" customFormat="1" x14ac:dyDescent="0.15"/>
    <row r="146" s="149" customFormat="1" x14ac:dyDescent="0.15"/>
    <row r="147" s="149" customFormat="1" x14ac:dyDescent="0.15"/>
    <row r="148" s="149" customFormat="1" x14ac:dyDescent="0.15"/>
    <row r="149" s="149" customFormat="1" x14ac:dyDescent="0.15"/>
    <row r="150" s="149" customFormat="1" x14ac:dyDescent="0.15"/>
    <row r="151" s="149" customFormat="1" x14ac:dyDescent="0.15"/>
    <row r="152" s="149" customFormat="1" x14ac:dyDescent="0.15"/>
    <row r="153" s="149" customFormat="1" x14ac:dyDescent="0.15"/>
    <row r="154" s="149" customFormat="1" x14ac:dyDescent="0.15"/>
    <row r="155" s="149" customFormat="1" x14ac:dyDescent="0.15"/>
    <row r="156" s="149" customFormat="1" x14ac:dyDescent="0.15"/>
    <row r="157" s="149" customFormat="1" x14ac:dyDescent="0.15"/>
    <row r="158" s="149" customFormat="1" x14ac:dyDescent="0.15"/>
    <row r="159" s="149" customFormat="1" x14ac:dyDescent="0.15"/>
    <row r="160" s="149" customFormat="1" x14ac:dyDescent="0.15"/>
    <row r="161" s="149" customFormat="1" x14ac:dyDescent="0.15"/>
    <row r="162" s="149" customFormat="1" x14ac:dyDescent="0.15"/>
    <row r="163" s="149" customFormat="1" x14ac:dyDescent="0.15"/>
    <row r="164" s="149" customFormat="1" x14ac:dyDescent="0.15"/>
    <row r="165" s="149" customFormat="1" x14ac:dyDescent="0.15"/>
    <row r="166" s="149" customFormat="1" x14ac:dyDescent="0.15"/>
    <row r="167" s="149" customFormat="1" x14ac:dyDescent="0.15"/>
    <row r="168" s="149" customFormat="1" x14ac:dyDescent="0.15"/>
    <row r="169" s="149" customFormat="1" x14ac:dyDescent="0.15"/>
    <row r="170" s="149" customFormat="1" x14ac:dyDescent="0.15"/>
    <row r="171" s="149" customFormat="1" x14ac:dyDescent="0.15"/>
    <row r="172" s="149" customFormat="1" x14ac:dyDescent="0.15"/>
    <row r="173" s="149" customFormat="1" x14ac:dyDescent="0.15"/>
    <row r="174" s="149" customFormat="1" x14ac:dyDescent="0.15"/>
    <row r="175" s="149" customFormat="1" x14ac:dyDescent="0.15"/>
    <row r="176" s="149" customFormat="1" x14ac:dyDescent="0.15"/>
    <row r="177" s="149" customFormat="1" x14ac:dyDescent="0.15"/>
    <row r="178" s="149" customFormat="1" x14ac:dyDescent="0.15"/>
    <row r="179" s="149" customFormat="1" x14ac:dyDescent="0.15"/>
    <row r="180" s="149" customFormat="1" x14ac:dyDescent="0.15"/>
    <row r="181" s="149" customFormat="1" x14ac:dyDescent="0.15"/>
    <row r="182" s="149" customFormat="1" x14ac:dyDescent="0.15"/>
    <row r="183" s="149" customFormat="1" x14ac:dyDescent="0.15"/>
    <row r="184" s="149" customFormat="1" x14ac:dyDescent="0.15"/>
    <row r="185" s="149" customFormat="1" x14ac:dyDescent="0.15"/>
    <row r="186" s="149" customFormat="1" x14ac:dyDescent="0.15"/>
    <row r="187" s="149" customFormat="1" x14ac:dyDescent="0.15"/>
    <row r="188" s="149" customFormat="1" x14ac:dyDescent="0.15"/>
    <row r="189" s="149" customFormat="1" x14ac:dyDescent="0.15"/>
    <row r="190" s="149" customFormat="1" x14ac:dyDescent="0.15"/>
    <row r="191" s="149" customFormat="1" x14ac:dyDescent="0.15"/>
    <row r="192" s="149" customFormat="1" x14ac:dyDescent="0.15"/>
    <row r="193" s="149" customFormat="1" x14ac:dyDescent="0.15"/>
    <row r="194" s="149" customFormat="1" x14ac:dyDescent="0.15"/>
    <row r="195" s="149" customFormat="1" x14ac:dyDescent="0.15"/>
    <row r="196" s="149" customFormat="1" x14ac:dyDescent="0.15"/>
    <row r="197" s="149" customFormat="1" x14ac:dyDescent="0.15"/>
    <row r="198" s="149" customFormat="1" x14ac:dyDescent="0.15"/>
    <row r="199" s="149" customFormat="1" x14ac:dyDescent="0.15"/>
    <row r="200" s="149" customFormat="1" x14ac:dyDescent="0.15"/>
    <row r="201" s="149" customFormat="1" x14ac:dyDescent="0.15"/>
    <row r="202" s="149" customFormat="1" x14ac:dyDescent="0.15"/>
    <row r="203" s="149" customFormat="1" x14ac:dyDescent="0.15"/>
    <row r="204" s="149" customFormat="1" x14ac:dyDescent="0.15"/>
    <row r="205" s="149" customFormat="1" x14ac:dyDescent="0.15"/>
    <row r="206" s="149" customFormat="1" x14ac:dyDescent="0.15"/>
    <row r="207" s="149" customFormat="1" x14ac:dyDescent="0.15"/>
    <row r="208" s="149" customFormat="1" x14ac:dyDescent="0.15"/>
    <row r="209" s="149" customFormat="1" x14ac:dyDescent="0.15"/>
    <row r="210" s="149" customFormat="1" x14ac:dyDescent="0.15"/>
    <row r="211" s="149" customFormat="1" x14ac:dyDescent="0.15"/>
    <row r="212" s="149" customFormat="1" x14ac:dyDescent="0.15"/>
    <row r="213" s="149" customFormat="1" x14ac:dyDescent="0.15"/>
    <row r="214" s="149" customFormat="1" x14ac:dyDescent="0.15"/>
    <row r="215" s="149" customFormat="1" x14ac:dyDescent="0.15"/>
    <row r="216" s="149" customFormat="1" x14ac:dyDescent="0.15"/>
    <row r="217" s="149" customFormat="1" x14ac:dyDescent="0.15"/>
    <row r="218" s="149" customFormat="1" x14ac:dyDescent="0.15"/>
    <row r="219" s="149" customFormat="1" x14ac:dyDescent="0.15"/>
    <row r="220" s="149" customFormat="1" x14ac:dyDescent="0.15"/>
    <row r="221" s="149" customFormat="1" x14ac:dyDescent="0.15"/>
    <row r="222" s="149" customFormat="1" x14ac:dyDescent="0.15"/>
    <row r="223" s="149" customFormat="1" x14ac:dyDescent="0.15"/>
    <row r="224" s="149" customFormat="1" x14ac:dyDescent="0.15"/>
    <row r="225" s="149" customFormat="1" x14ac:dyDescent="0.15"/>
    <row r="226" s="149" customFormat="1" x14ac:dyDescent="0.15"/>
    <row r="227" s="149" customFormat="1" x14ac:dyDescent="0.15"/>
    <row r="228" s="149" customFormat="1" x14ac:dyDescent="0.15"/>
    <row r="229" s="149" customFormat="1" x14ac:dyDescent="0.15"/>
    <row r="230" s="149" customFormat="1" x14ac:dyDescent="0.15"/>
    <row r="231" s="149" customFormat="1" x14ac:dyDescent="0.15"/>
    <row r="232" s="149" customFormat="1" x14ac:dyDescent="0.15"/>
    <row r="233" s="149" customFormat="1" x14ac:dyDescent="0.15"/>
    <row r="234" s="149" customFormat="1" x14ac:dyDescent="0.15"/>
    <row r="235" s="149" customFormat="1" x14ac:dyDescent="0.15"/>
    <row r="236" s="149" customFormat="1" x14ac:dyDescent="0.15"/>
    <row r="237" s="149" customFormat="1" x14ac:dyDescent="0.15"/>
    <row r="238" s="149" customFormat="1" x14ac:dyDescent="0.15"/>
    <row r="239" s="149" customFormat="1" x14ac:dyDescent="0.15"/>
    <row r="240" s="149" customFormat="1" x14ac:dyDescent="0.15"/>
    <row r="241" s="149" customFormat="1" x14ac:dyDescent="0.15"/>
    <row r="242" s="149" customFormat="1" x14ac:dyDescent="0.15"/>
    <row r="243" s="149" customFormat="1" x14ac:dyDescent="0.15"/>
    <row r="244" s="149" customFormat="1" x14ac:dyDescent="0.15"/>
    <row r="245" s="149" customFormat="1" x14ac:dyDescent="0.15"/>
    <row r="246" s="149" customFormat="1" x14ac:dyDescent="0.15"/>
    <row r="247" s="149" customFormat="1" x14ac:dyDescent="0.15"/>
    <row r="248" s="149" customFormat="1" x14ac:dyDescent="0.15"/>
    <row r="249" s="149" customFormat="1" x14ac:dyDescent="0.15"/>
    <row r="250" s="149" customFormat="1" x14ac:dyDescent="0.15"/>
    <row r="251" s="149" customFormat="1" x14ac:dyDescent="0.15"/>
    <row r="252" s="149" customFormat="1" x14ac:dyDescent="0.15"/>
    <row r="253" s="149" customFormat="1" x14ac:dyDescent="0.15"/>
    <row r="254" s="149" customFormat="1" x14ac:dyDescent="0.15"/>
    <row r="255" s="149" customFormat="1" x14ac:dyDescent="0.15"/>
    <row r="256" s="149" customFormat="1" x14ac:dyDescent="0.15"/>
    <row r="257" s="149" customFormat="1" x14ac:dyDescent="0.15"/>
    <row r="258" s="149" customFormat="1" x14ac:dyDescent="0.15"/>
    <row r="259" s="149" customFormat="1" x14ac:dyDescent="0.15"/>
    <row r="260" s="149" customFormat="1" x14ac:dyDescent="0.15"/>
    <row r="261" s="149" customFormat="1" x14ac:dyDescent="0.15"/>
    <row r="262" s="149" customFormat="1" x14ac:dyDescent="0.15"/>
    <row r="263" s="149" customFormat="1" x14ac:dyDescent="0.15"/>
    <row r="264" s="149" customFormat="1" x14ac:dyDescent="0.15"/>
    <row r="265" s="149" customFormat="1" x14ac:dyDescent="0.15"/>
    <row r="266" s="149" customFormat="1" x14ac:dyDescent="0.15"/>
    <row r="267" s="149" customFormat="1" x14ac:dyDescent="0.15"/>
    <row r="268" s="149" customFormat="1" x14ac:dyDescent="0.15"/>
    <row r="269" s="149" customFormat="1" x14ac:dyDescent="0.15"/>
    <row r="270" s="149" customFormat="1" x14ac:dyDescent="0.15"/>
    <row r="271" s="149" customFormat="1" x14ac:dyDescent="0.15"/>
    <row r="272" s="149" customFormat="1" x14ac:dyDescent="0.15"/>
    <row r="273" s="149" customFormat="1" x14ac:dyDescent="0.15"/>
    <row r="274" s="149" customFormat="1" x14ac:dyDescent="0.15"/>
    <row r="275" s="149" customFormat="1" x14ac:dyDescent="0.15"/>
    <row r="276" s="149" customFormat="1" x14ac:dyDescent="0.15"/>
    <row r="277" s="149" customFormat="1" x14ac:dyDescent="0.15"/>
    <row r="278" s="149" customFormat="1" x14ac:dyDescent="0.15"/>
    <row r="279" s="149" customFormat="1" x14ac:dyDescent="0.15"/>
    <row r="280" s="149" customFormat="1" x14ac:dyDescent="0.15"/>
    <row r="281" s="149" customFormat="1" x14ac:dyDescent="0.15"/>
    <row r="282" s="149" customFormat="1" x14ac:dyDescent="0.15"/>
    <row r="283" s="149" customFormat="1" x14ac:dyDescent="0.15"/>
    <row r="284" s="149" customFormat="1" x14ac:dyDescent="0.15"/>
    <row r="285" s="149" customFormat="1" x14ac:dyDescent="0.15"/>
    <row r="286" s="149" customFormat="1" x14ac:dyDescent="0.15"/>
    <row r="287" s="149" customFormat="1" x14ac:dyDescent="0.15"/>
    <row r="288" s="149" customFormat="1" x14ac:dyDescent="0.15"/>
    <row r="289" s="149" customFormat="1" x14ac:dyDescent="0.15"/>
    <row r="290" s="149" customFormat="1" x14ac:dyDescent="0.15"/>
    <row r="291" s="149" customFormat="1" x14ac:dyDescent="0.15"/>
    <row r="292" s="149" customFormat="1" x14ac:dyDescent="0.15"/>
    <row r="293" s="149" customFormat="1" x14ac:dyDescent="0.15"/>
    <row r="294" s="149" customFormat="1" x14ac:dyDescent="0.15"/>
    <row r="295" s="149" customFormat="1" x14ac:dyDescent="0.15"/>
    <row r="296" s="149" customFormat="1" x14ac:dyDescent="0.15"/>
    <row r="297" s="149" customFormat="1" x14ac:dyDescent="0.15"/>
    <row r="298" s="149" customFormat="1" x14ac:dyDescent="0.15"/>
    <row r="299" s="149" customFormat="1" x14ac:dyDescent="0.15"/>
    <row r="300" s="149" customFormat="1" x14ac:dyDescent="0.15"/>
    <row r="301" s="149" customFormat="1" x14ac:dyDescent="0.15"/>
    <row r="302" s="149" customFormat="1" x14ac:dyDescent="0.15"/>
    <row r="303" s="149" customFormat="1" x14ac:dyDescent="0.15"/>
    <row r="304" s="149" customFormat="1" x14ac:dyDescent="0.15"/>
    <row r="305" s="149" customFormat="1" x14ac:dyDescent="0.15"/>
    <row r="306" s="149" customFormat="1" x14ac:dyDescent="0.15"/>
    <row r="307" s="149" customFormat="1" x14ac:dyDescent="0.15"/>
    <row r="308" s="149" customFormat="1" x14ac:dyDescent="0.15"/>
    <row r="309" s="149" customFormat="1" x14ac:dyDescent="0.15"/>
    <row r="310" s="149" customFormat="1" x14ac:dyDescent="0.15"/>
    <row r="311" s="149" customFormat="1" x14ac:dyDescent="0.15"/>
    <row r="312" s="149" customFormat="1" x14ac:dyDescent="0.15"/>
    <row r="313" s="149" customFormat="1" x14ac:dyDescent="0.15"/>
    <row r="314" s="149" customFormat="1" x14ac:dyDescent="0.15"/>
    <row r="315" s="149" customFormat="1" x14ac:dyDescent="0.15"/>
    <row r="316" s="149" customFormat="1" x14ac:dyDescent="0.15"/>
    <row r="317" s="149" customFormat="1" x14ac:dyDescent="0.15"/>
    <row r="318" s="149" customFormat="1" x14ac:dyDescent="0.15"/>
    <row r="319" s="149" customFormat="1" x14ac:dyDescent="0.15"/>
    <row r="320" s="149" customFormat="1" x14ac:dyDescent="0.15"/>
    <row r="321" s="149" customFormat="1" x14ac:dyDescent="0.15"/>
    <row r="322" s="149" customFormat="1" x14ac:dyDescent="0.15"/>
    <row r="323" s="149" customFormat="1" x14ac:dyDescent="0.15"/>
    <row r="324" s="149" customFormat="1" x14ac:dyDescent="0.15"/>
    <row r="325" s="149" customFormat="1" x14ac:dyDescent="0.15"/>
    <row r="326" s="149" customFormat="1" x14ac:dyDescent="0.15"/>
    <row r="327" s="149" customFormat="1" x14ac:dyDescent="0.15"/>
    <row r="328" s="149" customFormat="1" x14ac:dyDescent="0.15"/>
    <row r="329" s="149" customFormat="1" x14ac:dyDescent="0.15"/>
    <row r="330" s="149" customFormat="1" x14ac:dyDescent="0.15"/>
    <row r="331" s="149" customFormat="1" x14ac:dyDescent="0.15"/>
    <row r="332" s="149" customFormat="1" x14ac:dyDescent="0.15"/>
    <row r="333" s="149" customFormat="1" x14ac:dyDescent="0.15"/>
    <row r="334" s="149" customFormat="1" x14ac:dyDescent="0.15"/>
    <row r="335" s="149" customFormat="1" x14ac:dyDescent="0.15"/>
    <row r="336" s="149" customFormat="1" x14ac:dyDescent="0.15"/>
    <row r="337" s="149" customFormat="1" x14ac:dyDescent="0.15"/>
    <row r="338" s="149" customFormat="1" x14ac:dyDescent="0.15"/>
    <row r="339" s="149" customFormat="1" x14ac:dyDescent="0.15"/>
    <row r="340" s="149" customFormat="1" x14ac:dyDescent="0.15"/>
    <row r="341" s="149" customFormat="1" x14ac:dyDescent="0.15"/>
    <row r="342" s="149" customFormat="1" x14ac:dyDescent="0.15"/>
    <row r="343" s="149" customFormat="1" x14ac:dyDescent="0.15"/>
    <row r="344" s="149" customFormat="1" x14ac:dyDescent="0.15"/>
    <row r="345" s="149" customFormat="1" x14ac:dyDescent="0.15"/>
    <row r="346" s="149" customFormat="1" x14ac:dyDescent="0.15"/>
    <row r="347" s="149" customFormat="1" x14ac:dyDescent="0.15"/>
    <row r="348" s="149" customFormat="1" x14ac:dyDescent="0.15"/>
    <row r="349" s="149" customFormat="1" x14ac:dyDescent="0.15"/>
    <row r="350" s="149" customFormat="1" x14ac:dyDescent="0.15"/>
    <row r="351" s="149" customFormat="1" x14ac:dyDescent="0.15"/>
    <row r="352" s="149" customFormat="1" x14ac:dyDescent="0.15"/>
    <row r="353" s="149" customFormat="1" x14ac:dyDescent="0.15"/>
    <row r="354" s="149" customFormat="1" x14ac:dyDescent="0.15"/>
    <row r="355" s="149" customFormat="1" x14ac:dyDescent="0.15"/>
    <row r="356" s="149" customFormat="1" x14ac:dyDescent="0.15"/>
    <row r="357" s="149" customFormat="1" x14ac:dyDescent="0.15"/>
    <row r="358" s="149" customFormat="1" x14ac:dyDescent="0.15"/>
    <row r="359" s="149" customFormat="1" x14ac:dyDescent="0.15"/>
    <row r="360" s="149" customFormat="1" x14ac:dyDescent="0.15"/>
    <row r="361" s="149" customFormat="1" x14ac:dyDescent="0.15"/>
    <row r="362" s="149" customFormat="1" x14ac:dyDescent="0.15"/>
    <row r="363" s="149" customFormat="1" x14ac:dyDescent="0.15"/>
    <row r="364" s="149" customFormat="1" x14ac:dyDescent="0.15"/>
    <row r="365" s="149" customFormat="1" x14ac:dyDescent="0.15"/>
    <row r="366" s="149" customFormat="1" x14ac:dyDescent="0.15"/>
    <row r="367" s="149" customFormat="1" x14ac:dyDescent="0.15"/>
    <row r="368" s="149" customFormat="1" x14ac:dyDescent="0.15"/>
    <row r="369" s="149" customFormat="1" x14ac:dyDescent="0.15"/>
    <row r="370" s="149" customFormat="1" x14ac:dyDescent="0.15"/>
    <row r="371" s="149" customFormat="1" x14ac:dyDescent="0.15"/>
    <row r="372" s="149" customFormat="1" x14ac:dyDescent="0.15"/>
    <row r="373" s="149" customFormat="1" x14ac:dyDescent="0.15"/>
    <row r="374" s="149" customFormat="1" x14ac:dyDescent="0.15"/>
    <row r="375" s="149" customFormat="1" x14ac:dyDescent="0.15"/>
    <row r="376" s="149" customFormat="1" x14ac:dyDescent="0.15"/>
    <row r="377" s="149" customFormat="1" x14ac:dyDescent="0.15"/>
    <row r="378" s="149" customFormat="1" x14ac:dyDescent="0.15"/>
    <row r="379" s="149" customFormat="1" x14ac:dyDescent="0.15"/>
    <row r="380" s="149" customFormat="1" x14ac:dyDescent="0.15"/>
    <row r="381" s="149" customFormat="1" x14ac:dyDescent="0.15"/>
    <row r="382" s="149" customFormat="1" x14ac:dyDescent="0.15"/>
    <row r="383" s="149" customFormat="1" x14ac:dyDescent="0.15"/>
    <row r="384" s="149" customFormat="1" x14ac:dyDescent="0.15"/>
    <row r="385" s="149" customFormat="1" x14ac:dyDescent="0.15"/>
    <row r="386" s="149" customFormat="1" x14ac:dyDescent="0.15"/>
    <row r="387" s="149" customFormat="1" x14ac:dyDescent="0.15"/>
    <row r="388" s="149" customFormat="1" x14ac:dyDescent="0.15"/>
    <row r="389" s="149" customFormat="1" x14ac:dyDescent="0.15"/>
    <row r="390" s="149" customFormat="1" x14ac:dyDescent="0.15"/>
    <row r="391" s="149" customFormat="1" x14ac:dyDescent="0.15"/>
    <row r="392" s="149" customFormat="1" x14ac:dyDescent="0.15"/>
    <row r="393" s="149" customFormat="1" x14ac:dyDescent="0.15"/>
    <row r="394" s="149" customFormat="1" x14ac:dyDescent="0.15"/>
    <row r="395" s="149" customFormat="1" x14ac:dyDescent="0.15"/>
    <row r="396" s="149" customFormat="1" x14ac:dyDescent="0.15"/>
    <row r="397" s="149" customFormat="1" x14ac:dyDescent="0.15"/>
    <row r="398" s="149" customFormat="1" x14ac:dyDescent="0.15"/>
    <row r="399" s="149" customFormat="1" x14ac:dyDescent="0.15"/>
    <row r="400" s="149" customFormat="1" x14ac:dyDescent="0.15"/>
    <row r="401" s="149" customFormat="1" x14ac:dyDescent="0.15"/>
    <row r="402" s="149" customFormat="1" x14ac:dyDescent="0.15"/>
    <row r="403" s="149" customFormat="1" x14ac:dyDescent="0.15"/>
    <row r="404" s="149" customFormat="1" x14ac:dyDescent="0.15"/>
    <row r="405" s="149" customFormat="1" x14ac:dyDescent="0.15"/>
    <row r="406" s="149" customFormat="1" x14ac:dyDescent="0.15"/>
    <row r="407" s="149" customFormat="1" x14ac:dyDescent="0.15"/>
    <row r="408" s="149" customFormat="1" x14ac:dyDescent="0.15"/>
    <row r="409" s="149" customFormat="1" x14ac:dyDescent="0.15"/>
    <row r="410" s="149" customFormat="1" x14ac:dyDescent="0.15"/>
    <row r="411" s="149" customFormat="1" x14ac:dyDescent="0.15"/>
    <row r="412" s="149" customFormat="1" x14ac:dyDescent="0.15"/>
    <row r="413" s="149" customFormat="1" x14ac:dyDescent="0.15"/>
    <row r="414" s="149" customFormat="1" x14ac:dyDescent="0.15"/>
    <row r="415" s="149" customFormat="1" x14ac:dyDescent="0.15"/>
    <row r="416" s="149" customFormat="1" x14ac:dyDescent="0.15"/>
    <row r="417" s="149" customFormat="1" x14ac:dyDescent="0.15"/>
    <row r="418" s="149" customFormat="1" x14ac:dyDescent="0.15"/>
    <row r="419" s="149" customFormat="1" x14ac:dyDescent="0.15"/>
    <row r="420" s="149" customFormat="1" x14ac:dyDescent="0.15"/>
    <row r="421" s="149" customFormat="1" x14ac:dyDescent="0.15"/>
    <row r="422" s="149" customFormat="1" x14ac:dyDescent="0.15"/>
    <row r="423" s="149" customFormat="1" x14ac:dyDescent="0.15"/>
    <row r="424" s="149" customFormat="1" x14ac:dyDescent="0.15"/>
    <row r="425" s="149" customFormat="1" x14ac:dyDescent="0.15"/>
    <row r="426" s="149" customFormat="1" x14ac:dyDescent="0.15"/>
    <row r="427" s="149" customFormat="1" x14ac:dyDescent="0.15"/>
    <row r="428" s="149" customFormat="1" x14ac:dyDescent="0.15"/>
    <row r="429" s="149" customFormat="1" x14ac:dyDescent="0.15"/>
    <row r="430" s="149" customFormat="1" x14ac:dyDescent="0.15"/>
    <row r="431" s="149" customFormat="1" x14ac:dyDescent="0.15"/>
    <row r="432" s="149" customFormat="1" x14ac:dyDescent="0.15"/>
    <row r="433" s="149" customFormat="1" x14ac:dyDescent="0.15"/>
    <row r="434" s="149" customFormat="1" x14ac:dyDescent="0.15"/>
    <row r="435" s="149" customFormat="1" x14ac:dyDescent="0.15"/>
    <row r="436" s="149" customFormat="1" x14ac:dyDescent="0.15"/>
    <row r="437" s="149" customFormat="1" x14ac:dyDescent="0.15"/>
    <row r="438" s="149" customFormat="1" x14ac:dyDescent="0.15"/>
    <row r="439" s="149" customFormat="1" x14ac:dyDescent="0.15"/>
    <row r="440" s="149" customFormat="1" x14ac:dyDescent="0.15"/>
    <row r="441" s="149" customFormat="1" x14ac:dyDescent="0.15"/>
    <row r="442" s="149" customFormat="1" x14ac:dyDescent="0.15"/>
  </sheetData>
  <sheetProtection algorithmName="SHA-512" hashValue="DQ8DM8lajjVXBXCCSJGvmD+jBr0+v6Z/V5BhcqEb3iMkQj35J/rguZ9BB/z2X+5gwYSLe+fhjwXe2FfXyUtIDQ==" saltValue="iqftGBgtZXas+pj8kz2lpQ==" spinCount="100000" sheet="1" objects="1" scenarios="1"/>
  <phoneticPr fontId="6" type="noConversion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BX268"/>
  <sheetViews>
    <sheetView workbookViewId="0">
      <selection activeCell="O38" sqref="O38"/>
    </sheetView>
  </sheetViews>
  <sheetFormatPr baseColWidth="10" defaultRowHeight="13" x14ac:dyDescent="0.15"/>
  <cols>
    <col min="1" max="2" width="20.33203125" style="29" customWidth="1"/>
    <col min="3" max="10" width="11.83203125" style="29" customWidth="1"/>
    <col min="11" max="12" width="11.83203125" style="29" hidden="1" customWidth="1"/>
    <col min="13" max="17" width="11.83203125" style="29" customWidth="1"/>
    <col min="18" max="19" width="11.83203125" style="29" hidden="1" customWidth="1"/>
    <col min="20" max="23" width="11.83203125" style="29" customWidth="1"/>
    <col min="24" max="16384" width="10.83203125" style="29"/>
  </cols>
  <sheetData>
    <row r="1" spans="1:76" ht="14" x14ac:dyDescent="0.15">
      <c r="A1" s="113" t="s">
        <v>161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</row>
    <row r="2" spans="1:76" ht="14" x14ac:dyDescent="0.15">
      <c r="A2" s="115" t="s">
        <v>162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</row>
    <row r="3" spans="1:76" ht="15" thickBot="1" x14ac:dyDescent="0.2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</row>
    <row r="4" spans="1:76" ht="14" x14ac:dyDescent="0.15">
      <c r="A4" s="116" t="s">
        <v>163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8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spans="1:76" ht="14" x14ac:dyDescent="0.15">
      <c r="A5" s="119" t="s">
        <v>240</v>
      </c>
      <c r="B5" s="60"/>
      <c r="C5" s="143">
        <v>1500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120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</row>
    <row r="6" spans="1:76" ht="14" x14ac:dyDescent="0.15">
      <c r="A6" s="11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120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</row>
    <row r="7" spans="1:76" ht="75" x14ac:dyDescent="0.15">
      <c r="A7" s="239" t="s">
        <v>278</v>
      </c>
      <c r="B7" s="240" t="s">
        <v>73</v>
      </c>
      <c r="C7" s="248" t="s">
        <v>74</v>
      </c>
      <c r="D7" s="248" t="s">
        <v>361</v>
      </c>
      <c r="E7" s="241" t="s">
        <v>164</v>
      </c>
      <c r="F7" s="241" t="s">
        <v>165</v>
      </c>
      <c r="G7" s="241" t="s">
        <v>11</v>
      </c>
      <c r="H7" s="241" t="s">
        <v>238</v>
      </c>
      <c r="I7" s="241" t="s">
        <v>239</v>
      </c>
      <c r="J7" s="241" t="s">
        <v>958</v>
      </c>
      <c r="K7" s="249" t="s">
        <v>52</v>
      </c>
      <c r="L7" s="249" t="s">
        <v>172</v>
      </c>
      <c r="M7" s="242" t="s">
        <v>0</v>
      </c>
      <c r="N7" s="243" t="s">
        <v>174</v>
      </c>
      <c r="O7" s="243" t="s">
        <v>175</v>
      </c>
      <c r="P7" s="243" t="s">
        <v>76</v>
      </c>
      <c r="Q7" s="243" t="s">
        <v>77</v>
      </c>
      <c r="R7" s="250" t="s">
        <v>303</v>
      </c>
      <c r="S7" s="250" t="s">
        <v>304</v>
      </c>
      <c r="T7" s="244" t="s">
        <v>98</v>
      </c>
      <c r="U7" s="244" t="s">
        <v>94</v>
      </c>
      <c r="V7" s="243" t="s">
        <v>359</v>
      </c>
      <c r="W7" s="247" t="s">
        <v>360</v>
      </c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</row>
    <row r="8" spans="1:76" ht="14" x14ac:dyDescent="0.15">
      <c r="A8" s="111" t="str">
        <f>'Tariff Jul 2016'!K2</f>
        <v>AGL</v>
      </c>
      <c r="B8" s="29" t="str">
        <f>'Tariff Jul 2016'!L2</f>
        <v xml:space="preserve">Savers </v>
      </c>
      <c r="C8" s="121">
        <f>91*'Tariff Jul 2016'!M2/100</f>
        <v>64.519000000000005</v>
      </c>
      <c r="D8" s="121">
        <f>IF($C$5&gt;='Tariff Jul 2016'!P2,('Tariff Jul 2016'!P2*25%)*'Tariff Jul 2016'!N2/100+('Tariff Jul 2016'!P2*75%)*'Tariff Jul 2016'!W2/100,($C$5*25%)*'Tariff Jul 2016'!N2/100+($C$5*75%)*'Tariff Jul 2016'!W2/100)</f>
        <v>313.8</v>
      </c>
      <c r="E8" s="121">
        <v>0</v>
      </c>
      <c r="F8" s="122">
        <v>0</v>
      </c>
      <c r="G8" s="121">
        <v>0</v>
      </c>
      <c r="H8" s="121">
        <v>0</v>
      </c>
      <c r="I8" s="121">
        <f>IF(($C$5&lt;'Tariff Jul 2016'!T2),(0),(($C$5-'Tariff Jul 2016'!T2)*25%)*'Tariff Jul 2016'!U2/100+(($C$5-'Tariff Jul 2016'!T2)*75%)*'Tariff Jul 2016'!AC2/100)</f>
        <v>176.77500000000001</v>
      </c>
      <c r="J8" s="121">
        <f>SUM(C8:I8)</f>
        <v>555.09400000000005</v>
      </c>
      <c r="K8" s="256">
        <f>(J8-C8)*4</f>
        <v>1962.3000000000002</v>
      </c>
      <c r="L8" s="125">
        <f>J8*4</f>
        <v>2220.3760000000002</v>
      </c>
      <c r="M8" s="125">
        <f>L8*1.1</f>
        <v>2442.4136000000003</v>
      </c>
      <c r="N8" s="29">
        <f>'Tariff Jul 2016'!AT2</f>
        <v>0</v>
      </c>
      <c r="O8" s="29">
        <f>'Tariff Jul 2016'!AU2</f>
        <v>0</v>
      </c>
      <c r="P8" s="29">
        <f>'Tariff Jul 2016'!AV2</f>
        <v>0</v>
      </c>
      <c r="Q8" s="29">
        <f>'Tariff Jul 2016'!AW2</f>
        <v>15</v>
      </c>
      <c r="R8" s="256">
        <f>L8</f>
        <v>2220.3760000000002</v>
      </c>
      <c r="S8" s="256">
        <f>R8-(K8*Q8/100)</f>
        <v>1926.0310000000002</v>
      </c>
      <c r="T8" s="262">
        <f>R8*1.1</f>
        <v>2442.4136000000003</v>
      </c>
      <c r="U8" s="262">
        <f>S8*1.1</f>
        <v>2118.6341000000002</v>
      </c>
      <c r="V8" s="126">
        <f>'Tariff Jul 2016'!BD2</f>
        <v>0</v>
      </c>
      <c r="W8" s="127" t="str">
        <f>'Tariff Jul 2016'!BE2</f>
        <v>n</v>
      </c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</row>
    <row r="9" spans="1:76" ht="14" x14ac:dyDescent="0.15">
      <c r="A9" s="111" t="str">
        <f>'Tariff Jul 2016'!K3</f>
        <v>Alinta Energy</v>
      </c>
      <c r="B9" s="29" t="str">
        <f>'Tariff Jul 2016'!L3</f>
        <v>Fair Deal</v>
      </c>
      <c r="C9" s="121">
        <f>91*'Tariff Jul 2016'!M3/100</f>
        <v>71.962800000000001</v>
      </c>
      <c r="D9" s="121">
        <f>IF($C$5&gt;='Tariff Jul 2016'!P3,('Tariff Jul 2016'!P3*'Tariff Jul 2016'!N3/100),($C$5*'Tariff Jul 2016'!N3/100))</f>
        <v>95.28</v>
      </c>
      <c r="E9" s="121">
        <f>IF($C$5&lt;'Tariff Jul 2016'!P3,0,IF(($C$5-'Tariff Jul 2016'!P3)&lt;='Tariff Jul 2016'!R3,(($C$5-'Tariff Jul 2016'!P3)*'Tariff Jul 2016'!Q3/100),(('Tariff Jul 2016'!R3-'Tariff Jul 2016'!P3)*'Tariff Jul 2016'!Q3/100)))</f>
        <v>231.34999999999997</v>
      </c>
      <c r="F9" s="122">
        <f>IF($C$5&lt;'Tariff Jul 2016'!R3,0,IF(($C$5-'Tariff Jul 2016'!R3)&lt;='Tariff Jul 2016'!T3,(($C$5-'Tariff Jul 2016'!R3)*'Tariff Jul 2016'!S3/100),(('Tariff Jul 2016'!T3-'Tariff Jul 2016'!R3)*'Tariff Jul 2016'!S3/100)))</f>
        <v>181.8</v>
      </c>
      <c r="G9" s="121">
        <v>0</v>
      </c>
      <c r="H9" s="121">
        <v>0</v>
      </c>
      <c r="I9" s="121">
        <f>IF(($C$5&lt;'Tariff Jul 2016'!T3),(0),($C$5-'Tariff Jul 2016'!T3)*'Tariff Jul 2016'!U3/100)</f>
        <v>0</v>
      </c>
      <c r="J9" s="121">
        <f t="shared" ref="J9:J22" si="0">SUM(C9:I9)</f>
        <v>580.39279999999997</v>
      </c>
      <c r="K9" s="256">
        <f>(J9-C9)*4</f>
        <v>2033.7199999999998</v>
      </c>
      <c r="L9" s="125">
        <f t="shared" ref="L9:L22" si="1">J9*4</f>
        <v>2321.5711999999999</v>
      </c>
      <c r="M9" s="125">
        <f t="shared" ref="M9:M22" si="2">L9*1.1</f>
        <v>2553.7283200000002</v>
      </c>
      <c r="N9" s="29">
        <f>'Tariff Jul 2016'!AT3</f>
        <v>0</v>
      </c>
      <c r="O9" s="29">
        <f>'Tariff Jul 2016'!AU3</f>
        <v>0</v>
      </c>
      <c r="P9" s="29">
        <f>'Tariff Jul 2016'!AV3</f>
        <v>0</v>
      </c>
      <c r="Q9" s="29">
        <f>'Tariff Jul 2016'!AW3</f>
        <v>20</v>
      </c>
      <c r="R9" s="256">
        <f t="shared" ref="R9:R22" si="3">L9</f>
        <v>2321.5711999999999</v>
      </c>
      <c r="S9" s="256">
        <f>R9-(K9*Q9/100)</f>
        <v>1914.8271999999999</v>
      </c>
      <c r="T9" s="262">
        <f t="shared" ref="T9:T22" si="4">R9*1.1</f>
        <v>2553.7283200000002</v>
      </c>
      <c r="U9" s="262">
        <f t="shared" ref="U9:U22" si="5">S9*1.1</f>
        <v>2106.3099200000001</v>
      </c>
      <c r="V9" s="126">
        <f>'Tariff Jul 2016'!BD3</f>
        <v>0</v>
      </c>
      <c r="W9" s="127" t="str">
        <f>'Tariff Jul 2016'!BE3</f>
        <v>n</v>
      </c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</row>
    <row r="10" spans="1:76" ht="14" x14ac:dyDescent="0.15">
      <c r="A10" s="111" t="str">
        <f>'Tariff Jul 2016'!K4</f>
        <v>Click Energy</v>
      </c>
      <c r="B10" s="29" t="str">
        <f>'Tariff Jul 2016'!L4</f>
        <v>Jade</v>
      </c>
      <c r="C10" s="121">
        <f>91*'Tariff Jul 2016'!M4/100</f>
        <v>73.628099999999989</v>
      </c>
      <c r="D10" s="121">
        <f>IF($C$5&gt;='Tariff Jul 2016'!P4,('Tariff Jul 2016'!P4*'Tariff Jul 2016'!N4/100),($C$5*'Tariff Jul 2016'!N4/100))</f>
        <v>328.29</v>
      </c>
      <c r="E10" s="121">
        <v>0</v>
      </c>
      <c r="F10" s="122">
        <v>0</v>
      </c>
      <c r="G10" s="121">
        <v>0</v>
      </c>
      <c r="H10" s="121">
        <v>0</v>
      </c>
      <c r="I10" s="121">
        <f>IF(($C$5&lt;'Tariff Jul 2016'!T4),(0),($C$5-'Tariff Jul 2016'!T4)*'Tariff Jul 2016'!U4/100)</f>
        <v>176.7</v>
      </c>
      <c r="J10" s="121">
        <f t="shared" si="0"/>
        <v>578.61809999999991</v>
      </c>
      <c r="K10" s="256">
        <f t="shared" ref="K10:K22" si="6">(J10-C10)*4</f>
        <v>2019.9599999999996</v>
      </c>
      <c r="L10" s="125">
        <f t="shared" si="1"/>
        <v>2314.4723999999997</v>
      </c>
      <c r="M10" s="125">
        <f t="shared" si="2"/>
        <v>2545.9196399999996</v>
      </c>
      <c r="N10" s="29">
        <f>'Tariff Jul 2016'!AT4</f>
        <v>0</v>
      </c>
      <c r="O10" s="29">
        <f>'Tariff Jul 2016'!AU4</f>
        <v>0</v>
      </c>
      <c r="P10" s="29">
        <f>'Tariff Jul 2016'!AV4</f>
        <v>15</v>
      </c>
      <c r="Q10" s="29">
        <f>'Tariff Jul 2016'!AW4</f>
        <v>0</v>
      </c>
      <c r="R10" s="256">
        <f t="shared" si="3"/>
        <v>2314.4723999999997</v>
      </c>
      <c r="S10" s="256">
        <f>R10-(R10*P10/100)</f>
        <v>1967.3015399999997</v>
      </c>
      <c r="T10" s="262">
        <f t="shared" si="4"/>
        <v>2545.9196399999996</v>
      </c>
      <c r="U10" s="262">
        <f t="shared" si="5"/>
        <v>2164.0316939999998</v>
      </c>
      <c r="V10" s="126">
        <f>'Tariff Jul 2016'!BD4</f>
        <v>0</v>
      </c>
      <c r="W10" s="127" t="str">
        <f>'Tariff Jul 2016'!BE4</f>
        <v>n</v>
      </c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</row>
    <row r="11" spans="1:76" ht="14" x14ac:dyDescent="0.15">
      <c r="A11" s="111" t="str">
        <f>'Tariff Jul 2016'!K5</f>
        <v>Commander</v>
      </c>
      <c r="B11" s="29" t="str">
        <f>'Tariff Jul 2016'!L5</f>
        <v>Market offer</v>
      </c>
      <c r="C11" s="121">
        <f>91*'Tariff Jul 2016'!M5/100</f>
        <v>64.200500000000005</v>
      </c>
      <c r="D11" s="121">
        <f>IF($C$5&gt;='Tariff Jul 2016'!P5,('Tariff Jul 2016'!P5*'Tariff Jul 2016'!N5/100),($C$5*'Tariff Jul 2016'!N5/100))</f>
        <v>95.85</v>
      </c>
      <c r="E11" s="121">
        <f>IF($C$5&lt;'Tariff Jul 2016'!P5,0,IF(($C$5-'Tariff Jul 2016'!P5)&lt;='Tariff Jul 2016'!R5,(($C$5-'Tariff Jul 2016'!P5)*'Tariff Jul 2016'!Q5/100),(('Tariff Jul 2016'!R5-'Tariff Jul 2016'!P5)*'Tariff Jul 2016'!Q5/100)))</f>
        <v>223.65</v>
      </c>
      <c r="F11" s="122">
        <f>IF($C$5&lt;'Tariff Jul 2016'!R5,0,IF(($C$5-'Tariff Jul 2016'!R5)&lt;='Tariff Jul 2016'!T5,(($C$5-'Tariff Jul 2016'!R5)*'Tariff Jul 2016'!S5/100),(('Tariff Jul 2016'!T5-'Tariff Jul 2016'!R5)*'Tariff Jul 2016'!S5/100)))</f>
        <v>187.25</v>
      </c>
      <c r="G11" s="121">
        <v>0</v>
      </c>
      <c r="H11" s="121">
        <v>0</v>
      </c>
      <c r="I11" s="121">
        <f>IF(($C$5&lt;'Tariff Jul 2016'!T5),(0),($C$5-'Tariff Jul 2016'!T5)*'Tariff Jul 2016'!U5/100)</f>
        <v>0</v>
      </c>
      <c r="J11" s="121">
        <f t="shared" si="0"/>
        <v>570.95050000000003</v>
      </c>
      <c r="K11" s="256">
        <f t="shared" si="6"/>
        <v>2027</v>
      </c>
      <c r="L11" s="125">
        <f t="shared" si="1"/>
        <v>2283.8020000000001</v>
      </c>
      <c r="M11" s="125">
        <f t="shared" si="2"/>
        <v>2512.1822000000002</v>
      </c>
      <c r="N11" s="29">
        <f>'Tariff Jul 2016'!AT5</f>
        <v>0</v>
      </c>
      <c r="O11" s="29">
        <f>'Tariff Jul 2016'!AU5</f>
        <v>0</v>
      </c>
      <c r="P11" s="29">
        <f>'Tariff Jul 2016'!AV5</f>
        <v>0</v>
      </c>
      <c r="Q11" s="29">
        <f>'Tariff Jul 2016'!AW5</f>
        <v>20</v>
      </c>
      <c r="R11" s="256">
        <f t="shared" si="3"/>
        <v>2283.8020000000001</v>
      </c>
      <c r="S11" s="256">
        <f>R11-(K11*Q11/100)</f>
        <v>1878.402</v>
      </c>
      <c r="T11" s="262">
        <f t="shared" si="4"/>
        <v>2512.1822000000002</v>
      </c>
      <c r="U11" s="262">
        <f t="shared" si="5"/>
        <v>2066.2422000000001</v>
      </c>
      <c r="V11" s="126">
        <f>'Tariff Jul 2016'!BD5</f>
        <v>0</v>
      </c>
      <c r="W11" s="127" t="str">
        <f>'Tariff Jul 2016'!BE5</f>
        <v>n</v>
      </c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</row>
    <row r="12" spans="1:76" ht="14" x14ac:dyDescent="0.15">
      <c r="A12" s="111" t="str">
        <f>'Tariff Jul 2016'!K6</f>
        <v>Diamond Energy</v>
      </c>
      <c r="B12" s="29" t="str">
        <f>'Tariff Jul 2016'!L6</f>
        <v>Pay on time discount</v>
      </c>
      <c r="C12" s="121">
        <f>91*'Tariff Jul 2016'!M6/100</f>
        <v>71.389499999999998</v>
      </c>
      <c r="D12" s="121">
        <f>IF($C$5&gt;='Tariff Jul 2016'!P6,('Tariff Jul 2016'!P6*'Tariff Jul 2016'!N6/100),($C$5*'Tariff Jul 2016'!N6/100))</f>
        <v>89.43</v>
      </c>
      <c r="E12" s="121">
        <f>IF($C$5&lt;'Tariff Jul 2016'!P6,0,IF(($C$5-'Tariff Jul 2016'!P6)&lt;='Tariff Jul 2016'!R6,(($C$5-'Tariff Jul 2016'!P6)*'Tariff Jul 2016'!Q6/100),(('Tariff Jul 2016'!R6-'Tariff Jul 2016'!P6)*'Tariff Jul 2016'!Q6/100)))</f>
        <v>223.65</v>
      </c>
      <c r="F12" s="122">
        <f>IF($C$5&lt;'Tariff Jul 2016'!R6,0,IF(($C$5-'Tariff Jul 2016'!R6)&lt;='Tariff Jul 2016'!T6,(($C$5-'Tariff Jul 2016'!R6)*'Tariff Jul 2016'!S6/100),(('Tariff Jul 2016'!T6-'Tariff Jul 2016'!R6)*'Tariff Jul 2016'!S6/100)))</f>
        <v>174.9</v>
      </c>
      <c r="G12" s="121">
        <v>0</v>
      </c>
      <c r="H12" s="121">
        <v>0</v>
      </c>
      <c r="I12" s="121">
        <f>IF(($C$5&lt;'Tariff Jul 2016'!T6),(0),($C$5-'Tariff Jul 2016'!T6)*'Tariff Jul 2016'!U6/100)</f>
        <v>0</v>
      </c>
      <c r="J12" s="121">
        <f t="shared" si="0"/>
        <v>559.36950000000002</v>
      </c>
      <c r="K12" s="256">
        <f t="shared" si="6"/>
        <v>1951.92</v>
      </c>
      <c r="L12" s="125">
        <f t="shared" si="1"/>
        <v>2237.4780000000001</v>
      </c>
      <c r="M12" s="125">
        <f t="shared" si="2"/>
        <v>2461.2258000000002</v>
      </c>
      <c r="N12" s="29">
        <f>'Tariff Jul 2016'!AT6</f>
        <v>0</v>
      </c>
      <c r="O12" s="29">
        <f>'Tariff Jul 2016'!AU6</f>
        <v>0</v>
      </c>
      <c r="P12" s="29">
        <f>'Tariff Jul 2016'!AV6</f>
        <v>7</v>
      </c>
      <c r="Q12" s="29">
        <f>'Tariff Jul 2016'!AW6</f>
        <v>0</v>
      </c>
      <c r="R12" s="256">
        <f t="shared" si="3"/>
        <v>2237.4780000000001</v>
      </c>
      <c r="S12" s="256">
        <f>R12-(R12*P12/100)</f>
        <v>2080.8545400000003</v>
      </c>
      <c r="T12" s="262">
        <f t="shared" si="4"/>
        <v>2461.2258000000002</v>
      </c>
      <c r="U12" s="262">
        <f t="shared" si="5"/>
        <v>2288.9399940000003</v>
      </c>
      <c r="V12" s="126">
        <f>'Tariff Jul 2016'!BD6</f>
        <v>24</v>
      </c>
      <c r="W12" s="127" t="str">
        <f>'Tariff Jul 2016'!BE6</f>
        <v>y</v>
      </c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</row>
    <row r="13" spans="1:76" ht="14" x14ac:dyDescent="0.15">
      <c r="A13" s="111" t="str">
        <f>'Tariff Jul 2016'!K7</f>
        <v>Dodo Power &amp; Gas</v>
      </c>
      <c r="B13" s="29" t="str">
        <f>'Tariff Jul 2016'!L7</f>
        <v>Market offer</v>
      </c>
      <c r="C13" s="121">
        <f>91*'Tariff Jul 2016'!M7/100</f>
        <v>64.200500000000005</v>
      </c>
      <c r="D13" s="121">
        <f>IF($C$5&gt;='Tariff Jul 2016'!P7,('Tariff Jul 2016'!P7*'Tariff Jul 2016'!N7/100),($C$5*'Tariff Jul 2016'!N7/100))</f>
        <v>100.5</v>
      </c>
      <c r="E13" s="121">
        <f>IF($C$5&lt;'Tariff Jul 2016'!P7,0,IF(($C$5-'Tariff Jul 2016'!P7)&lt;='Tariff Jul 2016'!R7,(($C$5-'Tariff Jul 2016'!P7)*'Tariff Jul 2016'!Q7/100),(('Tariff Jul 2016'!R7-'Tariff Jul 2016'!P7)*'Tariff Jul 2016'!Q7/100)))</f>
        <v>234.5</v>
      </c>
      <c r="F13" s="122">
        <f>IF($C$5&lt;'Tariff Jul 2016'!R7,0,IF(($C$5-'Tariff Jul 2016'!R7)&lt;='Tariff Jul 2016'!T7,(($C$5-'Tariff Jul 2016'!R7)*'Tariff Jul 2016'!S7/100),(('Tariff Jul 2016'!T7-'Tariff Jul 2016'!R7)*'Tariff Jul 2016'!S7/100)))</f>
        <v>193.75</v>
      </c>
      <c r="G13" s="121">
        <v>0</v>
      </c>
      <c r="H13" s="121">
        <v>0</v>
      </c>
      <c r="I13" s="121">
        <f>IF(($C$5&lt;'Tariff Jul 2016'!T7),(0),($C$5-'Tariff Jul 2016'!T7)*'Tariff Jul 2016'!U7/100)</f>
        <v>0</v>
      </c>
      <c r="J13" s="121">
        <f t="shared" si="0"/>
        <v>592.95050000000003</v>
      </c>
      <c r="K13" s="256">
        <f t="shared" si="6"/>
        <v>2115</v>
      </c>
      <c r="L13" s="125">
        <f t="shared" si="1"/>
        <v>2371.8020000000001</v>
      </c>
      <c r="M13" s="125">
        <f t="shared" si="2"/>
        <v>2608.9822000000004</v>
      </c>
      <c r="N13" s="29">
        <f>'Tariff Jul 2016'!AT7</f>
        <v>0</v>
      </c>
      <c r="O13" s="29">
        <f>'Tariff Jul 2016'!AU7</f>
        <v>0</v>
      </c>
      <c r="P13" s="29">
        <f>'Tariff Jul 2016'!AV7</f>
        <v>0</v>
      </c>
      <c r="Q13" s="29">
        <f>'Tariff Jul 2016'!AW7</f>
        <v>25</v>
      </c>
      <c r="R13" s="256">
        <f t="shared" si="3"/>
        <v>2371.8020000000001</v>
      </c>
      <c r="S13" s="256">
        <f>R13-(K13*Q13/100)</f>
        <v>1843.0520000000001</v>
      </c>
      <c r="T13" s="262">
        <f t="shared" si="4"/>
        <v>2608.9822000000004</v>
      </c>
      <c r="U13" s="262">
        <f t="shared" si="5"/>
        <v>2027.3572000000004</v>
      </c>
      <c r="V13" s="126">
        <f>'Tariff Jul 2016'!BD7</f>
        <v>0</v>
      </c>
      <c r="W13" s="127" t="str">
        <f>'Tariff Jul 2016'!BE7</f>
        <v>n</v>
      </c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</row>
    <row r="14" spans="1:76" ht="14" x14ac:dyDescent="0.15">
      <c r="A14" s="111" t="str">
        <f>'Tariff Jul 2016'!K8</f>
        <v>EnergyAustralia</v>
      </c>
      <c r="B14" s="29" t="str">
        <f>'Tariff Jul 2016'!L8</f>
        <v xml:space="preserve">Flexi Saver </v>
      </c>
      <c r="C14" s="121">
        <f>91*'Tariff Jul 2016'!M8/100</f>
        <v>72.6999</v>
      </c>
      <c r="D14" s="121">
        <f>IF($C$5&gt;='Tariff Jul 2016'!P8,('Tariff Jul 2016'!P8*'Tariff Jul 2016'!N8/100),($C$5*'Tariff Jul 2016'!N8/100))</f>
        <v>339.67399999999992</v>
      </c>
      <c r="E14" s="121">
        <f>IF($C$5&lt;'Tariff Jul 2016'!P8,0,IF(($C$5-'Tariff Jul 2016'!P8)&lt;='Tariff Jul 2016'!R8,(($C$5-'Tariff Jul 2016'!P8)*'Tariff Jul 2016'!Q8/100),(('Tariff Jul 2016'!R8-'Tariff Jul 2016'!P8)*'Tariff Jul 2016'!Q8/100)))</f>
        <v>195.86600000000001</v>
      </c>
      <c r="F14" s="122">
        <v>0</v>
      </c>
      <c r="G14" s="121">
        <v>0</v>
      </c>
      <c r="H14" s="121">
        <v>0</v>
      </c>
      <c r="I14" s="121">
        <f>IF(($C$5&lt;'Tariff Jul 2016'!T8),(0),($C$5-'Tariff Jul 2016'!T8)*'Tariff Jul 2016'!U8/100)</f>
        <v>0</v>
      </c>
      <c r="J14" s="121">
        <f t="shared" si="0"/>
        <v>608.23989999999992</v>
      </c>
      <c r="K14" s="256">
        <f t="shared" si="6"/>
        <v>2142.16</v>
      </c>
      <c r="L14" s="125">
        <f t="shared" si="1"/>
        <v>2432.9595999999997</v>
      </c>
      <c r="M14" s="125">
        <f t="shared" si="2"/>
        <v>2676.2555600000001</v>
      </c>
      <c r="N14" s="29">
        <f>'Tariff Jul 2016'!AT8</f>
        <v>0</v>
      </c>
      <c r="O14" s="29">
        <f>'Tariff Jul 2016'!AU8</f>
        <v>0</v>
      </c>
      <c r="P14" s="29">
        <f>'Tariff Jul 2016'!AV8</f>
        <v>0</v>
      </c>
      <c r="Q14" s="29">
        <f>'Tariff Jul 2016'!AW8</f>
        <v>18</v>
      </c>
      <c r="R14" s="256">
        <f t="shared" si="3"/>
        <v>2432.9595999999997</v>
      </c>
      <c r="S14" s="256">
        <f>R14-(K14*Q14/100)</f>
        <v>2047.3707999999997</v>
      </c>
      <c r="T14" s="262">
        <f t="shared" si="4"/>
        <v>2676.2555600000001</v>
      </c>
      <c r="U14" s="262">
        <f t="shared" si="5"/>
        <v>2252.10788</v>
      </c>
      <c r="V14" s="126">
        <f>'Tariff Jul 2016'!BD8</f>
        <v>0</v>
      </c>
      <c r="W14" s="127" t="str">
        <f>'Tariff Jul 2016'!BE8</f>
        <v>n</v>
      </c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</row>
    <row r="15" spans="1:76" ht="14" x14ac:dyDescent="0.15">
      <c r="A15" s="111" t="str">
        <f>'Tariff Jul 2016'!K9</f>
        <v>Lumo Energy</v>
      </c>
      <c r="B15" s="29" t="str">
        <f>'Tariff Jul 2016'!L9</f>
        <v>Advantage</v>
      </c>
      <c r="C15" s="121">
        <f>91*'Tariff Jul 2016'!M9/100</f>
        <v>72.408699999999996</v>
      </c>
      <c r="D15" s="121">
        <f>IF($C$5&gt;='Tariff Jul 2016'!P9,('Tariff Jul 2016'!P9*'Tariff Jul 2016'!N9/100),($C$5*'Tariff Jul 2016'!N9/100))</f>
        <v>309.7</v>
      </c>
      <c r="E15" s="121">
        <v>0</v>
      </c>
      <c r="F15" s="122">
        <v>0</v>
      </c>
      <c r="G15" s="121">
        <v>0</v>
      </c>
      <c r="H15" s="121">
        <v>0</v>
      </c>
      <c r="I15" s="121">
        <f>IF(($C$5&lt;'Tariff Jul 2016'!T9),(0),($C$5-'Tariff Jul 2016'!T9)*'Tariff Jul 2016'!U9/100)</f>
        <v>180.3</v>
      </c>
      <c r="J15" s="121">
        <f t="shared" si="0"/>
        <v>562.40869999999995</v>
      </c>
      <c r="K15" s="256">
        <f t="shared" si="6"/>
        <v>1959.9999999999998</v>
      </c>
      <c r="L15" s="125">
        <f t="shared" si="1"/>
        <v>2249.6347999999998</v>
      </c>
      <c r="M15" s="125">
        <f t="shared" si="2"/>
        <v>2474.5982800000002</v>
      </c>
      <c r="N15" s="29">
        <f>'Tariff Jul 2016'!AT9</f>
        <v>0</v>
      </c>
      <c r="O15" s="29">
        <f>'Tariff Jul 2016'!AU9</f>
        <v>0</v>
      </c>
      <c r="P15" s="29">
        <f>'Tariff Jul 2016'!AV9</f>
        <v>12</v>
      </c>
      <c r="Q15" s="29">
        <f>'Tariff Jul 2016'!AW9</f>
        <v>0</v>
      </c>
      <c r="R15" s="256">
        <f t="shared" si="3"/>
        <v>2249.6347999999998</v>
      </c>
      <c r="S15" s="256">
        <f>R15-(R15*P15/100)</f>
        <v>1979.6786239999999</v>
      </c>
      <c r="T15" s="262">
        <f t="shared" si="4"/>
        <v>2474.5982800000002</v>
      </c>
      <c r="U15" s="262">
        <f t="shared" si="5"/>
        <v>2177.6464864</v>
      </c>
      <c r="V15" s="126">
        <f>'Tariff Jul 2016'!BD9</f>
        <v>24</v>
      </c>
      <c r="W15" s="127" t="str">
        <f>'Tariff Jul 2016'!BE9</f>
        <v>n</v>
      </c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</row>
    <row r="16" spans="1:76" ht="14" x14ac:dyDescent="0.15">
      <c r="A16" s="111" t="str">
        <f>'Tariff Jul 2016'!K10</f>
        <v>Momentum Energy</v>
      </c>
      <c r="B16" s="29" t="str">
        <f>'Tariff Jul 2016'!L10</f>
        <v>SmilePower</v>
      </c>
      <c r="C16" s="121">
        <f>91*'Tariff Jul 2016'!M10/100</f>
        <v>68.377399999999994</v>
      </c>
      <c r="D16" s="121">
        <f>IF($C$5&gt;='Tariff Jul 2016'!P10,('Tariff Jul 2016'!P10*'Tariff Jul 2016'!N10/100),($C$5*'Tariff Jul 2016'!N10/100))</f>
        <v>186.18</v>
      </c>
      <c r="E16" s="121">
        <v>0</v>
      </c>
      <c r="F16" s="122">
        <v>0</v>
      </c>
      <c r="G16" s="121">
        <v>0</v>
      </c>
      <c r="H16" s="121">
        <v>0</v>
      </c>
      <c r="I16" s="121">
        <f>IF(($C$5&lt;'Tariff Jul 2016'!T10),(0),($C$5-'Tariff Jul 2016'!T10)*'Tariff Jul 2016'!U10/100)</f>
        <v>285.02999999999997</v>
      </c>
      <c r="J16" s="121">
        <f t="shared" si="0"/>
        <v>539.5874</v>
      </c>
      <c r="K16" s="256">
        <f t="shared" si="6"/>
        <v>1884.8400000000001</v>
      </c>
      <c r="L16" s="125">
        <f t="shared" si="1"/>
        <v>2158.3496</v>
      </c>
      <c r="M16" s="125">
        <f t="shared" si="2"/>
        <v>2374.1845600000001</v>
      </c>
      <c r="N16" s="29">
        <f>'Tariff Jul 2016'!AT10</f>
        <v>0</v>
      </c>
      <c r="O16" s="29">
        <f>'Tariff Jul 2016'!AU10</f>
        <v>0</v>
      </c>
      <c r="P16" s="29">
        <f>'Tariff Jul 2016'!AV10</f>
        <v>0</v>
      </c>
      <c r="Q16" s="29">
        <f>'Tariff Jul 2016'!AW10</f>
        <v>0</v>
      </c>
      <c r="R16" s="256">
        <f t="shared" si="3"/>
        <v>2158.3496</v>
      </c>
      <c r="S16" s="256">
        <f>R16</f>
        <v>2158.3496</v>
      </c>
      <c r="T16" s="262">
        <f t="shared" si="4"/>
        <v>2374.1845600000001</v>
      </c>
      <c r="U16" s="262">
        <f t="shared" si="5"/>
        <v>2374.1845600000001</v>
      </c>
      <c r="V16" s="126">
        <f>'Tariff Jul 2016'!BD10</f>
        <v>12</v>
      </c>
      <c r="W16" s="127" t="str">
        <f>'Tariff Jul 2016'!BE10</f>
        <v>y</v>
      </c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</row>
    <row r="17" spans="1:76" ht="14" x14ac:dyDescent="0.15">
      <c r="A17" s="111" t="str">
        <f>'Tariff Jul 2016'!K11</f>
        <v>Origin Energy</v>
      </c>
      <c r="B17" s="29" t="str">
        <f>'Tariff Jul 2016'!L11</f>
        <v>Saver</v>
      </c>
      <c r="C17" s="121">
        <f>91*'Tariff Jul 2016'!M11/100</f>
        <v>64.255099999999999</v>
      </c>
      <c r="D17" s="121">
        <f>IF($C$5&gt;='Tariff Jul 2016'!P11,('Tariff Jul 2016'!P11*'Tariff Jul 2016'!N11/100),($C$5*'Tariff Jul 2016'!N11/100))</f>
        <v>313.2</v>
      </c>
      <c r="E17" s="121">
        <v>0</v>
      </c>
      <c r="F17" s="122">
        <v>0</v>
      </c>
      <c r="G17" s="121">
        <v>0</v>
      </c>
      <c r="H17" s="121">
        <v>0</v>
      </c>
      <c r="I17" s="121">
        <f>IF(($C$5&lt;'Tariff Jul 2016'!T11),(0),($C$5-'Tariff Jul 2016'!T11)*'Tariff Jul 2016'!U11/100)</f>
        <v>178.55</v>
      </c>
      <c r="J17" s="121">
        <f t="shared" si="0"/>
        <v>556.00510000000008</v>
      </c>
      <c r="K17" s="256">
        <f t="shared" si="6"/>
        <v>1967.0000000000005</v>
      </c>
      <c r="L17" s="125">
        <f t="shared" si="1"/>
        <v>2224.0204000000003</v>
      </c>
      <c r="M17" s="125">
        <f t="shared" si="2"/>
        <v>2446.4224400000007</v>
      </c>
      <c r="N17" s="29">
        <f>'Tariff Jul 2016'!AT11</f>
        <v>0</v>
      </c>
      <c r="O17" s="29">
        <f>'Tariff Jul 2016'!AU11</f>
        <v>0</v>
      </c>
      <c r="P17" s="29">
        <f>'Tariff Jul 2016'!AV11</f>
        <v>0</v>
      </c>
      <c r="Q17" s="29">
        <f>'Tariff Jul 2016'!AW11</f>
        <v>16</v>
      </c>
      <c r="R17" s="256">
        <f t="shared" si="3"/>
        <v>2224.0204000000003</v>
      </c>
      <c r="S17" s="256">
        <f>R17-(K17*Q17/100)</f>
        <v>1909.3004000000003</v>
      </c>
      <c r="T17" s="262">
        <f t="shared" si="4"/>
        <v>2446.4224400000007</v>
      </c>
      <c r="U17" s="262">
        <f t="shared" si="5"/>
        <v>2100.2304400000007</v>
      </c>
      <c r="V17" s="126">
        <f>'Tariff Jul 2016'!BD11</f>
        <v>0</v>
      </c>
      <c r="W17" s="127" t="str">
        <f>'Tariff Jul 2016'!BE11</f>
        <v>n</v>
      </c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</row>
    <row r="18" spans="1:76" ht="14" x14ac:dyDescent="0.15">
      <c r="A18" s="111" t="str">
        <f>'Tariff Jul 2016'!K12</f>
        <v>Powerdirect</v>
      </c>
      <c r="B18" s="29" t="str">
        <f>'Tariff Jul 2016'!L12</f>
        <v>18 percent</v>
      </c>
      <c r="C18" s="121">
        <f>91*'Tariff Jul 2016'!M12/100</f>
        <v>69.460300000000004</v>
      </c>
      <c r="D18" s="121">
        <f>IF($C$5&gt;='Tariff Jul 2016'!P12,('Tariff Jul 2016'!P12*'Tariff Jul 2016'!N12/100),($C$5*'Tariff Jul 2016'!N12/100))</f>
        <v>311.60000000000002</v>
      </c>
      <c r="E18" s="121">
        <v>0</v>
      </c>
      <c r="F18" s="122">
        <v>0</v>
      </c>
      <c r="G18" s="121">
        <v>0</v>
      </c>
      <c r="H18" s="121">
        <v>0</v>
      </c>
      <c r="I18" s="121">
        <f>IF(($C$5&lt;'Tariff Jul 2016'!T12),(0),($C$5-'Tariff Jul 2016'!T12)*'Tariff Jul 2016'!U12/100)</f>
        <v>166.15</v>
      </c>
      <c r="J18" s="121">
        <f t="shared" si="0"/>
        <v>547.21030000000007</v>
      </c>
      <c r="K18" s="256">
        <f t="shared" si="6"/>
        <v>1911.0000000000002</v>
      </c>
      <c r="L18" s="125">
        <f t="shared" si="1"/>
        <v>2188.8412000000003</v>
      </c>
      <c r="M18" s="125">
        <f t="shared" si="2"/>
        <v>2407.7253200000005</v>
      </c>
      <c r="N18" s="29">
        <f>'Tariff Jul 2016'!AT12</f>
        <v>0</v>
      </c>
      <c r="O18" s="29">
        <f>'Tariff Jul 2016'!AU12</f>
        <v>0</v>
      </c>
      <c r="P18" s="29">
        <f>'Tariff Jul 2016'!AV12</f>
        <v>0</v>
      </c>
      <c r="Q18" s="29">
        <f>'Tariff Jul 2016'!AW12</f>
        <v>18</v>
      </c>
      <c r="R18" s="256">
        <f t="shared" si="3"/>
        <v>2188.8412000000003</v>
      </c>
      <c r="S18" s="256">
        <f>R18-(K18*Q18/100)</f>
        <v>1844.8612000000003</v>
      </c>
      <c r="T18" s="262">
        <f t="shared" si="4"/>
        <v>2407.7253200000005</v>
      </c>
      <c r="U18" s="262">
        <f t="shared" si="5"/>
        <v>2029.3473200000005</v>
      </c>
      <c r="V18" s="126">
        <f>'Tariff Jul 2016'!BD12</f>
        <v>24</v>
      </c>
      <c r="W18" s="127" t="str">
        <f>'Tariff Jul 2016'!BE12</f>
        <v>n</v>
      </c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</row>
    <row r="19" spans="1:76" ht="14" x14ac:dyDescent="0.15">
      <c r="A19" s="111" t="str">
        <f>'Tariff Jul 2016'!K13</f>
        <v>Red Energy</v>
      </c>
      <c r="B19" s="29" t="str">
        <f>'Tariff Jul 2016'!L13</f>
        <v>Living Energy Saver</v>
      </c>
      <c r="C19" s="121">
        <f>91*'Tariff Jul 2016'!M13/100</f>
        <v>72.408699999999996</v>
      </c>
      <c r="D19" s="121">
        <f>IF($C$5&gt;='Tariff Jul 2016'!P13,('Tariff Jul 2016'!P13*'Tariff Jul 2016'!N13/100),($C$5*'Tariff Jul 2016'!N13/100))</f>
        <v>309.7</v>
      </c>
      <c r="E19" s="121">
        <v>0</v>
      </c>
      <c r="F19" s="122">
        <v>0</v>
      </c>
      <c r="G19" s="121">
        <v>0</v>
      </c>
      <c r="H19" s="121">
        <v>0</v>
      </c>
      <c r="I19" s="121">
        <f>IF(($C$5&lt;'Tariff Jul 2016'!T13),(0),($C$5-'Tariff Jul 2016'!T13)*'Tariff Jul 2016'!U13/100)</f>
        <v>180.3</v>
      </c>
      <c r="J19" s="121">
        <f t="shared" si="0"/>
        <v>562.40869999999995</v>
      </c>
      <c r="K19" s="256">
        <f t="shared" si="6"/>
        <v>1959.9999999999998</v>
      </c>
      <c r="L19" s="125">
        <f t="shared" si="1"/>
        <v>2249.6347999999998</v>
      </c>
      <c r="M19" s="125">
        <f t="shared" si="2"/>
        <v>2474.5982800000002</v>
      </c>
      <c r="N19" s="29">
        <f>'Tariff Jul 2016'!AT13</f>
        <v>0</v>
      </c>
      <c r="O19" s="29">
        <f>'Tariff Jul 2016'!AU13</f>
        <v>0</v>
      </c>
      <c r="P19" s="29">
        <f>'Tariff Jul 2016'!AV13</f>
        <v>10</v>
      </c>
      <c r="Q19" s="29">
        <f>'Tariff Jul 2016'!AW13</f>
        <v>0</v>
      </c>
      <c r="R19" s="256">
        <f t="shared" si="3"/>
        <v>2249.6347999999998</v>
      </c>
      <c r="S19" s="256">
        <f>R19-(R19*P19/100)</f>
        <v>2024.6713199999999</v>
      </c>
      <c r="T19" s="262">
        <f t="shared" si="4"/>
        <v>2474.5982800000002</v>
      </c>
      <c r="U19" s="262">
        <f t="shared" si="5"/>
        <v>2227.1384520000001</v>
      </c>
      <c r="V19" s="126">
        <f>'Tariff Jul 2016'!BD13</f>
        <v>24</v>
      </c>
      <c r="W19" s="127" t="str">
        <f>'Tariff Jul 2016'!BE13</f>
        <v>y</v>
      </c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</row>
    <row r="20" spans="1:76" ht="14" x14ac:dyDescent="0.15">
      <c r="A20" s="111" t="str">
        <f>'Tariff Jul 2016'!K14</f>
        <v>Sanctuary Energy</v>
      </c>
      <c r="B20" s="29" t="str">
        <f>'Tariff Jul 2016'!L14</f>
        <v>Negotiated contract</v>
      </c>
      <c r="C20" s="121">
        <f>91*'Tariff Jul 2016'!M14/100</f>
        <v>59.732399999999998</v>
      </c>
      <c r="D20" s="121">
        <f>IF($C$5&gt;='Tariff Jul 2016'!P14,('Tariff Jul 2016'!P14*'Tariff Jul 2016'!N14/100),($C$5*'Tariff Jul 2016'!N14/100))</f>
        <v>87.39</v>
      </c>
      <c r="E20" s="121">
        <f>IF($C$5&lt;'Tariff Jul 2016'!P14,0,IF(($C$5-'Tariff Jul 2016'!P14)&lt;='Tariff Jul 2016'!R14,(($C$5-'Tariff Jul 2016'!P14)*'Tariff Jul 2016'!Q14/100),(('Tariff Jul 2016'!R14-'Tariff Jul 2016'!P14)*'Tariff Jul 2016'!Q14/100)))</f>
        <v>207.76</v>
      </c>
      <c r="F20" s="122">
        <f>IF($C$5&lt;'Tariff Jul 2016'!R14,0,IF(($C$5-'Tariff Jul 2016'!R14)&lt;='Tariff Jul 2016'!T14,(($C$5-'Tariff Jul 2016'!R14)*'Tariff Jul 2016'!S14/100),(('Tariff Jul 2016'!T14-'Tariff Jul 2016'!R14)*'Tariff Jul 2016'!S14/100)))</f>
        <v>169.85</v>
      </c>
      <c r="G20" s="121">
        <v>0</v>
      </c>
      <c r="H20" s="121">
        <v>0</v>
      </c>
      <c r="I20" s="121">
        <f>IF(($C$5&lt;'Tariff Jul 2016'!T14),(0),($C$5-'Tariff Jul 2016'!T14)*'Tariff Jul 2016'!U14/100)</f>
        <v>0</v>
      </c>
      <c r="J20" s="121">
        <f t="shared" si="0"/>
        <v>524.73239999999998</v>
      </c>
      <c r="K20" s="256">
        <f t="shared" si="6"/>
        <v>1860</v>
      </c>
      <c r="L20" s="125">
        <f t="shared" si="1"/>
        <v>2098.9295999999999</v>
      </c>
      <c r="M20" s="125">
        <f t="shared" si="2"/>
        <v>2308.8225600000001</v>
      </c>
      <c r="N20" s="29">
        <f>'Tariff Jul 2016'!AT14</f>
        <v>0</v>
      </c>
      <c r="O20" s="29">
        <f>'Tariff Jul 2016'!AU14</f>
        <v>0</v>
      </c>
      <c r="P20" s="29">
        <f>'Tariff Jul 2016'!AV14</f>
        <v>0</v>
      </c>
      <c r="Q20" s="29">
        <f>'Tariff Jul 2016'!AW14</f>
        <v>0</v>
      </c>
      <c r="R20" s="256">
        <f t="shared" si="3"/>
        <v>2098.9295999999999</v>
      </c>
      <c r="S20" s="256">
        <f>R20</f>
        <v>2098.9295999999999</v>
      </c>
      <c r="T20" s="262">
        <f t="shared" si="4"/>
        <v>2308.8225600000001</v>
      </c>
      <c r="U20" s="262">
        <f t="shared" si="5"/>
        <v>2308.8225600000001</v>
      </c>
      <c r="V20" s="126">
        <f>'Tariff Jul 2016'!BD14</f>
        <v>36</v>
      </c>
      <c r="W20" s="127" t="str">
        <f>'Tariff Jul 2016'!BE14</f>
        <v>n</v>
      </c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</row>
    <row r="21" spans="1:76" ht="14" x14ac:dyDescent="0.15">
      <c r="A21" s="111" t="str">
        <f>'Tariff Jul 2016'!K15</f>
        <v>Simply Energy</v>
      </c>
      <c r="B21" s="29" t="str">
        <f>'Tariff Jul 2016'!L15</f>
        <v xml:space="preserve">Autumn Sale </v>
      </c>
      <c r="C21" s="121">
        <f>91*'Tariff Jul 2016'!M15/100</f>
        <v>57.684899999999999</v>
      </c>
      <c r="D21" s="121">
        <f>IF($C$5&gt;='Tariff Jul 2016'!P15,('Tariff Jul 2016'!P15*'Tariff Jul 2016'!N15/100),($C$5*'Tariff Jul 2016'!N15/100))</f>
        <v>305</v>
      </c>
      <c r="E21" s="121">
        <v>0</v>
      </c>
      <c r="F21" s="122">
        <v>0</v>
      </c>
      <c r="G21" s="121">
        <v>0</v>
      </c>
      <c r="H21" s="121">
        <v>0</v>
      </c>
      <c r="I21" s="121">
        <f>IF(($C$5&lt;'Tariff Jul 2016'!T15),(0),($C$5-'Tariff Jul 2016'!T15)*'Tariff Jul 2016'!U15/100)</f>
        <v>170.5</v>
      </c>
      <c r="J21" s="121">
        <f t="shared" si="0"/>
        <v>533.18489999999997</v>
      </c>
      <c r="K21" s="256">
        <f>(J21-C21)*4</f>
        <v>1902</v>
      </c>
      <c r="L21" s="125">
        <f t="shared" si="1"/>
        <v>2132.7395999999999</v>
      </c>
      <c r="M21" s="125">
        <f t="shared" si="2"/>
        <v>2346.0135599999999</v>
      </c>
      <c r="N21" s="29">
        <f>'Tariff Jul 2016'!AT15</f>
        <v>0</v>
      </c>
      <c r="O21" s="29">
        <f>'Tariff Jul 2016'!AU15</f>
        <v>0</v>
      </c>
      <c r="P21" s="29">
        <f>'Tariff Jul 2016'!AV15</f>
        <v>0</v>
      </c>
      <c r="Q21" s="29">
        <f>'Tariff Jul 2016'!AW15</f>
        <v>28</v>
      </c>
      <c r="R21" s="256">
        <f t="shared" si="3"/>
        <v>2132.7395999999999</v>
      </c>
      <c r="S21" s="256">
        <f>R21-(K21*Q21/100)</f>
        <v>1600.1795999999999</v>
      </c>
      <c r="T21" s="262">
        <f t="shared" si="4"/>
        <v>2346.0135599999999</v>
      </c>
      <c r="U21" s="262">
        <f t="shared" si="5"/>
        <v>1760.1975600000001</v>
      </c>
      <c r="V21" s="126">
        <f>'Tariff Jul 2016'!BD15</f>
        <v>24</v>
      </c>
      <c r="W21" s="127" t="str">
        <f>'Tariff Jul 2016'!BE15</f>
        <v>y</v>
      </c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</row>
    <row r="22" spans="1:76" ht="15" thickBot="1" x14ac:dyDescent="0.2">
      <c r="A22" s="128" t="str">
        <f>'Tariff Jul 2016'!K16</f>
        <v>Urth Energy</v>
      </c>
      <c r="B22" s="129" t="str">
        <f>'Tariff Jul 2016'!L16</f>
        <v>Market offer</v>
      </c>
      <c r="C22" s="130">
        <f>91*'Tariff Jul 2016'!M16/100</f>
        <v>64.255099999999999</v>
      </c>
      <c r="D22" s="130">
        <f>IF($C$5&gt;='Tariff Jul 2016'!P16,('Tariff Jul 2016'!P16*'Tariff Jul 2016'!N16/100),($C$5*'Tariff Jul 2016'!N16/100))</f>
        <v>313</v>
      </c>
      <c r="E22" s="130">
        <v>0</v>
      </c>
      <c r="F22" s="131">
        <v>0</v>
      </c>
      <c r="G22" s="130">
        <v>0</v>
      </c>
      <c r="H22" s="130">
        <v>0</v>
      </c>
      <c r="I22" s="130">
        <f>IF(($C$5&lt;'Tariff Jul 2016'!T16),(0),($C$5-'Tariff Jul 2016'!T16)*'Tariff Jul 2016'!U16/100)</f>
        <v>176.5</v>
      </c>
      <c r="J22" s="130">
        <f t="shared" si="0"/>
        <v>553.75509999999997</v>
      </c>
      <c r="K22" s="257">
        <f t="shared" si="6"/>
        <v>1958</v>
      </c>
      <c r="L22" s="134">
        <f t="shared" si="1"/>
        <v>2215.0203999999999</v>
      </c>
      <c r="M22" s="134">
        <f t="shared" si="2"/>
        <v>2436.5224400000002</v>
      </c>
      <c r="N22" s="129">
        <f>'Tariff Jul 2016'!AT16</f>
        <v>0</v>
      </c>
      <c r="O22" s="129">
        <f>'Tariff Jul 2016'!AU16</f>
        <v>0</v>
      </c>
      <c r="P22" s="129">
        <f>'Tariff Jul 2016'!AV16</f>
        <v>0</v>
      </c>
      <c r="Q22" s="129">
        <f>'Tariff Jul 2016'!AW16</f>
        <v>10</v>
      </c>
      <c r="R22" s="257">
        <f t="shared" si="3"/>
        <v>2215.0203999999999</v>
      </c>
      <c r="S22" s="257">
        <f>R22-(K22*Q22/100)</f>
        <v>2019.2203999999999</v>
      </c>
      <c r="T22" s="263">
        <f t="shared" si="4"/>
        <v>2436.5224400000002</v>
      </c>
      <c r="U22" s="263">
        <f t="shared" si="5"/>
        <v>2221.1424400000001</v>
      </c>
      <c r="V22" s="135">
        <f>'Tariff Jul 2016'!BD16</f>
        <v>0</v>
      </c>
      <c r="W22" s="136" t="str">
        <f>'Tariff Jul 2016'!BE16</f>
        <v>n</v>
      </c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</row>
    <row r="23" spans="1:76" s="114" customFormat="1" ht="14" x14ac:dyDescent="0.15"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</row>
    <row r="24" spans="1:76" s="114" customFormat="1" ht="15" thickBot="1" x14ac:dyDescent="0.2"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</row>
    <row r="25" spans="1:76" ht="14" x14ac:dyDescent="0.15">
      <c r="A25" s="116" t="s">
        <v>355</v>
      </c>
      <c r="B25" s="117"/>
      <c r="C25" s="117"/>
      <c r="D25" s="137"/>
      <c r="E25" s="137"/>
      <c r="F25" s="137"/>
      <c r="G25" s="138"/>
      <c r="H25" s="138"/>
      <c r="I25" s="117"/>
      <c r="J25" s="117"/>
      <c r="K25" s="138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8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</row>
    <row r="26" spans="1:76" ht="14" x14ac:dyDescent="0.15">
      <c r="A26" s="119" t="s">
        <v>72</v>
      </c>
      <c r="B26" s="60"/>
      <c r="C26" s="143">
        <v>1875</v>
      </c>
      <c r="D26" s="139"/>
      <c r="E26" s="139"/>
      <c r="F26" s="139"/>
      <c r="G26" s="140"/>
      <c r="H26" s="140"/>
      <c r="I26" s="60"/>
      <c r="J26" s="60"/>
      <c r="K26" s="14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120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</row>
    <row r="27" spans="1:76" ht="14" x14ac:dyDescent="0.15">
      <c r="A27" s="119" t="s">
        <v>241</v>
      </c>
      <c r="B27" s="60"/>
      <c r="C27" s="144">
        <v>0.8</v>
      </c>
      <c r="D27" s="139"/>
      <c r="E27" s="139"/>
      <c r="F27" s="139"/>
      <c r="G27" s="140"/>
      <c r="H27" s="140"/>
      <c r="I27" s="60"/>
      <c r="J27" s="60"/>
      <c r="K27" s="14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120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</row>
    <row r="28" spans="1:76" ht="14" x14ac:dyDescent="0.15">
      <c r="A28" s="119" t="s">
        <v>143</v>
      </c>
      <c r="B28" s="60"/>
      <c r="C28" s="144">
        <v>0.2</v>
      </c>
      <c r="D28" s="139"/>
      <c r="E28" s="139"/>
      <c r="F28" s="139"/>
      <c r="G28" s="140"/>
      <c r="H28" s="140"/>
      <c r="I28" s="60"/>
      <c r="J28" s="60"/>
      <c r="K28" s="14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120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</row>
    <row r="29" spans="1:76" ht="14" x14ac:dyDescent="0.15">
      <c r="A29" s="119"/>
      <c r="B29" s="60"/>
      <c r="C29" s="139"/>
      <c r="D29" s="139"/>
      <c r="E29" s="139"/>
      <c r="F29" s="139"/>
      <c r="G29" s="140"/>
      <c r="H29" s="140"/>
      <c r="I29" s="60"/>
      <c r="J29" s="60"/>
      <c r="K29" s="14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120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</row>
    <row r="30" spans="1:76" ht="75" x14ac:dyDescent="0.15">
      <c r="A30" s="239" t="s">
        <v>278</v>
      </c>
      <c r="B30" s="240" t="s">
        <v>73</v>
      </c>
      <c r="C30" s="248" t="s">
        <v>74</v>
      </c>
      <c r="D30" s="248" t="s">
        <v>75</v>
      </c>
      <c r="E30" s="241" t="s">
        <v>164</v>
      </c>
      <c r="F30" s="241" t="s">
        <v>165</v>
      </c>
      <c r="G30" s="241" t="s">
        <v>239</v>
      </c>
      <c r="H30" s="241" t="s">
        <v>356</v>
      </c>
      <c r="I30" s="241" t="s">
        <v>357</v>
      </c>
      <c r="J30" s="241" t="s">
        <v>958</v>
      </c>
      <c r="K30" s="249" t="s">
        <v>171</v>
      </c>
      <c r="L30" s="249" t="s">
        <v>172</v>
      </c>
      <c r="M30" s="242" t="s">
        <v>173</v>
      </c>
      <c r="N30" s="243" t="s">
        <v>174</v>
      </c>
      <c r="O30" s="243" t="s">
        <v>175</v>
      </c>
      <c r="P30" s="243" t="s">
        <v>76</v>
      </c>
      <c r="Q30" s="243" t="s">
        <v>77</v>
      </c>
      <c r="R30" s="250" t="s">
        <v>295</v>
      </c>
      <c r="S30" s="250" t="s">
        <v>358</v>
      </c>
      <c r="T30" s="245" t="s">
        <v>353</v>
      </c>
      <c r="U30" s="244" t="s">
        <v>354</v>
      </c>
      <c r="V30" s="246" t="s">
        <v>359</v>
      </c>
      <c r="W30" s="247" t="s">
        <v>360</v>
      </c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</row>
    <row r="31" spans="1:76" ht="14" x14ac:dyDescent="0.15">
      <c r="A31" s="111" t="str">
        <f>'Tariff Jul 2016'!K17</f>
        <v>AGL</v>
      </c>
      <c r="B31" s="29" t="str">
        <f>'Tariff Jul 2016'!L17</f>
        <v xml:space="preserve">Savers </v>
      </c>
      <c r="C31" s="141">
        <f>91*'Tariff Jul 2016'!M17/100</f>
        <v>64.519000000000005</v>
      </c>
      <c r="D31" s="141">
        <f>IF($C$26*C27&gt;='Tariff Jul 2016'!P17,('Tariff Jul 2016'!P17*25%)*'Tariff Jul 2016'!N17/100+('Tariff Jul 2016'!P17*75%)*'Tariff Jul 2016'!W17/100,(($C$26*C27)*25%)*'Tariff Jul 2016'!N17/100+(($C$26*C27)*75%)*'Tariff Jul 2016'!W17/100)</f>
        <v>313.8</v>
      </c>
      <c r="E31" s="141">
        <v>0</v>
      </c>
      <c r="F31" s="141">
        <v>0</v>
      </c>
      <c r="G31" s="141">
        <f>IF(($C$26*C27&lt;'Tariff Jul 2016'!T17),(0),(($C$26*C27-'Tariff Jul 2016'!T17)*25%)*'Tariff Jul 2016'!U17/100+(($C$26*C27-'Tariff Jul 2016'!T17)*75%)*'Tariff Jul 2016'!AC17/100)</f>
        <v>176.77500000000001</v>
      </c>
      <c r="H31" s="141">
        <f>($C$26*$C$28)*'Tariff Jul 2016'!AE17/100</f>
        <v>57.5625</v>
      </c>
      <c r="I31" s="141">
        <v>0</v>
      </c>
      <c r="J31" s="141">
        <f>SUM(C31:I31)</f>
        <v>612.65650000000005</v>
      </c>
      <c r="K31" s="256">
        <f>(J31-C31)*4</f>
        <v>2192.5500000000002</v>
      </c>
      <c r="L31" s="125">
        <f>J31*4</f>
        <v>2450.6260000000002</v>
      </c>
      <c r="M31" s="125">
        <f>L31*1.1</f>
        <v>2695.6886000000004</v>
      </c>
      <c r="N31" s="29">
        <f>'Tariff Jul 2016'!AT17</f>
        <v>0</v>
      </c>
      <c r="O31" s="29">
        <f>'Tariff Jul 2016'!AU17</f>
        <v>0</v>
      </c>
      <c r="P31" s="29">
        <f>'Tariff Jul 2016'!AV17</f>
        <v>0</v>
      </c>
      <c r="Q31" s="29">
        <f>'Tariff Jul 2016'!AW17</f>
        <v>15</v>
      </c>
      <c r="R31" s="256">
        <f>L31</f>
        <v>2450.6260000000002</v>
      </c>
      <c r="S31" s="256">
        <f>R31-(K31*Q31/100)</f>
        <v>2121.7435</v>
      </c>
      <c r="T31" s="262">
        <f>R31*1.1</f>
        <v>2695.6886000000004</v>
      </c>
      <c r="U31" s="262">
        <f>S31*1.1</f>
        <v>2333.9178500000003</v>
      </c>
      <c r="V31" s="126">
        <f>'Tariff Jul 2016'!BD17</f>
        <v>0</v>
      </c>
      <c r="W31" s="127" t="str">
        <f>'Tariff Jul 2016'!BE17</f>
        <v>n</v>
      </c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</row>
    <row r="32" spans="1:76" ht="14" x14ac:dyDescent="0.15">
      <c r="A32" s="111" t="str">
        <f>'Tariff Jul 2016'!K18</f>
        <v>Alinta Energy</v>
      </c>
      <c r="B32" s="29" t="str">
        <f>'Tariff Jul 2016'!L18</f>
        <v>Fair Deal</v>
      </c>
      <c r="C32" s="141">
        <f>91*'Tariff Jul 2016'!M18/100</f>
        <v>71.962800000000001</v>
      </c>
      <c r="D32" s="141">
        <f>IF($C$26*$C$27&gt;='Tariff Jul 2016'!P18,('Tariff Jul 2016'!P18*'Tariff Jul 2016'!N18/100),(($C$26*$C$27)*'Tariff Jul 2016'!N18/100))</f>
        <v>95.28</v>
      </c>
      <c r="E32" s="141">
        <f>IF($C$26*$C$27&lt;'Tariff Jul 2016'!P18,0,IF(($C$26*$C$27-'Tariff Jul 2016'!P18)&lt;='Tariff Jul 2016'!R18,(($C$26*$C$27-'Tariff Jul 2016'!P18)*'Tariff Jul 2016'!Q18/100),(('Tariff Jul 2016'!R18-'Tariff Jul 2016'!P18)*'Tariff Jul 2016'!Q18/100)))</f>
        <v>231.34999999999997</v>
      </c>
      <c r="F32" s="141">
        <f>IF($C$26*$C$27&lt;'Tariff Jul 2016'!R18,0,IF(($C$26*$C$27-'Tariff Jul 2016'!R18)&lt;='Tariff Jul 2016'!T18,(($C$26*$C$27-'Tariff Jul 2016'!R18)*'Tariff Jul 2016'!S18/100),(('Tariff Jul 2016'!T18-'Tariff Jul 2016'!R18)*'Tariff Jul 2016'!S18/100)))</f>
        <v>181.8</v>
      </c>
      <c r="G32" s="141">
        <f>IF(($C$26*$C$27&lt;'Tariff Jul 2016'!T18),(0),($C$26*$C$27-'Tariff Jul 2016'!T18)*'Tariff Jul 2016'!U18/100)</f>
        <v>0</v>
      </c>
      <c r="H32" s="141">
        <f>IF($C$26*$C$28&gt;='Tariff Jul 2016'!AF18,('Tariff Jul 2016'!AF18*'Tariff Jul 2016'!AE18/100),(($C$26*$C$28)*'Tariff Jul 2016'!AE18/100))</f>
        <v>67.237499999999997</v>
      </c>
      <c r="I32" s="141">
        <f>IF(($C$26*$C$28&lt;'Tariff Jul 2016'!AF18),(0),($C$26*$C$28-'Tariff Jul 2016'!AF18)*'Tariff Jul 2016'!AG18/100)</f>
        <v>0</v>
      </c>
      <c r="J32" s="141">
        <f t="shared" ref="J32:J45" si="7">SUM(C32:I32)</f>
        <v>647.63029999999992</v>
      </c>
      <c r="K32" s="256">
        <f>(J32-C32)*4</f>
        <v>2302.6699999999996</v>
      </c>
      <c r="L32" s="125">
        <f t="shared" ref="L32:L45" si="8">J32*4</f>
        <v>2590.5211999999997</v>
      </c>
      <c r="M32" s="125">
        <f t="shared" ref="M32:M45" si="9">L32*1.1</f>
        <v>2849.57332</v>
      </c>
      <c r="N32" s="29">
        <f>'Tariff Jul 2016'!AT18</f>
        <v>0</v>
      </c>
      <c r="O32" s="29">
        <f>'Tariff Jul 2016'!AU18</f>
        <v>0</v>
      </c>
      <c r="P32" s="29">
        <f>'Tariff Jul 2016'!AV18</f>
        <v>0</v>
      </c>
      <c r="Q32" s="29">
        <f>'Tariff Jul 2016'!AW18</f>
        <v>20</v>
      </c>
      <c r="R32" s="256">
        <f t="shared" ref="R32:R45" si="10">L32</f>
        <v>2590.5211999999997</v>
      </c>
      <c r="S32" s="256">
        <f>R32-(K32*Q32/100)</f>
        <v>2129.9871999999996</v>
      </c>
      <c r="T32" s="262">
        <f t="shared" ref="T32:T45" si="11">R32*1.1</f>
        <v>2849.57332</v>
      </c>
      <c r="U32" s="262">
        <f t="shared" ref="U32:U45" si="12">S32*1.1</f>
        <v>2342.9859199999996</v>
      </c>
      <c r="V32" s="126">
        <f>'Tariff Jul 2016'!BD18</f>
        <v>0</v>
      </c>
      <c r="W32" s="127" t="str">
        <f>'Tariff Jul 2016'!BE18</f>
        <v>n</v>
      </c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</row>
    <row r="33" spans="1:76" ht="14" x14ac:dyDescent="0.15">
      <c r="A33" s="111" t="str">
        <f>'Tariff Jul 2016'!K19</f>
        <v>Click Energy</v>
      </c>
      <c r="B33" s="29" t="str">
        <f>'Tariff Jul 2016'!L19</f>
        <v>Jade</v>
      </c>
      <c r="C33" s="141">
        <f>91*'Tariff Jul 2016'!M19/100</f>
        <v>73.628099999999989</v>
      </c>
      <c r="D33" s="141">
        <f>IF($C$26*$C$27&gt;='Tariff Jul 2016'!P19,('Tariff Jul 2016'!P19*'Tariff Jul 2016'!N19/100),(($C$26*$C$27)*'Tariff Jul 2016'!N19/100))</f>
        <v>328.29</v>
      </c>
      <c r="E33" s="141">
        <v>0</v>
      </c>
      <c r="F33" s="141">
        <v>0</v>
      </c>
      <c r="G33" s="141">
        <f>IF(($C$26*$C$27&lt;'Tariff Jul 2016'!T19),(0),($C$26*$C$27-'Tariff Jul 2016'!T19)*'Tariff Jul 2016'!U19/100)</f>
        <v>176.7</v>
      </c>
      <c r="H33" s="141">
        <f>($C$26*$C$28)*'Tariff Jul 2016'!AE19/100</f>
        <v>89.28</v>
      </c>
      <c r="I33" s="141">
        <v>0</v>
      </c>
      <c r="J33" s="141">
        <f t="shared" si="7"/>
        <v>667.89809999999989</v>
      </c>
      <c r="K33" s="256">
        <f t="shared" ref="K33:K45" si="13">(J33-C33)*4</f>
        <v>2377.0799999999995</v>
      </c>
      <c r="L33" s="125">
        <f t="shared" si="8"/>
        <v>2671.5923999999995</v>
      </c>
      <c r="M33" s="125">
        <f t="shared" si="9"/>
        <v>2938.75164</v>
      </c>
      <c r="N33" s="29">
        <f>'Tariff Jul 2016'!AT19</f>
        <v>0</v>
      </c>
      <c r="O33" s="29">
        <f>'Tariff Jul 2016'!AU19</f>
        <v>0</v>
      </c>
      <c r="P33" s="29">
        <f>'Tariff Jul 2016'!AV19</f>
        <v>15</v>
      </c>
      <c r="Q33" s="29">
        <f>'Tariff Jul 2016'!AW19</f>
        <v>0</v>
      </c>
      <c r="R33" s="256">
        <f t="shared" si="10"/>
        <v>2671.5923999999995</v>
      </c>
      <c r="S33" s="256">
        <f>R33-(R33*P33/100)</f>
        <v>2270.8535399999996</v>
      </c>
      <c r="T33" s="262">
        <f t="shared" si="11"/>
        <v>2938.75164</v>
      </c>
      <c r="U33" s="262">
        <f t="shared" si="12"/>
        <v>2497.9388939999999</v>
      </c>
      <c r="V33" s="126">
        <f>'Tariff Jul 2016'!BD19</f>
        <v>0</v>
      </c>
      <c r="W33" s="127" t="str">
        <f>'Tariff Jul 2016'!BE19</f>
        <v>n</v>
      </c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</row>
    <row r="34" spans="1:76" ht="14" x14ac:dyDescent="0.15">
      <c r="A34" s="111" t="str">
        <f>'Tariff Jul 2016'!K20</f>
        <v>Commander</v>
      </c>
      <c r="B34" s="29" t="str">
        <f>'Tariff Jul 2016'!L20</f>
        <v>Market offer</v>
      </c>
      <c r="C34" s="141">
        <f>91*'Tariff Jul 2016'!M20/100</f>
        <v>64.200500000000005</v>
      </c>
      <c r="D34" s="141">
        <f>IF($C$26*$C$27&gt;='Tariff Jul 2016'!P20,('Tariff Jul 2016'!P20*'Tariff Jul 2016'!N20/100),(($C$26*$C$27)*'Tariff Jul 2016'!N20/100))</f>
        <v>95.85</v>
      </c>
      <c r="E34" s="141">
        <f>IF($C$26*$C$27&lt;'Tariff Jul 2016'!P20,0,IF(($C$26*$C$27-'Tariff Jul 2016'!P20)&lt;='Tariff Jul 2016'!R20,(($C$26*$C$27-'Tariff Jul 2016'!P20)*'Tariff Jul 2016'!Q20/100),(('Tariff Jul 2016'!R20-'Tariff Jul 2016'!P20)*'Tariff Jul 2016'!Q20/100)))</f>
        <v>223.65</v>
      </c>
      <c r="F34" s="141">
        <f>IF($C$26*$C$27&lt;'Tariff Jul 2016'!R20,0,IF(($C$26*$C$27-'Tariff Jul 2016'!R20)&lt;='Tariff Jul 2016'!T20,(($C$26*$C$27-'Tariff Jul 2016'!R20)*'Tariff Jul 2016'!S20/100),(('Tariff Jul 2016'!T20-'Tariff Jul 2016'!R20)*'Tariff Jul 2016'!S20/100)))</f>
        <v>187.25</v>
      </c>
      <c r="G34" s="141">
        <f>IF(($C$26*$C$27&lt;'Tariff Jul 2016'!T20),(0),($C$26*$C$27-'Tariff Jul 2016'!T20)*'Tariff Jul 2016'!U20/100)</f>
        <v>0</v>
      </c>
      <c r="H34" s="141">
        <f>($C$26*$C$28)*'Tariff Jul 2016'!AE20/100</f>
        <v>60.375000000000007</v>
      </c>
      <c r="I34" s="141">
        <v>0</v>
      </c>
      <c r="J34" s="141">
        <f t="shared" si="7"/>
        <v>631.32550000000003</v>
      </c>
      <c r="K34" s="256">
        <f t="shared" si="13"/>
        <v>2268.5</v>
      </c>
      <c r="L34" s="125">
        <f t="shared" si="8"/>
        <v>2525.3020000000001</v>
      </c>
      <c r="M34" s="125">
        <f t="shared" si="9"/>
        <v>2777.8322000000003</v>
      </c>
      <c r="N34" s="29">
        <f>'Tariff Jul 2016'!AT20</f>
        <v>0</v>
      </c>
      <c r="O34" s="29">
        <f>'Tariff Jul 2016'!AU20</f>
        <v>0</v>
      </c>
      <c r="P34" s="29">
        <f>'Tariff Jul 2016'!AV20</f>
        <v>0</v>
      </c>
      <c r="Q34" s="29">
        <f>'Tariff Jul 2016'!AW20</f>
        <v>20</v>
      </c>
      <c r="R34" s="256">
        <f t="shared" si="10"/>
        <v>2525.3020000000001</v>
      </c>
      <c r="S34" s="256">
        <f>R34-(K34*Q34/100)</f>
        <v>2071.6020000000003</v>
      </c>
      <c r="T34" s="262">
        <f t="shared" si="11"/>
        <v>2777.8322000000003</v>
      </c>
      <c r="U34" s="262">
        <f t="shared" si="12"/>
        <v>2278.7622000000006</v>
      </c>
      <c r="V34" s="126">
        <f>'Tariff Jul 2016'!BD20</f>
        <v>0</v>
      </c>
      <c r="W34" s="127" t="str">
        <f>'Tariff Jul 2016'!BE20</f>
        <v>n</v>
      </c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</row>
    <row r="35" spans="1:76" ht="14" x14ac:dyDescent="0.15">
      <c r="A35" s="111" t="str">
        <f>'Tariff Jul 2016'!K21</f>
        <v>Diamond Energy</v>
      </c>
      <c r="B35" s="29" t="str">
        <f>'Tariff Jul 2016'!L21</f>
        <v>Pay on time discount</v>
      </c>
      <c r="C35" s="141">
        <f>91*'Tariff Jul 2016'!M21/100</f>
        <v>71.389499999999998</v>
      </c>
      <c r="D35" s="141">
        <f>IF($C$26*$C$27&gt;='Tariff Jul 2016'!P21,('Tariff Jul 2016'!P21*'Tariff Jul 2016'!N21/100),(($C$26*$C$27)*'Tariff Jul 2016'!N21/100))</f>
        <v>89.43</v>
      </c>
      <c r="E35" s="141">
        <f>IF($C$26*$C$27&lt;'Tariff Jul 2016'!P21,0,IF(($C$26*$C$27-'Tariff Jul 2016'!P21)&lt;='Tariff Jul 2016'!R21,(($C$26*$C$27-'Tariff Jul 2016'!P21)*'Tariff Jul 2016'!Q21/100),(('Tariff Jul 2016'!R21-'Tariff Jul 2016'!P21)*'Tariff Jul 2016'!Q21/100)))</f>
        <v>223.65</v>
      </c>
      <c r="F35" s="141">
        <f>IF($C$26*$C$27&lt;'Tariff Jul 2016'!R21,0,IF(($C$26*$C$27-'Tariff Jul 2016'!R21)&lt;='Tariff Jul 2016'!T21,(($C$26*$C$27-'Tariff Jul 2016'!R21)*'Tariff Jul 2016'!S21/100),(('Tariff Jul 2016'!T21-'Tariff Jul 2016'!R21)*'Tariff Jul 2016'!S21/100)))</f>
        <v>174.9</v>
      </c>
      <c r="G35" s="141">
        <f>IF(($C$26*$C$27&lt;'Tariff Jul 2016'!T21),(0),($C$26*$C$27-'Tariff Jul 2016'!T21)*'Tariff Jul 2016'!U21/100)</f>
        <v>0</v>
      </c>
      <c r="H35" s="141">
        <f>($C$26*$C$28)*'Tariff Jul 2016'!AE21/100</f>
        <v>59.962499999999999</v>
      </c>
      <c r="I35" s="141">
        <v>0</v>
      </c>
      <c r="J35" s="141">
        <f t="shared" si="7"/>
        <v>619.33199999999999</v>
      </c>
      <c r="K35" s="256">
        <f t="shared" si="13"/>
        <v>2191.77</v>
      </c>
      <c r="L35" s="125">
        <f t="shared" si="8"/>
        <v>2477.328</v>
      </c>
      <c r="M35" s="125">
        <f t="shared" si="9"/>
        <v>2725.0608000000002</v>
      </c>
      <c r="N35" s="29">
        <f>'Tariff Jul 2016'!AT21</f>
        <v>0</v>
      </c>
      <c r="O35" s="29">
        <f>'Tariff Jul 2016'!AU21</f>
        <v>0</v>
      </c>
      <c r="P35" s="29">
        <f>'Tariff Jul 2016'!AV21</f>
        <v>7</v>
      </c>
      <c r="Q35" s="29">
        <f>'Tariff Jul 2016'!AW21</f>
        <v>0</v>
      </c>
      <c r="R35" s="256">
        <f t="shared" si="10"/>
        <v>2477.328</v>
      </c>
      <c r="S35" s="256">
        <f>R35-(R35*P35/100)</f>
        <v>2303.9150399999999</v>
      </c>
      <c r="T35" s="262">
        <f t="shared" si="11"/>
        <v>2725.0608000000002</v>
      </c>
      <c r="U35" s="262">
        <f t="shared" si="12"/>
        <v>2534.306544</v>
      </c>
      <c r="V35" s="126">
        <f>'Tariff Jul 2016'!BD21</f>
        <v>24</v>
      </c>
      <c r="W35" s="127" t="str">
        <f>'Tariff Jul 2016'!BE21</f>
        <v>y</v>
      </c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</row>
    <row r="36" spans="1:76" ht="14" x14ac:dyDescent="0.15">
      <c r="A36" s="111" t="str">
        <f>'Tariff Jul 2016'!K22</f>
        <v>Dodo Power &amp; Gas</v>
      </c>
      <c r="B36" s="29" t="str">
        <f>'Tariff Jul 2016'!L22</f>
        <v>Market offer</v>
      </c>
      <c r="C36" s="141">
        <f>91*'Tariff Jul 2016'!M22/100</f>
        <v>64.200500000000005</v>
      </c>
      <c r="D36" s="141">
        <f>IF($C$26*$C$27&gt;='Tariff Jul 2016'!P22,('Tariff Jul 2016'!P22*'Tariff Jul 2016'!N22/100),(($C$26*$C$27)*'Tariff Jul 2016'!N22/100))</f>
        <v>100.5</v>
      </c>
      <c r="E36" s="141">
        <f>IF($C$26*$C$27&lt;'Tariff Jul 2016'!P22,0,IF(($C$26*$C$27-'Tariff Jul 2016'!P22)&lt;='Tariff Jul 2016'!R22,(($C$26*$C$27-'Tariff Jul 2016'!P22)*'Tariff Jul 2016'!Q22/100),(('Tariff Jul 2016'!R22-'Tariff Jul 2016'!P22)*'Tariff Jul 2016'!Q22/100)))</f>
        <v>234.5</v>
      </c>
      <c r="F36" s="141">
        <f>IF($C$26*$C$27&lt;'Tariff Jul 2016'!R22,0,IF(($C$26*$C$27-'Tariff Jul 2016'!R22)&lt;='Tariff Jul 2016'!T22,(($C$26*$C$27-'Tariff Jul 2016'!R22)*'Tariff Jul 2016'!S22/100),(('Tariff Jul 2016'!T22-'Tariff Jul 2016'!R22)*'Tariff Jul 2016'!S22/100)))</f>
        <v>193.75</v>
      </c>
      <c r="G36" s="141">
        <f>IF(($C$26*$C$27&lt;'Tariff Jul 2016'!T22),(0),($C$26*$C$27-'Tariff Jul 2016'!T22)*'Tariff Jul 2016'!U22/100)</f>
        <v>0</v>
      </c>
      <c r="H36" s="141">
        <f>($C$26*$C$28)*'Tariff Jul 2016'!AE22/100</f>
        <v>60.75</v>
      </c>
      <c r="I36" s="141">
        <v>0</v>
      </c>
      <c r="J36" s="141">
        <f t="shared" si="7"/>
        <v>653.70050000000003</v>
      </c>
      <c r="K36" s="256">
        <f t="shared" si="13"/>
        <v>2358</v>
      </c>
      <c r="L36" s="125">
        <f t="shared" si="8"/>
        <v>2614.8020000000001</v>
      </c>
      <c r="M36" s="125">
        <f t="shared" si="9"/>
        <v>2876.2822000000006</v>
      </c>
      <c r="N36" s="29">
        <f>'Tariff Jul 2016'!AT22</f>
        <v>0</v>
      </c>
      <c r="O36" s="29">
        <f>'Tariff Jul 2016'!AU22</f>
        <v>0</v>
      </c>
      <c r="P36" s="29">
        <f>'Tariff Jul 2016'!AV22</f>
        <v>0</v>
      </c>
      <c r="Q36" s="29">
        <f>'Tariff Jul 2016'!AW22</f>
        <v>25</v>
      </c>
      <c r="R36" s="256">
        <f t="shared" si="10"/>
        <v>2614.8020000000001</v>
      </c>
      <c r="S36" s="256">
        <f>R36-(K36*Q36/100)</f>
        <v>2025.3020000000001</v>
      </c>
      <c r="T36" s="262">
        <f t="shared" si="11"/>
        <v>2876.2822000000006</v>
      </c>
      <c r="U36" s="262">
        <f t="shared" si="12"/>
        <v>2227.8322000000003</v>
      </c>
      <c r="V36" s="126">
        <f>'Tariff Jul 2016'!BD22</f>
        <v>0</v>
      </c>
      <c r="W36" s="127" t="str">
        <f>'Tariff Jul 2016'!BE22</f>
        <v>n</v>
      </c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</row>
    <row r="37" spans="1:76" ht="14" x14ac:dyDescent="0.15">
      <c r="A37" s="111" t="str">
        <f>'Tariff Jul 2016'!K23</f>
        <v>EnergyAustralia</v>
      </c>
      <c r="B37" s="29" t="str">
        <f>'Tariff Jul 2016'!L23</f>
        <v xml:space="preserve">Flexi Saver </v>
      </c>
      <c r="C37" s="141">
        <f>91*'Tariff Jul 2016'!M23/100</f>
        <v>72.6999</v>
      </c>
      <c r="D37" s="141">
        <f>IF($C$26*$C$27&gt;='Tariff Jul 2016'!P23,('Tariff Jul 2016'!P23*'Tariff Jul 2016'!N23/100),(($C$26*$C$27)*'Tariff Jul 2016'!N23/100))</f>
        <v>339.67399999999992</v>
      </c>
      <c r="E37" s="141">
        <f>IF($C$26*$C$27&lt;'Tariff Jul 2016'!P23,0,IF(($C$26*$C$27-'Tariff Jul 2016'!P23)&lt;='Tariff Jul 2016'!R23,(($C$26*$C$27-'Tariff Jul 2016'!P23)*'Tariff Jul 2016'!Q23/100),(('Tariff Jul 2016'!R23-'Tariff Jul 2016'!P23)*'Tariff Jul 2016'!Q23/100)))</f>
        <v>195.86600000000001</v>
      </c>
      <c r="F37" s="141">
        <v>0</v>
      </c>
      <c r="G37" s="141">
        <v>0</v>
      </c>
      <c r="H37" s="141">
        <f>($C$26*$C$28)*'Tariff Jul 2016'!AE23/100</f>
        <v>54.325875000000003</v>
      </c>
      <c r="I37" s="141">
        <v>0</v>
      </c>
      <c r="J37" s="141">
        <f t="shared" si="7"/>
        <v>662.56577499999992</v>
      </c>
      <c r="K37" s="256">
        <f t="shared" si="13"/>
        <v>2359.4634999999998</v>
      </c>
      <c r="L37" s="125">
        <f t="shared" si="8"/>
        <v>2650.2630999999997</v>
      </c>
      <c r="M37" s="125">
        <f t="shared" si="9"/>
        <v>2915.2894099999999</v>
      </c>
      <c r="N37" s="29">
        <f>'Tariff Jul 2016'!AT23</f>
        <v>0</v>
      </c>
      <c r="O37" s="29">
        <f>'Tariff Jul 2016'!AU23</f>
        <v>0</v>
      </c>
      <c r="P37" s="29">
        <f>'Tariff Jul 2016'!AV23</f>
        <v>0</v>
      </c>
      <c r="Q37" s="29">
        <f>'Tariff Jul 2016'!AW23</f>
        <v>18</v>
      </c>
      <c r="R37" s="256">
        <f t="shared" si="10"/>
        <v>2650.2630999999997</v>
      </c>
      <c r="S37" s="256">
        <f>R37-(K37*Q37/100)</f>
        <v>2225.5596699999996</v>
      </c>
      <c r="T37" s="262">
        <f t="shared" si="11"/>
        <v>2915.2894099999999</v>
      </c>
      <c r="U37" s="262">
        <f t="shared" si="12"/>
        <v>2448.1156369999999</v>
      </c>
      <c r="V37" s="126">
        <f>'Tariff Jul 2016'!BD23</f>
        <v>0</v>
      </c>
      <c r="W37" s="127" t="str">
        <f>'Tariff Jul 2016'!BE23</f>
        <v>n</v>
      </c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</row>
    <row r="38" spans="1:76" ht="14" x14ac:dyDescent="0.15">
      <c r="A38" s="111" t="str">
        <f>'Tariff Jul 2016'!K24</f>
        <v>Lumo Energy</v>
      </c>
      <c r="B38" s="29" t="str">
        <f>'Tariff Jul 2016'!L24</f>
        <v>Advantage</v>
      </c>
      <c r="C38" s="141">
        <f>91*'Tariff Jul 2016'!M24/100</f>
        <v>72.408699999999996</v>
      </c>
      <c r="D38" s="141">
        <f>IF($C$26*$C$27&gt;='Tariff Jul 2016'!P24,('Tariff Jul 2016'!P24*'Tariff Jul 2016'!N24/100),(($C$26*$C$27)*'Tariff Jul 2016'!N24/100))</f>
        <v>309.7</v>
      </c>
      <c r="E38" s="141">
        <v>0</v>
      </c>
      <c r="F38" s="141">
        <v>0</v>
      </c>
      <c r="G38" s="141">
        <f>IF(($C$26*$C$27&lt;'Tariff Jul 2016'!T24),(0),($C$26*$C$27-'Tariff Jul 2016'!T24)*'Tariff Jul 2016'!U24/100)</f>
        <v>180.3</v>
      </c>
      <c r="H38" s="141">
        <f>($C$26*$C$28)*'Tariff Jul 2016'!AE24/100</f>
        <v>57.75</v>
      </c>
      <c r="I38" s="141">
        <v>0</v>
      </c>
      <c r="J38" s="141">
        <f t="shared" si="7"/>
        <v>620.15869999999995</v>
      </c>
      <c r="K38" s="256">
        <f t="shared" si="13"/>
        <v>2191</v>
      </c>
      <c r="L38" s="125">
        <f t="shared" si="8"/>
        <v>2480.6347999999998</v>
      </c>
      <c r="M38" s="125">
        <f t="shared" si="9"/>
        <v>2728.6982800000001</v>
      </c>
      <c r="N38" s="29">
        <f>'Tariff Jul 2016'!AT24</f>
        <v>0</v>
      </c>
      <c r="O38" s="29">
        <f>'Tariff Jul 2016'!AU24</f>
        <v>0</v>
      </c>
      <c r="P38" s="29">
        <f>'Tariff Jul 2016'!AV24</f>
        <v>12</v>
      </c>
      <c r="Q38" s="29">
        <f>'Tariff Jul 2016'!AW24</f>
        <v>0</v>
      </c>
      <c r="R38" s="256">
        <f t="shared" si="10"/>
        <v>2480.6347999999998</v>
      </c>
      <c r="S38" s="256">
        <f>R38-(R38*P38/100)</f>
        <v>2182.9586239999999</v>
      </c>
      <c r="T38" s="262">
        <f t="shared" si="11"/>
        <v>2728.6982800000001</v>
      </c>
      <c r="U38" s="262">
        <f t="shared" si="12"/>
        <v>2401.2544864000001</v>
      </c>
      <c r="V38" s="126">
        <f>'Tariff Jul 2016'!BD24</f>
        <v>24</v>
      </c>
      <c r="W38" s="127" t="str">
        <f>'Tariff Jul 2016'!BE24</f>
        <v>n</v>
      </c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</row>
    <row r="39" spans="1:76" ht="14" x14ac:dyDescent="0.15">
      <c r="A39" s="111" t="str">
        <f>'Tariff Jul 2016'!K25</f>
        <v>Momentum Energy</v>
      </c>
      <c r="B39" s="29" t="str">
        <f>'Tariff Jul 2016'!L25</f>
        <v>SmilePower</v>
      </c>
      <c r="C39" s="141">
        <f>91*'Tariff Jul 2016'!M25/100</f>
        <v>68.377399999999994</v>
      </c>
      <c r="D39" s="141">
        <f>IF($C$26*$C$27&gt;='Tariff Jul 2016'!P25,('Tariff Jul 2016'!P25*'Tariff Jul 2016'!N25/100),(($C$26*$C$27)*'Tariff Jul 2016'!N25/100))</f>
        <v>186.18</v>
      </c>
      <c r="E39" s="141">
        <v>0</v>
      </c>
      <c r="F39" s="141">
        <v>0</v>
      </c>
      <c r="G39" s="141">
        <f>IF(($C$26*$C$27&lt;'Tariff Jul 2016'!T25),(0),($C$26*$C$27-'Tariff Jul 2016'!T25)*'Tariff Jul 2016'!U25/100)</f>
        <v>285.02999999999997</v>
      </c>
      <c r="H39" s="141">
        <f>($C$26*$C$28)*'Tariff Jul 2016'!AE25/100</f>
        <v>78.974999999999994</v>
      </c>
      <c r="I39" s="141">
        <v>0</v>
      </c>
      <c r="J39" s="141">
        <f t="shared" si="7"/>
        <v>618.56240000000003</v>
      </c>
      <c r="K39" s="256">
        <f t="shared" si="13"/>
        <v>2200.7400000000002</v>
      </c>
      <c r="L39" s="125">
        <f t="shared" si="8"/>
        <v>2474.2496000000001</v>
      </c>
      <c r="M39" s="125">
        <f t="shared" si="9"/>
        <v>2721.6745600000004</v>
      </c>
      <c r="N39" s="29">
        <f>'Tariff Jul 2016'!AT25</f>
        <v>0</v>
      </c>
      <c r="O39" s="29">
        <f>'Tariff Jul 2016'!AU25</f>
        <v>0</v>
      </c>
      <c r="P39" s="29">
        <f>'Tariff Jul 2016'!AV25</f>
        <v>0</v>
      </c>
      <c r="Q39" s="29">
        <f>'Tariff Jul 2016'!AW25</f>
        <v>0</v>
      </c>
      <c r="R39" s="256">
        <f t="shared" si="10"/>
        <v>2474.2496000000001</v>
      </c>
      <c r="S39" s="256">
        <f>R39</f>
        <v>2474.2496000000001</v>
      </c>
      <c r="T39" s="262">
        <f t="shared" si="11"/>
        <v>2721.6745600000004</v>
      </c>
      <c r="U39" s="262">
        <f t="shared" si="12"/>
        <v>2721.6745600000004</v>
      </c>
      <c r="V39" s="126">
        <f>'Tariff Jul 2016'!BD25</f>
        <v>12</v>
      </c>
      <c r="W39" s="127" t="str">
        <f>'Tariff Jul 2016'!BE25</f>
        <v>y</v>
      </c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</row>
    <row r="40" spans="1:76" ht="14" x14ac:dyDescent="0.15">
      <c r="A40" s="111" t="str">
        <f>'Tariff Jul 2016'!K26</f>
        <v>Origin Energy</v>
      </c>
      <c r="B40" s="29" t="str">
        <f>'Tariff Jul 2016'!L26</f>
        <v>Saver</v>
      </c>
      <c r="C40" s="141">
        <f>91*'Tariff Jul 2016'!M26/100</f>
        <v>64.255099999999999</v>
      </c>
      <c r="D40" s="141">
        <f>IF($C$26*$C$27&gt;='Tariff Jul 2016'!P26,('Tariff Jul 2016'!P26*'Tariff Jul 2016'!N26/100),(($C$26*$C$27)*'Tariff Jul 2016'!N26/100))</f>
        <v>313.2</v>
      </c>
      <c r="E40" s="141">
        <v>0</v>
      </c>
      <c r="F40" s="141">
        <v>0</v>
      </c>
      <c r="G40" s="141">
        <f>IF(($C$26*$C$27&lt;'Tariff Jul 2016'!T26),(0),($C$26*$C$27-'Tariff Jul 2016'!T26)*'Tariff Jul 2016'!U26/100)</f>
        <v>178.55</v>
      </c>
      <c r="H40" s="141">
        <f>($C$26*$C$28)*'Tariff Jul 2016'!AE26/100</f>
        <v>57</v>
      </c>
      <c r="I40" s="141">
        <v>0</v>
      </c>
      <c r="J40" s="141">
        <f t="shared" si="7"/>
        <v>613.00510000000008</v>
      </c>
      <c r="K40" s="256">
        <f t="shared" si="13"/>
        <v>2195.0000000000005</v>
      </c>
      <c r="L40" s="125">
        <f t="shared" si="8"/>
        <v>2452.0204000000003</v>
      </c>
      <c r="M40" s="125">
        <f t="shared" si="9"/>
        <v>2697.2224400000005</v>
      </c>
      <c r="N40" s="29">
        <f>'Tariff Jul 2016'!AT26</f>
        <v>0</v>
      </c>
      <c r="O40" s="29">
        <f>'Tariff Jul 2016'!AU26</f>
        <v>0</v>
      </c>
      <c r="P40" s="29">
        <f>'Tariff Jul 2016'!AV26</f>
        <v>0</v>
      </c>
      <c r="Q40" s="29">
        <f>'Tariff Jul 2016'!AW26</f>
        <v>16</v>
      </c>
      <c r="R40" s="256">
        <f t="shared" si="10"/>
        <v>2452.0204000000003</v>
      </c>
      <c r="S40" s="256">
        <f>R40-(K40*Q40/100)</f>
        <v>2100.8204000000005</v>
      </c>
      <c r="T40" s="262">
        <f t="shared" si="11"/>
        <v>2697.2224400000005</v>
      </c>
      <c r="U40" s="262">
        <f t="shared" si="12"/>
        <v>2310.9024400000008</v>
      </c>
      <c r="V40" s="126">
        <f>'Tariff Jul 2016'!BD26</f>
        <v>0</v>
      </c>
      <c r="W40" s="127" t="str">
        <f>'Tariff Jul 2016'!BE26</f>
        <v>n</v>
      </c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</row>
    <row r="41" spans="1:76" ht="14" x14ac:dyDescent="0.15">
      <c r="A41" s="111" t="str">
        <f>'Tariff Jul 2016'!K27</f>
        <v>Powerdirect</v>
      </c>
      <c r="B41" s="29" t="str">
        <f>'Tariff Jul 2016'!L27</f>
        <v>18 percent</v>
      </c>
      <c r="C41" s="141">
        <f>91*'Tariff Jul 2016'!M27/100</f>
        <v>69.460300000000004</v>
      </c>
      <c r="D41" s="141">
        <f>IF($C$26*$C$27&gt;='Tariff Jul 2016'!P27,('Tariff Jul 2016'!P27*'Tariff Jul 2016'!N27/100),(($C$26*$C$27)*'Tariff Jul 2016'!N27/100))</f>
        <v>311.60000000000002</v>
      </c>
      <c r="E41" s="141">
        <v>0</v>
      </c>
      <c r="F41" s="141">
        <v>0</v>
      </c>
      <c r="G41" s="141">
        <f>IF(($C$26*$C$27&lt;'Tariff Jul 2016'!T27),(0),($C$26*$C$27-'Tariff Jul 2016'!T27)*'Tariff Jul 2016'!U27/100)</f>
        <v>166.15</v>
      </c>
      <c r="H41" s="141">
        <f>($C$26*$C$28)*'Tariff Jul 2016'!AE27/100</f>
        <v>61.875</v>
      </c>
      <c r="I41" s="141">
        <v>0</v>
      </c>
      <c r="J41" s="141">
        <f t="shared" si="7"/>
        <v>609.08530000000007</v>
      </c>
      <c r="K41" s="256">
        <f t="shared" si="13"/>
        <v>2158.5000000000005</v>
      </c>
      <c r="L41" s="125">
        <f t="shared" si="8"/>
        <v>2436.3412000000003</v>
      </c>
      <c r="M41" s="125">
        <f t="shared" si="9"/>
        <v>2679.9753200000005</v>
      </c>
      <c r="N41" s="29">
        <f>'Tariff Jul 2016'!AT27</f>
        <v>0</v>
      </c>
      <c r="O41" s="29">
        <f>'Tariff Jul 2016'!AU27</f>
        <v>0</v>
      </c>
      <c r="P41" s="29">
        <f>'Tariff Jul 2016'!AV27</f>
        <v>0</v>
      </c>
      <c r="Q41" s="29">
        <f>'Tariff Jul 2016'!AW27</f>
        <v>18</v>
      </c>
      <c r="R41" s="256">
        <f t="shared" si="10"/>
        <v>2436.3412000000003</v>
      </c>
      <c r="S41" s="256">
        <f>R41-(K41*Q41/100)</f>
        <v>2047.8112000000001</v>
      </c>
      <c r="T41" s="262">
        <f t="shared" si="11"/>
        <v>2679.9753200000005</v>
      </c>
      <c r="U41" s="262">
        <f t="shared" si="12"/>
        <v>2252.5923200000002</v>
      </c>
      <c r="V41" s="126">
        <f>'Tariff Jul 2016'!BD27</f>
        <v>24</v>
      </c>
      <c r="W41" s="127" t="str">
        <f>'Tariff Jul 2016'!BE27</f>
        <v>n</v>
      </c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</row>
    <row r="42" spans="1:76" ht="14" x14ac:dyDescent="0.15">
      <c r="A42" s="111" t="str">
        <f>'Tariff Jul 2016'!K28</f>
        <v>Red Energy</v>
      </c>
      <c r="B42" s="29" t="str">
        <f>'Tariff Jul 2016'!L28</f>
        <v>Living Energy Saver</v>
      </c>
      <c r="C42" s="141">
        <f>91*'Tariff Jul 2016'!M28/100</f>
        <v>72.408699999999996</v>
      </c>
      <c r="D42" s="141">
        <f>IF($C$26*$C$27&gt;='Tariff Jul 2016'!P28,('Tariff Jul 2016'!P28*'Tariff Jul 2016'!N28/100),(($C$26*$C$27)*'Tariff Jul 2016'!N28/100))</f>
        <v>309.7</v>
      </c>
      <c r="E42" s="141">
        <v>0</v>
      </c>
      <c r="F42" s="141">
        <v>0</v>
      </c>
      <c r="G42" s="141">
        <f>IF(($C$26*$C$27&lt;'Tariff Jul 2016'!T28),(0),($C$26*$C$27-'Tariff Jul 2016'!T28)*'Tariff Jul 2016'!U28/100)</f>
        <v>180.3</v>
      </c>
      <c r="H42" s="141">
        <f>($C$26*$C$28)*'Tariff Jul 2016'!AE28/100</f>
        <v>57.75</v>
      </c>
      <c r="I42" s="141">
        <v>0</v>
      </c>
      <c r="J42" s="141">
        <f t="shared" si="7"/>
        <v>620.15869999999995</v>
      </c>
      <c r="K42" s="256">
        <f t="shared" si="13"/>
        <v>2191</v>
      </c>
      <c r="L42" s="125">
        <f t="shared" si="8"/>
        <v>2480.6347999999998</v>
      </c>
      <c r="M42" s="125">
        <f t="shared" si="9"/>
        <v>2728.6982800000001</v>
      </c>
      <c r="N42" s="29">
        <f>'Tariff Jul 2016'!AT28</f>
        <v>0</v>
      </c>
      <c r="O42" s="29">
        <f>'Tariff Jul 2016'!AU28</f>
        <v>0</v>
      </c>
      <c r="P42" s="29">
        <f>'Tariff Jul 2016'!AV28</f>
        <v>10</v>
      </c>
      <c r="Q42" s="29">
        <f>'Tariff Jul 2016'!AW28</f>
        <v>0</v>
      </c>
      <c r="R42" s="256">
        <f t="shared" si="10"/>
        <v>2480.6347999999998</v>
      </c>
      <c r="S42" s="256">
        <f>R42-(R42*P42/100)</f>
        <v>2232.57132</v>
      </c>
      <c r="T42" s="262">
        <f t="shared" si="11"/>
        <v>2728.6982800000001</v>
      </c>
      <c r="U42" s="262">
        <f t="shared" si="12"/>
        <v>2455.8284520000002</v>
      </c>
      <c r="V42" s="126">
        <f>'Tariff Jul 2016'!BD28</f>
        <v>24</v>
      </c>
      <c r="W42" s="127" t="str">
        <f>'Tariff Jul 2016'!BE28</f>
        <v>y</v>
      </c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</row>
    <row r="43" spans="1:76" ht="14" x14ac:dyDescent="0.15">
      <c r="A43" s="111" t="str">
        <f>'Tariff Jul 2016'!K29</f>
        <v>Sanctuary Energy</v>
      </c>
      <c r="B43" s="29" t="str">
        <f>'Tariff Jul 2016'!L29</f>
        <v>Negotiated contract</v>
      </c>
      <c r="C43" s="141">
        <f>91*'Tariff Jul 2016'!M29/100</f>
        <v>59.732399999999998</v>
      </c>
      <c r="D43" s="141">
        <f>IF($C$26*$C$27&gt;='Tariff Jul 2016'!P29,('Tariff Jul 2016'!P29*'Tariff Jul 2016'!N29/100),(($C$26*$C$27)*'Tariff Jul 2016'!N29/100))</f>
        <v>87.39</v>
      </c>
      <c r="E43" s="141">
        <f>IF($C$26*$C$27&lt;'Tariff Jul 2016'!P29,0,IF(($C$26*$C$27-'Tariff Jul 2016'!P29)&lt;='Tariff Jul 2016'!R29,(($C$26*$C$27-'Tariff Jul 2016'!P29)*'Tariff Jul 2016'!Q29/100),(('Tariff Jul 2016'!R29-'Tariff Jul 2016'!P29)*'Tariff Jul 2016'!Q29/100)))</f>
        <v>207.76</v>
      </c>
      <c r="F43" s="141">
        <f>IF($C$26*$C$27&lt;'Tariff Jul 2016'!R29,0,IF(($C$26*$C$27-'Tariff Jul 2016'!R29)&lt;='Tariff Jul 2016'!T29,(($C$26*$C$27-'Tariff Jul 2016'!R29)*'Tariff Jul 2016'!S29/100),(('Tariff Jul 2016'!T29-'Tariff Jul 2016'!R29)*'Tariff Jul 2016'!S29/100)))</f>
        <v>169.85</v>
      </c>
      <c r="G43" s="141">
        <f>IF(($C$26*$C$27&lt;'Tariff Jul 2016'!T29),(0),($C$26*$C$27-'Tariff Jul 2016'!T29)*'Tariff Jul 2016'!U29/100)</f>
        <v>0</v>
      </c>
      <c r="H43" s="141">
        <f>($C$26*$C$28)*'Tariff Jul 2016'!AE29/100</f>
        <v>52.837499999999999</v>
      </c>
      <c r="I43" s="141">
        <f>IF(($C$26*$C$28&lt;'Tariff Jul 2016'!AF29),(0),($C$26*$C$28-'Tariff Jul 2016'!AF29)*'Tariff Jul 2016'!AG29/100)</f>
        <v>0</v>
      </c>
      <c r="J43" s="141">
        <f t="shared" si="7"/>
        <v>577.56989999999996</v>
      </c>
      <c r="K43" s="256">
        <f t="shared" si="13"/>
        <v>2071.35</v>
      </c>
      <c r="L43" s="125">
        <f t="shared" si="8"/>
        <v>2310.2795999999998</v>
      </c>
      <c r="M43" s="125">
        <f t="shared" si="9"/>
        <v>2541.3075600000002</v>
      </c>
      <c r="N43" s="29">
        <f>'Tariff Jul 2016'!AT29</f>
        <v>0</v>
      </c>
      <c r="O43" s="29">
        <f>'Tariff Jul 2016'!AU29</f>
        <v>0</v>
      </c>
      <c r="P43" s="29">
        <f>'Tariff Jul 2016'!AV29</f>
        <v>0</v>
      </c>
      <c r="Q43" s="29">
        <f>'Tariff Jul 2016'!AW29</f>
        <v>0</v>
      </c>
      <c r="R43" s="256">
        <f t="shared" si="10"/>
        <v>2310.2795999999998</v>
      </c>
      <c r="S43" s="256">
        <f>R43</f>
        <v>2310.2795999999998</v>
      </c>
      <c r="T43" s="262">
        <f t="shared" si="11"/>
        <v>2541.3075600000002</v>
      </c>
      <c r="U43" s="262">
        <f t="shared" si="12"/>
        <v>2541.3075600000002</v>
      </c>
      <c r="V43" s="126">
        <f>'Tariff Jul 2016'!BD29</f>
        <v>36</v>
      </c>
      <c r="W43" s="127" t="str">
        <f>'Tariff Jul 2016'!BE29</f>
        <v>n</v>
      </c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</row>
    <row r="44" spans="1:76" ht="14" x14ac:dyDescent="0.15">
      <c r="A44" s="111" t="str">
        <f>'Tariff Jul 2016'!K30</f>
        <v>Simply Energy</v>
      </c>
      <c r="B44" s="29" t="str">
        <f>'Tariff Jul 2016'!L30</f>
        <v xml:space="preserve">Autumn Sale </v>
      </c>
      <c r="C44" s="141">
        <f>91*'Tariff Jul 2016'!M30/100</f>
        <v>57.684899999999999</v>
      </c>
      <c r="D44" s="141">
        <f>IF($C$26*$C$27&gt;='Tariff Jul 2016'!P30,('Tariff Jul 2016'!P30*'Tariff Jul 2016'!N30/100),(($C$26*$C$27)*'Tariff Jul 2016'!N30/100))</f>
        <v>305</v>
      </c>
      <c r="E44" s="141">
        <v>0</v>
      </c>
      <c r="F44" s="141">
        <v>0</v>
      </c>
      <c r="G44" s="141">
        <f>IF(($C$26*$C$27&lt;'Tariff Jul 2016'!T30),(0),($C$26*$C$27-'Tariff Jul 2016'!T30)*'Tariff Jul 2016'!U30/100)</f>
        <v>170.5</v>
      </c>
      <c r="H44" s="141">
        <f>($C$26*$C$28)*'Tariff Jul 2016'!AE30/100</f>
        <v>65.512500000000003</v>
      </c>
      <c r="I44" s="141">
        <v>0</v>
      </c>
      <c r="J44" s="141">
        <f t="shared" si="7"/>
        <v>598.69740000000002</v>
      </c>
      <c r="K44" s="256">
        <f t="shared" si="13"/>
        <v>2164.0500000000002</v>
      </c>
      <c r="L44" s="125">
        <f t="shared" si="8"/>
        <v>2394.7896000000001</v>
      </c>
      <c r="M44" s="125">
        <f t="shared" si="9"/>
        <v>2634.2685600000004</v>
      </c>
      <c r="N44" s="29">
        <f>'Tariff Jul 2016'!AT30</f>
        <v>0</v>
      </c>
      <c r="O44" s="29">
        <f>'Tariff Jul 2016'!AU30</f>
        <v>0</v>
      </c>
      <c r="P44" s="29">
        <f>'Tariff Jul 2016'!AV30</f>
        <v>0</v>
      </c>
      <c r="Q44" s="29">
        <f>'Tariff Jul 2016'!AW30</f>
        <v>28</v>
      </c>
      <c r="R44" s="256">
        <f t="shared" si="10"/>
        <v>2394.7896000000001</v>
      </c>
      <c r="S44" s="256">
        <f>R44-(K44*Q44/100)</f>
        <v>1788.8555999999999</v>
      </c>
      <c r="T44" s="262">
        <f t="shared" si="11"/>
        <v>2634.2685600000004</v>
      </c>
      <c r="U44" s="262">
        <f t="shared" si="12"/>
        <v>1967.74116</v>
      </c>
      <c r="V44" s="126">
        <f>'Tariff Jul 2016'!BD30</f>
        <v>24</v>
      </c>
      <c r="W44" s="127" t="str">
        <f>'Tariff Jul 2016'!BE30</f>
        <v>y</v>
      </c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</row>
    <row r="45" spans="1:76" ht="15" thickBot="1" x14ac:dyDescent="0.2">
      <c r="A45" s="128" t="str">
        <f>'Tariff Jul 2016'!K31</f>
        <v>Urth Energy</v>
      </c>
      <c r="B45" s="129" t="str">
        <f>'Tariff Jul 2016'!L31</f>
        <v>Market offer</v>
      </c>
      <c r="C45" s="142">
        <f>91*'Tariff Jul 2016'!M31/100</f>
        <v>64.255099999999999</v>
      </c>
      <c r="D45" s="142">
        <f>IF($C$26*$C$27&gt;='Tariff Jul 2016'!P31,('Tariff Jul 2016'!P31*'Tariff Jul 2016'!N31/100),(($C$26*$C$27)*'Tariff Jul 2016'!N31/100))</f>
        <v>313</v>
      </c>
      <c r="E45" s="142">
        <v>0</v>
      </c>
      <c r="F45" s="142">
        <v>0</v>
      </c>
      <c r="G45" s="142">
        <f>IF(($C$26*$C$27&lt;'Tariff Jul 2016'!T31),(0),($C$26*$C$27-'Tariff Jul 2016'!T31)*'Tariff Jul 2016'!U31/100)</f>
        <v>176.5</v>
      </c>
      <c r="H45" s="142">
        <f>($C$26*$C$28)*'Tariff Jul 2016'!AE31/100</f>
        <v>57</v>
      </c>
      <c r="I45" s="142">
        <v>0</v>
      </c>
      <c r="J45" s="142">
        <f t="shared" si="7"/>
        <v>610.75509999999997</v>
      </c>
      <c r="K45" s="257">
        <f t="shared" si="13"/>
        <v>2186</v>
      </c>
      <c r="L45" s="134">
        <f t="shared" si="8"/>
        <v>2443.0203999999999</v>
      </c>
      <c r="M45" s="134">
        <f t="shared" si="9"/>
        <v>2687.3224399999999</v>
      </c>
      <c r="N45" s="129">
        <f>'Tariff Jul 2016'!AT31</f>
        <v>0</v>
      </c>
      <c r="O45" s="129">
        <f>'Tariff Jul 2016'!AU31</f>
        <v>0</v>
      </c>
      <c r="P45" s="129">
        <f>'Tariff Jul 2016'!AV31</f>
        <v>0</v>
      </c>
      <c r="Q45" s="129">
        <f>'Tariff Jul 2016'!AW31</f>
        <v>10</v>
      </c>
      <c r="R45" s="257">
        <f t="shared" si="10"/>
        <v>2443.0203999999999</v>
      </c>
      <c r="S45" s="257">
        <f>R45-(K45*Q45/100)</f>
        <v>2224.4204</v>
      </c>
      <c r="T45" s="263">
        <f t="shared" si="11"/>
        <v>2687.3224399999999</v>
      </c>
      <c r="U45" s="263">
        <f t="shared" si="12"/>
        <v>2446.8624400000003</v>
      </c>
      <c r="V45" s="135">
        <f>'Tariff Jul 2016'!BD31</f>
        <v>0</v>
      </c>
      <c r="W45" s="136" t="str">
        <f>'Tariff Jul 2016'!BE31</f>
        <v>n</v>
      </c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</row>
    <row r="46" spans="1:76" s="114" customFormat="1" ht="14" x14ac:dyDescent="0.15"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</row>
    <row r="47" spans="1:76" s="114" customFormat="1" ht="14" x14ac:dyDescent="0.15"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</row>
    <row r="48" spans="1:76" s="114" customFormat="1" ht="14" x14ac:dyDescent="0.15"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</row>
    <row r="49" spans="24:76" s="114" customFormat="1" ht="14" x14ac:dyDescent="0.15"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</row>
    <row r="50" spans="24:76" s="114" customFormat="1" ht="14" x14ac:dyDescent="0.15"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</row>
    <row r="51" spans="24:76" s="114" customFormat="1" ht="14" x14ac:dyDescent="0.15"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</row>
    <row r="52" spans="24:76" s="114" customFormat="1" ht="14" x14ac:dyDescent="0.15"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</row>
    <row r="53" spans="24:76" s="114" customFormat="1" ht="14" x14ac:dyDescent="0.15"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</row>
    <row r="54" spans="24:76" s="114" customFormat="1" ht="14" x14ac:dyDescent="0.15"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</row>
    <row r="55" spans="24:76" s="114" customFormat="1" ht="14" x14ac:dyDescent="0.15"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</row>
    <row r="56" spans="24:76" s="114" customFormat="1" ht="14" x14ac:dyDescent="0.15"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</row>
    <row r="57" spans="24:76" s="114" customFormat="1" ht="14" x14ac:dyDescent="0.15"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</row>
    <row r="58" spans="24:76" s="114" customFormat="1" ht="14" x14ac:dyDescent="0.15"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</row>
    <row r="59" spans="24:76" s="114" customFormat="1" ht="14" x14ac:dyDescent="0.15"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</row>
    <row r="60" spans="24:76" s="114" customFormat="1" ht="14" x14ac:dyDescent="0.15"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</row>
    <row r="61" spans="24:76" s="114" customFormat="1" x14ac:dyDescent="0.15"/>
    <row r="62" spans="24:76" s="114" customFormat="1" x14ac:dyDescent="0.15"/>
    <row r="63" spans="24:76" s="114" customFormat="1" x14ac:dyDescent="0.15"/>
    <row r="64" spans="24:76" s="114" customFormat="1" x14ac:dyDescent="0.15"/>
    <row r="65" s="114" customFormat="1" x14ac:dyDescent="0.15"/>
    <row r="66" s="114" customFormat="1" x14ac:dyDescent="0.15"/>
    <row r="67" s="114" customFormat="1" x14ac:dyDescent="0.15"/>
    <row r="68" s="114" customFormat="1" x14ac:dyDescent="0.15"/>
    <row r="69" s="114" customFormat="1" x14ac:dyDescent="0.15"/>
    <row r="70" s="114" customFormat="1" x14ac:dyDescent="0.15"/>
    <row r="71" s="114" customFormat="1" x14ac:dyDescent="0.15"/>
    <row r="72" s="114" customFormat="1" x14ac:dyDescent="0.15"/>
    <row r="73" s="114" customFormat="1" x14ac:dyDescent="0.15"/>
    <row r="74" s="114" customFormat="1" x14ac:dyDescent="0.15"/>
    <row r="75" s="114" customFormat="1" x14ac:dyDescent="0.15"/>
    <row r="76" s="114" customFormat="1" x14ac:dyDescent="0.15"/>
    <row r="77" s="114" customFormat="1" x14ac:dyDescent="0.15"/>
    <row r="78" s="114" customFormat="1" x14ac:dyDescent="0.15"/>
    <row r="79" s="114" customFormat="1" x14ac:dyDescent="0.15"/>
    <row r="80" s="114" customFormat="1" x14ac:dyDescent="0.15"/>
    <row r="81" s="114" customFormat="1" x14ac:dyDescent="0.15"/>
    <row r="82" s="114" customFormat="1" x14ac:dyDescent="0.15"/>
    <row r="83" s="114" customFormat="1" x14ac:dyDescent="0.15"/>
    <row r="84" s="114" customFormat="1" x14ac:dyDescent="0.15"/>
    <row r="85" s="114" customFormat="1" x14ac:dyDescent="0.15"/>
    <row r="86" s="114" customFormat="1" x14ac:dyDescent="0.15"/>
    <row r="87" s="114" customFormat="1" x14ac:dyDescent="0.15"/>
    <row r="88" s="114" customFormat="1" x14ac:dyDescent="0.15"/>
    <row r="89" s="114" customFormat="1" x14ac:dyDescent="0.15"/>
    <row r="90" s="114" customFormat="1" x14ac:dyDescent="0.15"/>
    <row r="91" s="114" customFormat="1" x14ac:dyDescent="0.15"/>
    <row r="92" s="114" customFormat="1" x14ac:dyDescent="0.15"/>
    <row r="93" s="114" customFormat="1" x14ac:dyDescent="0.15"/>
    <row r="94" s="114" customFormat="1" x14ac:dyDescent="0.15"/>
    <row r="95" s="114" customFormat="1" x14ac:dyDescent="0.15"/>
    <row r="96" s="114" customFormat="1" x14ac:dyDescent="0.15"/>
    <row r="97" s="114" customFormat="1" x14ac:dyDescent="0.15"/>
    <row r="98" s="114" customFormat="1" x14ac:dyDescent="0.15"/>
    <row r="99" s="114" customFormat="1" x14ac:dyDescent="0.15"/>
    <row r="100" s="114" customFormat="1" x14ac:dyDescent="0.15"/>
    <row r="101" s="114" customFormat="1" x14ac:dyDescent="0.15"/>
    <row r="102" s="114" customFormat="1" x14ac:dyDescent="0.15"/>
    <row r="103" s="114" customFormat="1" x14ac:dyDescent="0.15"/>
    <row r="104" s="114" customFormat="1" x14ac:dyDescent="0.15"/>
    <row r="105" s="114" customFormat="1" x14ac:dyDescent="0.15"/>
    <row r="106" s="114" customFormat="1" x14ac:dyDescent="0.15"/>
    <row r="107" s="114" customFormat="1" x14ac:dyDescent="0.15"/>
    <row r="108" s="114" customFormat="1" x14ac:dyDescent="0.15"/>
    <row r="109" s="114" customFormat="1" x14ac:dyDescent="0.15"/>
    <row r="110" s="114" customFormat="1" x14ac:dyDescent="0.15"/>
    <row r="111" s="114" customFormat="1" x14ac:dyDescent="0.15"/>
    <row r="112" s="114" customFormat="1" x14ac:dyDescent="0.15"/>
    <row r="113" s="114" customFormat="1" x14ac:dyDescent="0.15"/>
    <row r="114" s="114" customFormat="1" x14ac:dyDescent="0.15"/>
    <row r="115" s="114" customFormat="1" x14ac:dyDescent="0.15"/>
    <row r="116" s="114" customFormat="1" x14ac:dyDescent="0.15"/>
    <row r="117" s="114" customFormat="1" x14ac:dyDescent="0.15"/>
    <row r="118" s="114" customFormat="1" x14ac:dyDescent="0.15"/>
    <row r="119" s="114" customFormat="1" x14ac:dyDescent="0.15"/>
    <row r="120" s="114" customFormat="1" x14ac:dyDescent="0.15"/>
    <row r="121" s="114" customFormat="1" x14ac:dyDescent="0.15"/>
    <row r="122" s="114" customFormat="1" x14ac:dyDescent="0.15"/>
    <row r="123" s="114" customFormat="1" x14ac:dyDescent="0.15"/>
    <row r="124" s="114" customFormat="1" x14ac:dyDescent="0.15"/>
    <row r="125" s="114" customFormat="1" x14ac:dyDescent="0.15"/>
    <row r="126" s="114" customFormat="1" x14ac:dyDescent="0.15"/>
    <row r="127" s="114" customFormat="1" x14ac:dyDescent="0.15"/>
    <row r="128" s="114" customFormat="1" x14ac:dyDescent="0.15"/>
    <row r="129" s="114" customFormat="1" x14ac:dyDescent="0.15"/>
    <row r="130" s="114" customFormat="1" x14ac:dyDescent="0.15"/>
    <row r="131" s="114" customFormat="1" x14ac:dyDescent="0.15"/>
    <row r="132" s="114" customFormat="1" x14ac:dyDescent="0.15"/>
    <row r="133" s="114" customFormat="1" x14ac:dyDescent="0.15"/>
    <row r="134" s="114" customFormat="1" x14ac:dyDescent="0.15"/>
    <row r="135" s="114" customFormat="1" x14ac:dyDescent="0.15"/>
    <row r="136" s="114" customFormat="1" x14ac:dyDescent="0.15"/>
    <row r="137" s="114" customFormat="1" x14ac:dyDescent="0.15"/>
    <row r="138" s="114" customFormat="1" x14ac:dyDescent="0.15"/>
    <row r="139" s="114" customFormat="1" x14ac:dyDescent="0.15"/>
    <row r="140" s="114" customFormat="1" x14ac:dyDescent="0.15"/>
    <row r="141" s="114" customFormat="1" x14ac:dyDescent="0.15"/>
    <row r="142" s="114" customFormat="1" x14ac:dyDescent="0.15"/>
    <row r="143" s="114" customFormat="1" x14ac:dyDescent="0.15"/>
    <row r="144" s="114" customFormat="1" x14ac:dyDescent="0.15"/>
    <row r="145" s="114" customFormat="1" x14ac:dyDescent="0.15"/>
    <row r="146" s="114" customFormat="1" x14ac:dyDescent="0.15"/>
    <row r="147" s="114" customFormat="1" x14ac:dyDescent="0.15"/>
    <row r="148" s="114" customFormat="1" x14ac:dyDescent="0.15"/>
    <row r="149" s="114" customFormat="1" x14ac:dyDescent="0.15"/>
    <row r="150" s="114" customFormat="1" x14ac:dyDescent="0.15"/>
    <row r="151" s="114" customFormat="1" x14ac:dyDescent="0.15"/>
    <row r="152" s="114" customFormat="1" x14ac:dyDescent="0.15"/>
    <row r="153" s="114" customFormat="1" x14ac:dyDescent="0.15"/>
    <row r="154" s="114" customFormat="1" x14ac:dyDescent="0.15"/>
    <row r="155" s="114" customFormat="1" x14ac:dyDescent="0.15"/>
    <row r="156" s="114" customFormat="1" x14ac:dyDescent="0.15"/>
    <row r="157" s="114" customFormat="1" x14ac:dyDescent="0.15"/>
    <row r="158" s="114" customFormat="1" x14ac:dyDescent="0.15"/>
    <row r="159" s="114" customFormat="1" x14ac:dyDescent="0.15"/>
    <row r="160" s="114" customFormat="1" x14ac:dyDescent="0.15"/>
    <row r="161" s="114" customFormat="1" x14ac:dyDescent="0.15"/>
    <row r="162" s="114" customFormat="1" x14ac:dyDescent="0.15"/>
    <row r="163" s="114" customFormat="1" x14ac:dyDescent="0.15"/>
    <row r="164" s="114" customFormat="1" x14ac:dyDescent="0.15"/>
    <row r="165" s="114" customFormat="1" x14ac:dyDescent="0.15"/>
    <row r="166" s="114" customFormat="1" x14ac:dyDescent="0.15"/>
    <row r="167" s="114" customFormat="1" x14ac:dyDescent="0.15"/>
    <row r="168" s="114" customFormat="1" x14ac:dyDescent="0.15"/>
    <row r="169" s="114" customFormat="1" x14ac:dyDescent="0.15"/>
    <row r="170" s="114" customFormat="1" x14ac:dyDescent="0.15"/>
    <row r="171" s="114" customFormat="1" x14ac:dyDescent="0.15"/>
    <row r="172" s="114" customFormat="1" x14ac:dyDescent="0.15"/>
    <row r="173" s="114" customFormat="1" x14ac:dyDescent="0.15"/>
    <row r="174" s="114" customFormat="1" x14ac:dyDescent="0.15"/>
    <row r="175" s="114" customFormat="1" x14ac:dyDescent="0.15"/>
    <row r="176" s="114" customFormat="1" x14ac:dyDescent="0.15"/>
    <row r="177" s="114" customFormat="1" x14ac:dyDescent="0.15"/>
    <row r="178" s="114" customFormat="1" x14ac:dyDescent="0.15"/>
    <row r="179" s="114" customFormat="1" x14ac:dyDescent="0.15"/>
    <row r="180" s="114" customFormat="1" x14ac:dyDescent="0.15"/>
    <row r="181" s="114" customFormat="1" x14ac:dyDescent="0.15"/>
    <row r="182" s="114" customFormat="1" x14ac:dyDescent="0.15"/>
    <row r="183" s="114" customFormat="1" x14ac:dyDescent="0.15"/>
    <row r="184" s="114" customFormat="1" x14ac:dyDescent="0.15"/>
    <row r="185" s="114" customFormat="1" x14ac:dyDescent="0.15"/>
    <row r="186" s="114" customFormat="1" x14ac:dyDescent="0.15"/>
    <row r="187" s="114" customFormat="1" x14ac:dyDescent="0.15"/>
    <row r="188" s="114" customFormat="1" x14ac:dyDescent="0.15"/>
    <row r="189" s="114" customFormat="1" x14ac:dyDescent="0.15"/>
    <row r="190" s="114" customFormat="1" x14ac:dyDescent="0.15"/>
    <row r="191" s="114" customFormat="1" x14ac:dyDescent="0.15"/>
    <row r="192" s="114" customFormat="1" x14ac:dyDescent="0.15"/>
    <row r="193" s="114" customFormat="1" x14ac:dyDescent="0.15"/>
    <row r="194" s="114" customFormat="1" x14ac:dyDescent="0.15"/>
    <row r="195" s="114" customFormat="1" x14ac:dyDescent="0.15"/>
    <row r="196" s="114" customFormat="1" x14ac:dyDescent="0.15"/>
    <row r="197" s="114" customFormat="1" x14ac:dyDescent="0.15"/>
    <row r="198" s="114" customFormat="1" x14ac:dyDescent="0.15"/>
    <row r="199" s="114" customFormat="1" x14ac:dyDescent="0.15"/>
    <row r="200" s="114" customFormat="1" x14ac:dyDescent="0.15"/>
    <row r="201" s="114" customFormat="1" x14ac:dyDescent="0.15"/>
    <row r="202" s="114" customFormat="1" x14ac:dyDescent="0.15"/>
    <row r="203" s="114" customFormat="1" x14ac:dyDescent="0.15"/>
    <row r="204" s="114" customFormat="1" x14ac:dyDescent="0.15"/>
    <row r="205" s="114" customFormat="1" x14ac:dyDescent="0.15"/>
    <row r="206" s="114" customFormat="1" x14ac:dyDescent="0.15"/>
    <row r="207" s="114" customFormat="1" x14ac:dyDescent="0.15"/>
    <row r="208" s="114" customFormat="1" x14ac:dyDescent="0.15"/>
    <row r="209" s="114" customFormat="1" x14ac:dyDescent="0.15"/>
    <row r="210" s="114" customFormat="1" x14ac:dyDescent="0.15"/>
    <row r="211" s="114" customFormat="1" x14ac:dyDescent="0.15"/>
    <row r="212" s="114" customFormat="1" x14ac:dyDescent="0.15"/>
    <row r="213" s="114" customFormat="1" x14ac:dyDescent="0.15"/>
    <row r="214" s="114" customFormat="1" x14ac:dyDescent="0.15"/>
    <row r="215" s="114" customFormat="1" x14ac:dyDescent="0.15"/>
    <row r="216" s="114" customFormat="1" x14ac:dyDescent="0.15"/>
    <row r="217" s="114" customFormat="1" x14ac:dyDescent="0.15"/>
    <row r="218" s="114" customFormat="1" x14ac:dyDescent="0.15"/>
    <row r="219" s="114" customFormat="1" x14ac:dyDescent="0.15"/>
    <row r="220" s="114" customFormat="1" x14ac:dyDescent="0.15"/>
    <row r="221" s="114" customFormat="1" x14ac:dyDescent="0.15"/>
    <row r="222" s="114" customFormat="1" x14ac:dyDescent="0.15"/>
    <row r="223" s="114" customFormat="1" x14ac:dyDescent="0.15"/>
    <row r="224" s="114" customFormat="1" x14ac:dyDescent="0.15"/>
    <row r="225" s="114" customFormat="1" x14ac:dyDescent="0.15"/>
    <row r="226" s="114" customFormat="1" x14ac:dyDescent="0.15"/>
    <row r="227" s="114" customFormat="1" x14ac:dyDescent="0.15"/>
    <row r="228" s="114" customFormat="1" x14ac:dyDescent="0.15"/>
    <row r="229" s="114" customFormat="1" x14ac:dyDescent="0.15"/>
    <row r="230" s="114" customFormat="1" x14ac:dyDescent="0.15"/>
    <row r="231" s="114" customFormat="1" x14ac:dyDescent="0.15"/>
    <row r="232" s="114" customFormat="1" x14ac:dyDescent="0.15"/>
    <row r="233" s="114" customFormat="1" x14ac:dyDescent="0.15"/>
    <row r="234" s="114" customFormat="1" x14ac:dyDescent="0.15"/>
    <row r="235" s="114" customFormat="1" x14ac:dyDescent="0.15"/>
    <row r="236" s="114" customFormat="1" x14ac:dyDescent="0.15"/>
    <row r="237" s="114" customFormat="1" x14ac:dyDescent="0.15"/>
    <row r="238" s="114" customFormat="1" x14ac:dyDescent="0.15"/>
    <row r="239" s="114" customFormat="1" x14ac:dyDescent="0.15"/>
    <row r="240" s="114" customFormat="1" x14ac:dyDescent="0.15"/>
    <row r="241" s="114" customFormat="1" x14ac:dyDescent="0.15"/>
    <row r="242" s="114" customFormat="1" x14ac:dyDescent="0.15"/>
    <row r="243" s="114" customFormat="1" x14ac:dyDescent="0.15"/>
    <row r="244" s="114" customFormat="1" x14ac:dyDescent="0.15"/>
    <row r="245" s="114" customFormat="1" x14ac:dyDescent="0.15"/>
    <row r="246" s="114" customFormat="1" x14ac:dyDescent="0.15"/>
    <row r="247" s="114" customFormat="1" x14ac:dyDescent="0.15"/>
    <row r="248" s="114" customFormat="1" x14ac:dyDescent="0.15"/>
    <row r="249" s="114" customFormat="1" x14ac:dyDescent="0.15"/>
    <row r="250" s="114" customFormat="1" x14ac:dyDescent="0.15"/>
    <row r="251" s="114" customFormat="1" x14ac:dyDescent="0.15"/>
    <row r="252" s="114" customFormat="1" x14ac:dyDescent="0.15"/>
    <row r="253" s="114" customFormat="1" x14ac:dyDescent="0.15"/>
    <row r="254" s="114" customFormat="1" x14ac:dyDescent="0.15"/>
    <row r="255" s="114" customFormat="1" x14ac:dyDescent="0.15"/>
    <row r="256" s="114" customFormat="1" x14ac:dyDescent="0.15"/>
    <row r="257" s="114" customFormat="1" x14ac:dyDescent="0.15"/>
    <row r="258" s="114" customFormat="1" x14ac:dyDescent="0.15"/>
    <row r="259" s="114" customFormat="1" x14ac:dyDescent="0.15"/>
    <row r="260" s="114" customFormat="1" x14ac:dyDescent="0.15"/>
    <row r="261" s="114" customFormat="1" x14ac:dyDescent="0.15"/>
    <row r="262" s="114" customFormat="1" x14ac:dyDescent="0.15"/>
    <row r="263" s="114" customFormat="1" x14ac:dyDescent="0.15"/>
    <row r="264" s="114" customFormat="1" x14ac:dyDescent="0.15"/>
    <row r="265" s="114" customFormat="1" x14ac:dyDescent="0.15"/>
    <row r="266" s="114" customFormat="1" x14ac:dyDescent="0.15"/>
    <row r="267" s="114" customFormat="1" x14ac:dyDescent="0.15"/>
    <row r="268" s="114" customFormat="1" x14ac:dyDescent="0.15"/>
  </sheetData>
  <sheetProtection algorithmName="SHA-512" hashValue="izC9LHIJasdqux8BloylmdA6h/Hw/+9IBqH1SyKIV/7SfxuiFvcGu83CYO1JrSA//S7OMWiSWE01iMRFlwrV1g==" saltValue="1qxYUBQIb37qD4AcGOEm+g==" spinCount="100000" sheet="1" objects="1" scenarios="1"/>
  <phoneticPr fontId="6" type="noConversion"/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71865C-2C3C-4EDC-9BA8-F809349174E7}"/>
</file>

<file path=customXml/itemProps2.xml><?xml version="1.0" encoding="utf-8"?>
<ds:datastoreItem xmlns:ds="http://schemas.openxmlformats.org/officeDocument/2006/customXml" ds:itemID="{4DE15DF3-5014-4B38-9D26-219DA27CA3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Jan'13</vt:lpstr>
      <vt:lpstr>Bills Jul'12</vt:lpstr>
      <vt:lpstr>Tariff Jul 2023</vt:lpstr>
      <vt:lpstr>Tariff Jul 2022</vt:lpstr>
      <vt:lpstr>Tariff Jul 2021</vt:lpstr>
      <vt:lpstr>Tariff Jul 2020</vt:lpstr>
      <vt:lpstr>Tariff Jul 2019</vt:lpstr>
      <vt:lpstr>Tariff Jul 2018</vt:lpstr>
      <vt:lpstr>Tariff Jul 2017</vt:lpstr>
      <vt:lpstr>Tariff Jul 2016</vt:lpstr>
      <vt:lpstr>Tariff Jul'15</vt:lpstr>
      <vt:lpstr>Tariff Jul'14</vt:lpstr>
      <vt:lpstr>Tariff Jul'13</vt:lpstr>
      <vt:lpstr>Tariff Jan'13</vt:lpstr>
      <vt:lpstr>Tariff Jul'12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2012-06-21T04:33:53Z</dcterms:created>
  <dcterms:modified xsi:type="dcterms:W3CDTF">2023-09-04T03:28:54Z</dcterms:modified>
</cp:coreProperties>
</file>