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ACT/ACT Workbooks/Locked Workbooks/"/>
    </mc:Choice>
  </mc:AlternateContent>
  <xr:revisionPtr revIDLastSave="0" documentId="13_ncr:1_{46E4BAC2-76D1-944C-AA50-BACA2698C26A}" xr6:coauthVersionLast="47" xr6:coauthVersionMax="47" xr10:uidLastSave="{00000000-0000-0000-0000-000000000000}"/>
  <workbookProtection workbookAlgorithmName="SHA-512" workbookHashValue="h0orHCKZqDcRwtoLBmOomxIVsVo4orTjWTP7oLVDAtpKzUkfGuHz4wAZSQDFlc5i1UK56wPc6qLmde+4ZADYYQ==" workbookSaltValue="tdPcKjZOYYC2VO68zFhcZA==" workbookSpinCount="100000" lockStructure="1"/>
  <bookViews>
    <workbookView xWindow="600" yWindow="540" windowWidth="42580" windowHeight="20840" tabRatio="500" activeTab="1" xr2:uid="{00000000-000D-0000-FFFF-FFFF00000000}"/>
  </bookViews>
  <sheets>
    <sheet name="Summary" sheetId="1" r:id="rId1"/>
    <sheet name="Bills 2023" sheetId="23" r:id="rId2"/>
    <sheet name="Bills 2022" sheetId="21" r:id="rId3"/>
    <sheet name="Bills 2021" sheetId="19" r:id="rId4"/>
    <sheet name="Bills 2020" sheetId="17" r:id="rId5"/>
    <sheet name="Bills 2019" sheetId="15" r:id="rId6"/>
    <sheet name="Bills 2018" sheetId="13" r:id="rId7"/>
    <sheet name="Bills 2017" sheetId="11" r:id="rId8"/>
    <sheet name="Bills 2016" sheetId="9" r:id="rId9"/>
    <sheet name="Tariffs 2023" sheetId="22" state="hidden" r:id="rId10"/>
    <sheet name="Tariffs 2022" sheetId="20" state="hidden" r:id="rId11"/>
    <sheet name="Tariffs 2021" sheetId="18" state="hidden" r:id="rId12"/>
    <sheet name="Tariffs 2020" sheetId="16" state="hidden" r:id="rId13"/>
    <sheet name="Tariffs 2019" sheetId="14" state="hidden" r:id="rId14"/>
    <sheet name="Tariffs 2018" sheetId="12" state="hidden" r:id="rId15"/>
    <sheet name="Tariffs 2017" sheetId="10" state="hidden" r:id="rId16"/>
    <sheet name="Tariffs 2016" sheetId="8" state="hidden" r:id="rId17"/>
    <sheet name="Tariffs 2014" sheetId="5" state="hidden" r:id="rId18"/>
    <sheet name="Tariffs 2013" sheetId="3" state="hidden" r:id="rId19"/>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32" i="23" l="1"/>
  <c r="B32" i="23"/>
  <c r="C32" i="23"/>
  <c r="K32" i="23"/>
  <c r="L32" i="23"/>
  <c r="M32" i="23"/>
  <c r="N32" i="23"/>
  <c r="P32" i="23"/>
  <c r="Q32" i="23"/>
  <c r="A33" i="23"/>
  <c r="Q33" i="23" s="1"/>
  <c r="B33" i="23"/>
  <c r="C33" i="23"/>
  <c r="K33" i="23"/>
  <c r="L33" i="23"/>
  <c r="M33" i="23"/>
  <c r="N33" i="23"/>
  <c r="A14" i="23"/>
  <c r="Q14" i="23" s="1"/>
  <c r="B14" i="23"/>
  <c r="C14" i="23"/>
  <c r="E14" i="23"/>
  <c r="F14" i="23"/>
  <c r="K14" i="23"/>
  <c r="L14" i="23"/>
  <c r="M14" i="23"/>
  <c r="P14" i="23" s="1"/>
  <c r="N14" i="23"/>
  <c r="A15" i="23"/>
  <c r="Q15" i="23" s="1"/>
  <c r="B15" i="23"/>
  <c r="C15" i="23"/>
  <c r="E15" i="23"/>
  <c r="F15" i="23"/>
  <c r="K15" i="23"/>
  <c r="L15" i="23"/>
  <c r="M15" i="23"/>
  <c r="N15" i="23"/>
  <c r="N31" i="23"/>
  <c r="M31" i="23"/>
  <c r="L31" i="23"/>
  <c r="K31" i="23"/>
  <c r="C31" i="23"/>
  <c r="B31" i="23"/>
  <c r="A31" i="23"/>
  <c r="Q31" i="23" s="1"/>
  <c r="N30" i="23"/>
  <c r="M30" i="23"/>
  <c r="L30" i="23"/>
  <c r="K30" i="23"/>
  <c r="C30" i="23"/>
  <c r="B30" i="23"/>
  <c r="A30" i="23"/>
  <c r="Q30" i="23" s="1"/>
  <c r="N29" i="23"/>
  <c r="M29" i="23"/>
  <c r="L29" i="23"/>
  <c r="K29" i="23"/>
  <c r="C29" i="23"/>
  <c r="B29" i="23"/>
  <c r="A29" i="23"/>
  <c r="Q29" i="23" s="1"/>
  <c r="N28" i="23"/>
  <c r="M28" i="23"/>
  <c r="L28" i="23"/>
  <c r="K28" i="23"/>
  <c r="C28" i="23"/>
  <c r="B28" i="23"/>
  <c r="A28" i="23"/>
  <c r="Q28" i="23" s="1"/>
  <c r="N23" i="23"/>
  <c r="M23" i="23"/>
  <c r="L23" i="23"/>
  <c r="K23" i="23"/>
  <c r="E23" i="23"/>
  <c r="C23" i="23"/>
  <c r="B23" i="23"/>
  <c r="A23" i="23"/>
  <c r="Q23" i="23" s="1"/>
  <c r="N22" i="23"/>
  <c r="M22" i="23"/>
  <c r="L22" i="23"/>
  <c r="K22" i="23"/>
  <c r="E22" i="23"/>
  <c r="C22" i="23"/>
  <c r="B22" i="23"/>
  <c r="A22" i="23"/>
  <c r="Q22" i="23" s="1"/>
  <c r="N21" i="23"/>
  <c r="M21" i="23"/>
  <c r="L21" i="23"/>
  <c r="K21" i="23"/>
  <c r="E21" i="23"/>
  <c r="C21" i="23"/>
  <c r="B21" i="23"/>
  <c r="A21" i="23"/>
  <c r="Q21" i="23" s="1"/>
  <c r="N20" i="23"/>
  <c r="M20" i="23"/>
  <c r="L20" i="23"/>
  <c r="K20" i="23"/>
  <c r="E20" i="23"/>
  <c r="C20" i="23"/>
  <c r="B20" i="23"/>
  <c r="A20" i="23"/>
  <c r="Q20" i="23" s="1"/>
  <c r="N13" i="23"/>
  <c r="M13" i="23"/>
  <c r="L13" i="23"/>
  <c r="K13" i="23"/>
  <c r="F13" i="23"/>
  <c r="E13" i="23"/>
  <c r="C13" i="23"/>
  <c r="B13" i="23"/>
  <c r="A13" i="23"/>
  <c r="Q13" i="23" s="1"/>
  <c r="N12" i="23"/>
  <c r="M12" i="23"/>
  <c r="L12" i="23"/>
  <c r="K12" i="23"/>
  <c r="F12" i="23"/>
  <c r="E12" i="23"/>
  <c r="C12" i="23"/>
  <c r="B12" i="23"/>
  <c r="A12" i="23"/>
  <c r="Q12" i="23" s="1"/>
  <c r="N11" i="23"/>
  <c r="M11" i="23"/>
  <c r="L11" i="23"/>
  <c r="K11" i="23"/>
  <c r="F11" i="23"/>
  <c r="E11" i="23"/>
  <c r="C11" i="23"/>
  <c r="B11" i="23"/>
  <c r="A11" i="23"/>
  <c r="Q11" i="23" s="1"/>
  <c r="N10" i="23"/>
  <c r="M10" i="23"/>
  <c r="L10" i="23"/>
  <c r="K10" i="23"/>
  <c r="F10" i="23"/>
  <c r="E10" i="23"/>
  <c r="C10" i="23"/>
  <c r="B10" i="23"/>
  <c r="A10" i="23"/>
  <c r="Q10" i="23" s="1"/>
  <c r="F4" i="23"/>
  <c r="F6" i="23" s="1"/>
  <c r="O21" i="23" s="1"/>
  <c r="Y30" i="21"/>
  <c r="X30" i="21"/>
  <c r="N30" i="21"/>
  <c r="M30" i="21"/>
  <c r="L30" i="21"/>
  <c r="K30" i="21"/>
  <c r="C30" i="21"/>
  <c r="B30" i="21"/>
  <c r="A30" i="21"/>
  <c r="Q30" i="21" s="1"/>
  <c r="Y29" i="21"/>
  <c r="X29" i="21"/>
  <c r="N29" i="21"/>
  <c r="M29" i="21"/>
  <c r="L29" i="21"/>
  <c r="K29" i="21"/>
  <c r="C29" i="21"/>
  <c r="B29" i="21"/>
  <c r="A29" i="21"/>
  <c r="Y28" i="21"/>
  <c r="X28" i="21"/>
  <c r="N28" i="21"/>
  <c r="M28" i="21"/>
  <c r="L28" i="21"/>
  <c r="K28" i="21"/>
  <c r="C28" i="21"/>
  <c r="B28" i="21"/>
  <c r="A28" i="21"/>
  <c r="Q28" i="21" s="1"/>
  <c r="Y27" i="21"/>
  <c r="X27" i="21"/>
  <c r="N27" i="21"/>
  <c r="M27" i="21"/>
  <c r="L27" i="21"/>
  <c r="K27" i="21"/>
  <c r="C27" i="21"/>
  <c r="B27" i="21"/>
  <c r="A27" i="21"/>
  <c r="Q27" i="21" s="1"/>
  <c r="Y22" i="21"/>
  <c r="X22" i="21"/>
  <c r="N22" i="21"/>
  <c r="M22" i="21"/>
  <c r="L22" i="21"/>
  <c r="K22" i="21"/>
  <c r="E22" i="21"/>
  <c r="C22" i="21"/>
  <c r="B22" i="21"/>
  <c r="A22" i="21"/>
  <c r="Q22" i="21" s="1"/>
  <c r="Y21" i="21"/>
  <c r="X21" i="21"/>
  <c r="N21" i="21"/>
  <c r="M21" i="21"/>
  <c r="L21" i="21"/>
  <c r="K21" i="21"/>
  <c r="E21" i="21"/>
  <c r="C21" i="21"/>
  <c r="B21" i="21"/>
  <c r="A21" i="21"/>
  <c r="Q21" i="21" s="1"/>
  <c r="Y20" i="21"/>
  <c r="X20" i="21"/>
  <c r="N20" i="21"/>
  <c r="M20" i="21"/>
  <c r="L20" i="21"/>
  <c r="K20" i="21"/>
  <c r="E20" i="21"/>
  <c r="C20" i="21"/>
  <c r="B20" i="21"/>
  <c r="A20" i="21"/>
  <c r="Q20" i="21" s="1"/>
  <c r="Y19" i="21"/>
  <c r="X19" i="21"/>
  <c r="N19" i="21"/>
  <c r="M19" i="21"/>
  <c r="L19" i="21"/>
  <c r="K19" i="21"/>
  <c r="E19" i="21"/>
  <c r="C19" i="21"/>
  <c r="B19" i="21"/>
  <c r="A19" i="21"/>
  <c r="Q19" i="21" s="1"/>
  <c r="Y14" i="21"/>
  <c r="X14" i="21"/>
  <c r="N14" i="21"/>
  <c r="M14" i="21"/>
  <c r="L14" i="21"/>
  <c r="K14" i="21"/>
  <c r="E14" i="21"/>
  <c r="C14" i="21"/>
  <c r="B14" i="21"/>
  <c r="A14" i="21"/>
  <c r="Q14" i="21" s="1"/>
  <c r="Y13" i="21"/>
  <c r="X13" i="21"/>
  <c r="N13" i="21"/>
  <c r="M13" i="21"/>
  <c r="L13" i="21"/>
  <c r="K13" i="21"/>
  <c r="F13" i="21"/>
  <c r="E13" i="21"/>
  <c r="C13" i="21"/>
  <c r="B13" i="21"/>
  <c r="A13" i="21"/>
  <c r="Q13" i="21" s="1"/>
  <c r="Y12" i="21"/>
  <c r="X12" i="21"/>
  <c r="N12" i="21"/>
  <c r="M12" i="21"/>
  <c r="L12" i="21"/>
  <c r="K12" i="21"/>
  <c r="F12" i="21"/>
  <c r="E12" i="21"/>
  <c r="C12" i="21"/>
  <c r="B12" i="21"/>
  <c r="A12" i="21"/>
  <c r="Q12" i="21" s="1"/>
  <c r="Y11" i="21"/>
  <c r="X11" i="21"/>
  <c r="N11" i="21"/>
  <c r="M11" i="21"/>
  <c r="L11" i="21"/>
  <c r="K11" i="21"/>
  <c r="F11" i="21"/>
  <c r="E11" i="21"/>
  <c r="C11" i="21"/>
  <c r="B11" i="21"/>
  <c r="A11" i="21"/>
  <c r="Q11" i="21" s="1"/>
  <c r="Y10" i="21"/>
  <c r="X10" i="21"/>
  <c r="N10" i="21"/>
  <c r="M10" i="21"/>
  <c r="L10" i="21"/>
  <c r="K10" i="21"/>
  <c r="F10" i="21"/>
  <c r="E10" i="21"/>
  <c r="C10" i="21"/>
  <c r="B10" i="21"/>
  <c r="A10" i="21"/>
  <c r="Q10" i="21" s="1"/>
  <c r="Q29" i="21"/>
  <c r="F4" i="21"/>
  <c r="F6" i="21" s="1"/>
  <c r="O27" i="21" s="1"/>
  <c r="A39" i="19"/>
  <c r="B39" i="19"/>
  <c r="C39" i="19"/>
  <c r="K39" i="19"/>
  <c r="L39" i="19"/>
  <c r="M39" i="19"/>
  <c r="N39" i="19"/>
  <c r="P39" i="19"/>
  <c r="Q39" i="19"/>
  <c r="X39" i="19"/>
  <c r="Y39" i="19"/>
  <c r="X27" i="19"/>
  <c r="Y27" i="19"/>
  <c r="X28" i="19"/>
  <c r="Y28" i="19"/>
  <c r="C27" i="19"/>
  <c r="E27" i="19"/>
  <c r="K27" i="19"/>
  <c r="L27" i="19"/>
  <c r="M27" i="19"/>
  <c r="N27" i="19"/>
  <c r="C28" i="19"/>
  <c r="E28" i="19"/>
  <c r="K28" i="19"/>
  <c r="L28" i="19"/>
  <c r="M28" i="19"/>
  <c r="N28" i="19"/>
  <c r="A27" i="19"/>
  <c r="Q27" i="19" s="1"/>
  <c r="B27" i="19"/>
  <c r="A28" i="19"/>
  <c r="Q28" i="19" s="1"/>
  <c r="B28" i="19"/>
  <c r="X16" i="19"/>
  <c r="Y16" i="19"/>
  <c r="X17" i="19"/>
  <c r="Y17" i="19"/>
  <c r="E16" i="19"/>
  <c r="F16" i="19"/>
  <c r="K16" i="19"/>
  <c r="L16" i="19"/>
  <c r="M16" i="19"/>
  <c r="N16" i="19"/>
  <c r="E17" i="19"/>
  <c r="F17" i="19"/>
  <c r="K17" i="19"/>
  <c r="L17" i="19"/>
  <c r="M17" i="19"/>
  <c r="N17" i="19"/>
  <c r="C17" i="19"/>
  <c r="C16" i="19"/>
  <c r="A16" i="19"/>
  <c r="Q16" i="19" s="1"/>
  <c r="B16" i="19"/>
  <c r="A17" i="19"/>
  <c r="Q17" i="19" s="1"/>
  <c r="B17" i="19"/>
  <c r="Y38" i="19"/>
  <c r="X38" i="19"/>
  <c r="N38" i="19"/>
  <c r="M38" i="19"/>
  <c r="L38" i="19"/>
  <c r="K38" i="19"/>
  <c r="C38" i="19"/>
  <c r="B38" i="19"/>
  <c r="A38" i="19"/>
  <c r="Q38" i="19" s="1"/>
  <c r="Y37" i="19"/>
  <c r="X37" i="19"/>
  <c r="N37" i="19"/>
  <c r="M37" i="19"/>
  <c r="L37" i="19"/>
  <c r="K37" i="19"/>
  <c r="C37" i="19"/>
  <c r="B37" i="19"/>
  <c r="A37" i="19"/>
  <c r="Q37" i="19" s="1"/>
  <c r="Y36" i="19"/>
  <c r="X36" i="19"/>
  <c r="N36" i="19"/>
  <c r="M36" i="19"/>
  <c r="L36" i="19"/>
  <c r="K36" i="19"/>
  <c r="C36" i="19"/>
  <c r="B36" i="19"/>
  <c r="A36" i="19"/>
  <c r="Q36" i="19" s="1"/>
  <c r="Y35" i="19"/>
  <c r="X35" i="19"/>
  <c r="N35" i="19"/>
  <c r="M35" i="19"/>
  <c r="L35" i="19"/>
  <c r="K35" i="19"/>
  <c r="C35" i="19"/>
  <c r="B35" i="19"/>
  <c r="A35" i="19"/>
  <c r="Y34" i="19"/>
  <c r="X34" i="19"/>
  <c r="N34" i="19"/>
  <c r="M34" i="19"/>
  <c r="L34" i="19"/>
  <c r="K34" i="19"/>
  <c r="C34" i="19"/>
  <c r="B34" i="19"/>
  <c r="A34" i="19"/>
  <c r="Q34" i="19" s="1"/>
  <c r="Y33" i="19"/>
  <c r="X33" i="19"/>
  <c r="N33" i="19"/>
  <c r="M33" i="19"/>
  <c r="L33" i="19"/>
  <c r="K33" i="19"/>
  <c r="C33" i="19"/>
  <c r="B33" i="19"/>
  <c r="A33" i="19"/>
  <c r="Q33" i="19" s="1"/>
  <c r="Y26" i="19"/>
  <c r="X26" i="19"/>
  <c r="N26" i="19"/>
  <c r="M26" i="19"/>
  <c r="L26" i="19"/>
  <c r="K26" i="19"/>
  <c r="E26" i="19"/>
  <c r="C26" i="19"/>
  <c r="B26" i="19"/>
  <c r="A26" i="19"/>
  <c r="Q26" i="19" s="1"/>
  <c r="Y25" i="19"/>
  <c r="X25" i="19"/>
  <c r="N25" i="19"/>
  <c r="M25" i="19"/>
  <c r="L25" i="19"/>
  <c r="K25" i="19"/>
  <c r="E25" i="19"/>
  <c r="C25" i="19"/>
  <c r="B25" i="19"/>
  <c r="A25" i="19"/>
  <c r="Q25" i="19" s="1"/>
  <c r="Y24" i="19"/>
  <c r="X24" i="19"/>
  <c r="N24" i="19"/>
  <c r="M24" i="19"/>
  <c r="L24" i="19"/>
  <c r="K24" i="19"/>
  <c r="E24" i="19"/>
  <c r="C24" i="19"/>
  <c r="B24" i="19"/>
  <c r="A24" i="19"/>
  <c r="Y23" i="19"/>
  <c r="X23" i="19"/>
  <c r="N23" i="19"/>
  <c r="M23" i="19"/>
  <c r="L23" i="19"/>
  <c r="K23" i="19"/>
  <c r="E23" i="19"/>
  <c r="C23" i="19"/>
  <c r="B23" i="19"/>
  <c r="A23" i="19"/>
  <c r="Q23" i="19" s="1"/>
  <c r="Y22" i="19"/>
  <c r="X22" i="19"/>
  <c r="N22" i="19"/>
  <c r="M22" i="19"/>
  <c r="L22" i="19"/>
  <c r="K22" i="19"/>
  <c r="E22" i="19"/>
  <c r="C22" i="19"/>
  <c r="B22" i="19"/>
  <c r="A22" i="19"/>
  <c r="Q22" i="19" s="1"/>
  <c r="Y15" i="19"/>
  <c r="X15" i="19"/>
  <c r="N15" i="19"/>
  <c r="M15" i="19"/>
  <c r="L15" i="19"/>
  <c r="K15" i="19"/>
  <c r="F15" i="19"/>
  <c r="E15" i="19"/>
  <c r="C15" i="19"/>
  <c r="B15" i="19"/>
  <c r="A15" i="19"/>
  <c r="Q15" i="19" s="1"/>
  <c r="Y14" i="19"/>
  <c r="X14" i="19"/>
  <c r="N14" i="19"/>
  <c r="M14" i="19"/>
  <c r="L14" i="19"/>
  <c r="K14" i="19"/>
  <c r="F14" i="19"/>
  <c r="E14" i="19"/>
  <c r="C14" i="19"/>
  <c r="B14" i="19"/>
  <c r="A14" i="19"/>
  <c r="Q14" i="19" s="1"/>
  <c r="Y13" i="19"/>
  <c r="X13" i="19"/>
  <c r="N13" i="19"/>
  <c r="M13" i="19"/>
  <c r="L13" i="19"/>
  <c r="K13" i="19"/>
  <c r="F13" i="19"/>
  <c r="E13" i="19"/>
  <c r="C13" i="19"/>
  <c r="B13" i="19"/>
  <c r="A13" i="19"/>
  <c r="Q13" i="19" s="1"/>
  <c r="Y12" i="19"/>
  <c r="X12" i="19"/>
  <c r="N12" i="19"/>
  <c r="M12" i="19"/>
  <c r="L12" i="19"/>
  <c r="K12" i="19"/>
  <c r="F12" i="19"/>
  <c r="E12" i="19"/>
  <c r="C12" i="19"/>
  <c r="B12" i="19"/>
  <c r="A12" i="19"/>
  <c r="Q12" i="19" s="1"/>
  <c r="Y11" i="19"/>
  <c r="X11" i="19"/>
  <c r="N11" i="19"/>
  <c r="M11" i="19"/>
  <c r="L11" i="19"/>
  <c r="K11" i="19"/>
  <c r="F11" i="19"/>
  <c r="E11" i="19"/>
  <c r="C11" i="19"/>
  <c r="B11" i="19"/>
  <c r="A11" i="19"/>
  <c r="Q11" i="19" s="1"/>
  <c r="Y10" i="19"/>
  <c r="X10" i="19"/>
  <c r="N10" i="19"/>
  <c r="M10" i="19"/>
  <c r="L10" i="19"/>
  <c r="K10" i="19"/>
  <c r="F10" i="19"/>
  <c r="E10" i="19"/>
  <c r="C10" i="19"/>
  <c r="B10" i="19"/>
  <c r="A10" i="19"/>
  <c r="Q10" i="19" s="1"/>
  <c r="Q35" i="19"/>
  <c r="Q24" i="19"/>
  <c r="F4" i="19"/>
  <c r="O14" i="23" l="1"/>
  <c r="P33" i="23"/>
  <c r="O15" i="23"/>
  <c r="O32" i="23"/>
  <c r="O33" i="23"/>
  <c r="P15" i="23"/>
  <c r="P30" i="23"/>
  <c r="O20" i="23"/>
  <c r="O30" i="23"/>
  <c r="O12" i="23"/>
  <c r="P13" i="23"/>
  <c r="O29" i="23"/>
  <c r="P31" i="23"/>
  <c r="O11" i="23"/>
  <c r="O23" i="23"/>
  <c r="O22" i="23"/>
  <c r="O13" i="23"/>
  <c r="O31" i="23"/>
  <c r="O10" i="23"/>
  <c r="O28" i="23"/>
  <c r="P11" i="23"/>
  <c r="P28" i="23"/>
  <c r="P21" i="23"/>
  <c r="P20" i="23"/>
  <c r="P10" i="23"/>
  <c r="P12" i="23"/>
  <c r="P22" i="23"/>
  <c r="P23" i="23"/>
  <c r="P29" i="23"/>
  <c r="F5" i="23"/>
  <c r="O10" i="21"/>
  <c r="O22" i="21"/>
  <c r="O11" i="21"/>
  <c r="O20" i="21"/>
  <c r="O29" i="21"/>
  <c r="O13" i="21"/>
  <c r="O19" i="21"/>
  <c r="O12" i="21"/>
  <c r="O21" i="21"/>
  <c r="O30" i="21"/>
  <c r="O28" i="21"/>
  <c r="O14" i="21"/>
  <c r="P12" i="21"/>
  <c r="P21" i="21"/>
  <c r="P30" i="21"/>
  <c r="P19" i="21"/>
  <c r="P27" i="21"/>
  <c r="P13" i="21"/>
  <c r="P22" i="21"/>
  <c r="P28" i="21"/>
  <c r="P10" i="21"/>
  <c r="P11" i="21"/>
  <c r="F5" i="21"/>
  <c r="F14" i="21" s="1"/>
  <c r="P14" i="21"/>
  <c r="P29" i="21"/>
  <c r="P20" i="21"/>
  <c r="P24" i="19"/>
  <c r="P25" i="19"/>
  <c r="P26" i="19"/>
  <c r="P34" i="19"/>
  <c r="P36" i="19"/>
  <c r="P27" i="19"/>
  <c r="P22" i="19"/>
  <c r="P12" i="19"/>
  <c r="P23" i="19"/>
  <c r="P28" i="19"/>
  <c r="P38" i="19"/>
  <c r="P14" i="19"/>
  <c r="P33" i="19"/>
  <c r="P35" i="19"/>
  <c r="P37" i="19"/>
  <c r="P16" i="19"/>
  <c r="P17" i="19"/>
  <c r="P10" i="19"/>
  <c r="P11" i="19"/>
  <c r="P13" i="19"/>
  <c r="P15" i="19"/>
  <c r="F6" i="19"/>
  <c r="D15" i="23" l="1"/>
  <c r="G15" i="23" s="1"/>
  <c r="D14" i="23"/>
  <c r="G14" i="23" s="1"/>
  <c r="D10" i="23"/>
  <c r="G10" i="23" s="1"/>
  <c r="D13" i="23"/>
  <c r="G13" i="23" s="1"/>
  <c r="D12" i="23"/>
  <c r="G12" i="23" s="1"/>
  <c r="D11" i="23"/>
  <c r="G11" i="23" s="1"/>
  <c r="L5" i="23"/>
  <c r="K5" i="23"/>
  <c r="L6" i="23"/>
  <c r="K6" i="23"/>
  <c r="M6" i="23"/>
  <c r="D12" i="21"/>
  <c r="G12" i="21" s="1"/>
  <c r="D10" i="21"/>
  <c r="G10" i="21" s="1"/>
  <c r="D13" i="21"/>
  <c r="G13" i="21" s="1"/>
  <c r="D11" i="21"/>
  <c r="G11" i="21" s="1"/>
  <c r="D14" i="21"/>
  <c r="G14" i="21" s="1"/>
  <c r="K6" i="21"/>
  <c r="L5" i="21"/>
  <c r="M6" i="21"/>
  <c r="K5" i="21"/>
  <c r="L6" i="21"/>
  <c r="O10" i="19"/>
  <c r="O33" i="19"/>
  <c r="O22" i="19"/>
  <c r="O27" i="19"/>
  <c r="O39" i="19"/>
  <c r="O28" i="19"/>
  <c r="O16" i="19"/>
  <c r="O17" i="19"/>
  <c r="F5" i="19"/>
  <c r="O36" i="19"/>
  <c r="O26" i="19"/>
  <c r="O14" i="19"/>
  <c r="O35" i="19"/>
  <c r="O25" i="19"/>
  <c r="O13" i="19"/>
  <c r="O38" i="19"/>
  <c r="O34" i="19"/>
  <c r="O24" i="19"/>
  <c r="O12" i="19"/>
  <c r="O37" i="19"/>
  <c r="O23" i="19"/>
  <c r="O15" i="19"/>
  <c r="O11" i="19"/>
  <c r="E33" i="23" l="1"/>
  <c r="E32" i="23"/>
  <c r="F33" i="23"/>
  <c r="F32" i="23"/>
  <c r="D32" i="23"/>
  <c r="G32" i="23" s="1"/>
  <c r="D33" i="23"/>
  <c r="G33" i="23" s="1"/>
  <c r="I14" i="23"/>
  <c r="H14" i="23"/>
  <c r="H15" i="23"/>
  <c r="I15" i="23"/>
  <c r="D20" i="23"/>
  <c r="D23" i="23"/>
  <c r="D22" i="23"/>
  <c r="D21" i="23"/>
  <c r="F22" i="23"/>
  <c r="F21" i="23"/>
  <c r="F20" i="23"/>
  <c r="F23" i="23"/>
  <c r="E31" i="23"/>
  <c r="E29" i="23"/>
  <c r="E30" i="23"/>
  <c r="E28" i="23"/>
  <c r="D28" i="23"/>
  <c r="D30" i="23"/>
  <c r="D31" i="23"/>
  <c r="D29" i="23"/>
  <c r="F29" i="23"/>
  <c r="F30" i="23"/>
  <c r="F28" i="23"/>
  <c r="F31" i="23"/>
  <c r="I13" i="23"/>
  <c r="H13" i="23"/>
  <c r="I10" i="23"/>
  <c r="H10" i="23"/>
  <c r="H12" i="23"/>
  <c r="I12" i="23"/>
  <c r="I11" i="23"/>
  <c r="H11" i="23"/>
  <c r="D30" i="21"/>
  <c r="D28" i="21"/>
  <c r="D29" i="21"/>
  <c r="D27" i="21"/>
  <c r="F19" i="21"/>
  <c r="F22" i="21"/>
  <c r="F20" i="21"/>
  <c r="F21" i="21"/>
  <c r="F28" i="21"/>
  <c r="F29" i="21"/>
  <c r="F27" i="21"/>
  <c r="F30" i="21"/>
  <c r="D21" i="21"/>
  <c r="D19" i="21"/>
  <c r="D22" i="21"/>
  <c r="D20" i="21"/>
  <c r="E28" i="21"/>
  <c r="E30" i="21"/>
  <c r="E29" i="21"/>
  <c r="E27" i="21"/>
  <c r="H11" i="21"/>
  <c r="I11" i="21"/>
  <c r="I10" i="21"/>
  <c r="H10" i="21"/>
  <c r="I13" i="21"/>
  <c r="H13" i="21"/>
  <c r="I12" i="21"/>
  <c r="H12" i="21"/>
  <c r="H14" i="21"/>
  <c r="I14" i="21"/>
  <c r="K5" i="19"/>
  <c r="D24" i="19" s="1"/>
  <c r="D16" i="19"/>
  <c r="G16" i="19" s="1"/>
  <c r="D17" i="19"/>
  <c r="G17" i="19" s="1"/>
  <c r="L6" i="19"/>
  <c r="F37" i="19" s="1"/>
  <c r="L5" i="19"/>
  <c r="F23" i="19" s="1"/>
  <c r="M6" i="19"/>
  <c r="K6" i="19"/>
  <c r="D23" i="19"/>
  <c r="D13" i="19"/>
  <c r="G13" i="19" s="1"/>
  <c r="H13" i="19" s="1"/>
  <c r="D12" i="19"/>
  <c r="G12" i="19" s="1"/>
  <c r="H12" i="19" s="1"/>
  <c r="D15" i="19"/>
  <c r="G15" i="19" s="1"/>
  <c r="H15" i="19" s="1"/>
  <c r="D11" i="19"/>
  <c r="G11" i="19" s="1"/>
  <c r="I11" i="19" s="1"/>
  <c r="D14" i="19"/>
  <c r="G14" i="19" s="1"/>
  <c r="H14" i="19" s="1"/>
  <c r="D10" i="19"/>
  <c r="G10" i="19" s="1"/>
  <c r="I10" i="19" s="1"/>
  <c r="G23" i="23" l="1"/>
  <c r="G29" i="23"/>
  <c r="H29" i="23" s="1"/>
  <c r="J14" i="23"/>
  <c r="R14" i="23"/>
  <c r="G20" i="23"/>
  <c r="H20" i="23" s="1"/>
  <c r="H33" i="23"/>
  <c r="I33" i="23"/>
  <c r="I32" i="23"/>
  <c r="H32" i="23"/>
  <c r="J15" i="23"/>
  <c r="R15" i="23"/>
  <c r="G21" i="23"/>
  <c r="I21" i="23" s="1"/>
  <c r="I23" i="23"/>
  <c r="H23" i="23"/>
  <c r="J11" i="23"/>
  <c r="R11" i="23"/>
  <c r="I29" i="23"/>
  <c r="G30" i="23"/>
  <c r="J13" i="23"/>
  <c r="R13" i="23"/>
  <c r="J12" i="23"/>
  <c r="R12" i="23"/>
  <c r="G31" i="23"/>
  <c r="G28" i="23"/>
  <c r="J10" i="23"/>
  <c r="R10" i="23"/>
  <c r="G22" i="23"/>
  <c r="G19" i="21"/>
  <c r="I19" i="21" s="1"/>
  <c r="G27" i="21"/>
  <c r="G30" i="21"/>
  <c r="J12" i="21"/>
  <c r="R12" i="21"/>
  <c r="J13" i="21"/>
  <c r="R13" i="21"/>
  <c r="J10" i="21"/>
  <c r="R10" i="21"/>
  <c r="I27" i="21"/>
  <c r="H27" i="21"/>
  <c r="G21" i="21"/>
  <c r="G28" i="21"/>
  <c r="J11" i="21"/>
  <c r="R11" i="21"/>
  <c r="G20" i="21"/>
  <c r="J14" i="21"/>
  <c r="R14" i="21"/>
  <c r="G22" i="21"/>
  <c r="G29" i="21"/>
  <c r="F26" i="19"/>
  <c r="E37" i="19"/>
  <c r="E39" i="19"/>
  <c r="F25" i="19"/>
  <c r="F27" i="19"/>
  <c r="F28" i="19"/>
  <c r="D27" i="19"/>
  <c r="D28" i="19"/>
  <c r="D22" i="19"/>
  <c r="D25" i="19"/>
  <c r="F35" i="19"/>
  <c r="F39" i="19"/>
  <c r="F24" i="19"/>
  <c r="G24" i="19" s="1"/>
  <c r="D26" i="19"/>
  <c r="G26" i="19" s="1"/>
  <c r="H26" i="19" s="1"/>
  <c r="D34" i="19"/>
  <c r="D39" i="19"/>
  <c r="F34" i="19"/>
  <c r="F36" i="19"/>
  <c r="F38" i="19"/>
  <c r="D33" i="19"/>
  <c r="D35" i="19"/>
  <c r="F33" i="19"/>
  <c r="I14" i="19"/>
  <c r="R14" i="19" s="1"/>
  <c r="H16" i="19"/>
  <c r="I16" i="19"/>
  <c r="D36" i="19"/>
  <c r="D38" i="19"/>
  <c r="E38" i="19"/>
  <c r="H17" i="19"/>
  <c r="I17" i="19"/>
  <c r="D37" i="19"/>
  <c r="E36" i="19"/>
  <c r="H10" i="19"/>
  <c r="E33" i="19"/>
  <c r="I13" i="19"/>
  <c r="J13" i="19" s="1"/>
  <c r="I15" i="19"/>
  <c r="J15" i="19" s="1"/>
  <c r="E35" i="19"/>
  <c r="E34" i="19"/>
  <c r="F22" i="19"/>
  <c r="I12" i="19"/>
  <c r="J12" i="19" s="1"/>
  <c r="H11" i="19"/>
  <c r="G23" i="19"/>
  <c r="J10" i="19"/>
  <c r="R10" i="19"/>
  <c r="J11" i="19"/>
  <c r="R11" i="19"/>
  <c r="I20" i="23" l="1"/>
  <c r="J32" i="23"/>
  <c r="R32" i="23"/>
  <c r="J33" i="23"/>
  <c r="R33" i="23"/>
  <c r="T14" i="23"/>
  <c r="V14" i="23" s="1"/>
  <c r="S14" i="23"/>
  <c r="U14" i="23" s="1"/>
  <c r="W14" i="23" s="1"/>
  <c r="T15" i="23"/>
  <c r="V15" i="23" s="1"/>
  <c r="S15" i="23"/>
  <c r="U15" i="23" s="1"/>
  <c r="W15" i="23" s="1"/>
  <c r="H21" i="23"/>
  <c r="H22" i="23"/>
  <c r="I22" i="23"/>
  <c r="I31" i="23"/>
  <c r="H31" i="23"/>
  <c r="T12" i="23"/>
  <c r="V12" i="23" s="1"/>
  <c r="S12" i="23"/>
  <c r="U12" i="23" s="1"/>
  <c r="W12" i="23" s="1"/>
  <c r="J20" i="23"/>
  <c r="R20" i="23"/>
  <c r="I30" i="23"/>
  <c r="H30" i="23"/>
  <c r="J23" i="23"/>
  <c r="R23" i="23"/>
  <c r="T11" i="23"/>
  <c r="V11" i="23" s="1"/>
  <c r="S11" i="23"/>
  <c r="U11" i="23" s="1"/>
  <c r="W11" i="23" s="1"/>
  <c r="J29" i="23"/>
  <c r="R29" i="23"/>
  <c r="T13" i="23"/>
  <c r="V13" i="23" s="1"/>
  <c r="S13" i="23"/>
  <c r="U13" i="23" s="1"/>
  <c r="W13" i="23" s="1"/>
  <c r="T10" i="23"/>
  <c r="V10" i="23" s="1"/>
  <c r="S10" i="23"/>
  <c r="U10" i="23" s="1"/>
  <c r="W10" i="23" s="1"/>
  <c r="I28" i="23"/>
  <c r="H28" i="23"/>
  <c r="J21" i="23"/>
  <c r="R21" i="23"/>
  <c r="H19" i="21"/>
  <c r="I22" i="21"/>
  <c r="H22" i="21"/>
  <c r="T11" i="21"/>
  <c r="V11" i="21" s="1"/>
  <c r="S11" i="21"/>
  <c r="U11" i="21" s="1"/>
  <c r="W11" i="21" s="1"/>
  <c r="J27" i="21"/>
  <c r="R27" i="21"/>
  <c r="T12" i="21"/>
  <c r="V12" i="21" s="1"/>
  <c r="S12" i="21"/>
  <c r="U12" i="21" s="1"/>
  <c r="W12" i="21" s="1"/>
  <c r="T10" i="21"/>
  <c r="V10" i="21" s="1"/>
  <c r="S10" i="21"/>
  <c r="U10" i="21" s="1"/>
  <c r="W10" i="21" s="1"/>
  <c r="H29" i="21"/>
  <c r="I29" i="21"/>
  <c r="I30" i="21"/>
  <c r="H30" i="21"/>
  <c r="T14" i="21"/>
  <c r="V14" i="21" s="1"/>
  <c r="S14" i="21"/>
  <c r="U14" i="21" s="1"/>
  <c r="W14" i="21" s="1"/>
  <c r="I28" i="21"/>
  <c r="H28" i="21"/>
  <c r="I21" i="21"/>
  <c r="H21" i="21"/>
  <c r="H20" i="21"/>
  <c r="I20" i="21"/>
  <c r="T13" i="21"/>
  <c r="V13" i="21" s="1"/>
  <c r="S13" i="21"/>
  <c r="U13" i="21" s="1"/>
  <c r="W13" i="21" s="1"/>
  <c r="J19" i="21"/>
  <c r="R19" i="21"/>
  <c r="G39" i="19"/>
  <c r="I39" i="19" s="1"/>
  <c r="G37" i="19"/>
  <c r="I37" i="19" s="1"/>
  <c r="J37" i="19" s="1"/>
  <c r="G28" i="19"/>
  <c r="I28" i="19" s="1"/>
  <c r="G22" i="19"/>
  <c r="I22" i="19" s="1"/>
  <c r="G27" i="19"/>
  <c r="H27" i="19" s="1"/>
  <c r="G25" i="19"/>
  <c r="H25" i="19" s="1"/>
  <c r="G34" i="19"/>
  <c r="I34" i="19" s="1"/>
  <c r="G35" i="19"/>
  <c r="I35" i="19" s="1"/>
  <c r="J35" i="19" s="1"/>
  <c r="H39" i="19"/>
  <c r="R15" i="19"/>
  <c r="T15" i="19" s="1"/>
  <c r="V15" i="19" s="1"/>
  <c r="J14" i="19"/>
  <c r="G33" i="19"/>
  <c r="H33" i="19" s="1"/>
  <c r="I26" i="19"/>
  <c r="J26" i="19" s="1"/>
  <c r="G38" i="19"/>
  <c r="I38" i="19" s="1"/>
  <c r="G36" i="19"/>
  <c r="H37" i="19"/>
  <c r="J17" i="19"/>
  <c r="R17" i="19"/>
  <c r="J16" i="19"/>
  <c r="R16" i="19"/>
  <c r="R13" i="19"/>
  <c r="T13" i="19" s="1"/>
  <c r="V13" i="19" s="1"/>
  <c r="R12" i="19"/>
  <c r="T12" i="19" s="1"/>
  <c r="V12" i="19" s="1"/>
  <c r="T11" i="19"/>
  <c r="V11" i="19" s="1"/>
  <c r="S11" i="19"/>
  <c r="U11" i="19" s="1"/>
  <c r="W11" i="19" s="1"/>
  <c r="R37" i="19"/>
  <c r="I24" i="19"/>
  <c r="H24" i="19"/>
  <c r="I23" i="19"/>
  <c r="H23" i="19"/>
  <c r="R26" i="19"/>
  <c r="T10" i="19"/>
  <c r="V10" i="19" s="1"/>
  <c r="S10" i="19"/>
  <c r="U10" i="19" s="1"/>
  <c r="W10" i="19" s="1"/>
  <c r="T14" i="19"/>
  <c r="V14" i="19" s="1"/>
  <c r="S14" i="19"/>
  <c r="U14" i="19" s="1"/>
  <c r="W14" i="19" s="1"/>
  <c r="H28" i="19" l="1"/>
  <c r="I27" i="19"/>
  <c r="T32" i="23"/>
  <c r="V32" i="23" s="1"/>
  <c r="S32" i="23"/>
  <c r="U32" i="23" s="1"/>
  <c r="W32" i="23" s="1"/>
  <c r="T33" i="23"/>
  <c r="V33" i="23" s="1"/>
  <c r="S33" i="23"/>
  <c r="U33" i="23" s="1"/>
  <c r="W33" i="23" s="1"/>
  <c r="J28" i="23"/>
  <c r="R28" i="23"/>
  <c r="T23" i="23"/>
  <c r="V23" i="23" s="1"/>
  <c r="S23" i="23"/>
  <c r="U23" i="23" s="1"/>
  <c r="W23" i="23" s="1"/>
  <c r="J30" i="23"/>
  <c r="R30" i="23"/>
  <c r="J31" i="23"/>
  <c r="R31" i="23"/>
  <c r="T29" i="23"/>
  <c r="V29" i="23" s="1"/>
  <c r="S29" i="23"/>
  <c r="U29" i="23" s="1"/>
  <c r="W29" i="23" s="1"/>
  <c r="T21" i="23"/>
  <c r="V21" i="23" s="1"/>
  <c r="S21" i="23"/>
  <c r="U21" i="23" s="1"/>
  <c r="W21" i="23" s="1"/>
  <c r="T20" i="23"/>
  <c r="V20" i="23" s="1"/>
  <c r="S20" i="23"/>
  <c r="U20" i="23" s="1"/>
  <c r="W20" i="23" s="1"/>
  <c r="J22" i="23"/>
  <c r="R22" i="23"/>
  <c r="J20" i="21"/>
  <c r="R20" i="21"/>
  <c r="T19" i="21"/>
  <c r="V19" i="21" s="1"/>
  <c r="S19" i="21"/>
  <c r="U19" i="21" s="1"/>
  <c r="W19" i="21" s="1"/>
  <c r="J29" i="21"/>
  <c r="R29" i="21"/>
  <c r="J30" i="21"/>
  <c r="R30" i="21"/>
  <c r="T27" i="21"/>
  <c r="V27" i="21" s="1"/>
  <c r="S27" i="21"/>
  <c r="U27" i="21" s="1"/>
  <c r="W27" i="21" s="1"/>
  <c r="J21" i="21"/>
  <c r="R21" i="21"/>
  <c r="J28" i="21"/>
  <c r="R28" i="21"/>
  <c r="J22" i="21"/>
  <c r="R22" i="21"/>
  <c r="H22" i="19"/>
  <c r="S15" i="19"/>
  <c r="U15" i="19" s="1"/>
  <c r="W15" i="19" s="1"/>
  <c r="H34" i="19"/>
  <c r="I25" i="19"/>
  <c r="J25" i="19" s="1"/>
  <c r="S13" i="19"/>
  <c r="U13" i="19" s="1"/>
  <c r="W13" i="19" s="1"/>
  <c r="I33" i="19"/>
  <c r="J33" i="19" s="1"/>
  <c r="J27" i="19"/>
  <c r="R27" i="19"/>
  <c r="J28" i="19"/>
  <c r="R28" i="19"/>
  <c r="H35" i="19"/>
  <c r="J39" i="19"/>
  <c r="R39" i="19"/>
  <c r="R35" i="19"/>
  <c r="T35" i="19" s="1"/>
  <c r="V35" i="19" s="1"/>
  <c r="R38" i="19"/>
  <c r="T38" i="19" s="1"/>
  <c r="V38" i="19" s="1"/>
  <c r="J38" i="19"/>
  <c r="H38" i="19"/>
  <c r="S12" i="19"/>
  <c r="U12" i="19" s="1"/>
  <c r="W12" i="19" s="1"/>
  <c r="I36" i="19"/>
  <c r="H36" i="19"/>
  <c r="T16" i="19"/>
  <c r="V16" i="19" s="1"/>
  <c r="S16" i="19"/>
  <c r="U16" i="19" s="1"/>
  <c r="W16" i="19" s="1"/>
  <c r="S17" i="19"/>
  <c r="U17" i="19" s="1"/>
  <c r="W17" i="19" s="1"/>
  <c r="T17" i="19"/>
  <c r="V17" i="19" s="1"/>
  <c r="T37" i="19"/>
  <c r="V37" i="19" s="1"/>
  <c r="S37" i="19"/>
  <c r="U37" i="19" s="1"/>
  <c r="W37" i="19" s="1"/>
  <c r="J22" i="19"/>
  <c r="R22" i="19"/>
  <c r="T26" i="19"/>
  <c r="V26" i="19" s="1"/>
  <c r="S26" i="19"/>
  <c r="U26" i="19" s="1"/>
  <c r="W26" i="19" s="1"/>
  <c r="J34" i="19"/>
  <c r="R34" i="19"/>
  <c r="J23" i="19"/>
  <c r="R23" i="19"/>
  <c r="J24" i="19"/>
  <c r="R24" i="19"/>
  <c r="T22" i="23" l="1"/>
  <c r="V22" i="23" s="1"/>
  <c r="S22" i="23"/>
  <c r="U22" i="23" s="1"/>
  <c r="W22" i="23" s="1"/>
  <c r="T31" i="23"/>
  <c r="V31" i="23" s="1"/>
  <c r="S31" i="23"/>
  <c r="U31" i="23" s="1"/>
  <c r="W31" i="23" s="1"/>
  <c r="T28" i="23"/>
  <c r="V28" i="23" s="1"/>
  <c r="S28" i="23"/>
  <c r="U28" i="23" s="1"/>
  <c r="W28" i="23" s="1"/>
  <c r="T30" i="23"/>
  <c r="V30" i="23" s="1"/>
  <c r="S30" i="23"/>
  <c r="U30" i="23" s="1"/>
  <c r="W30" i="23" s="1"/>
  <c r="T21" i="21"/>
  <c r="V21" i="21" s="1"/>
  <c r="S21" i="21"/>
  <c r="U21" i="21" s="1"/>
  <c r="W21" i="21" s="1"/>
  <c r="T29" i="21"/>
  <c r="V29" i="21" s="1"/>
  <c r="S29" i="21"/>
  <c r="U29" i="21" s="1"/>
  <c r="W29" i="21" s="1"/>
  <c r="T30" i="21"/>
  <c r="V30" i="21" s="1"/>
  <c r="S30" i="21"/>
  <c r="U30" i="21" s="1"/>
  <c r="W30" i="21" s="1"/>
  <c r="T20" i="21"/>
  <c r="V20" i="21" s="1"/>
  <c r="S20" i="21"/>
  <c r="U20" i="21" s="1"/>
  <c r="W20" i="21" s="1"/>
  <c r="T22" i="21"/>
  <c r="V22" i="21" s="1"/>
  <c r="S22" i="21"/>
  <c r="U22" i="21" s="1"/>
  <c r="W22" i="21" s="1"/>
  <c r="T28" i="21"/>
  <c r="V28" i="21" s="1"/>
  <c r="S28" i="21"/>
  <c r="U28" i="21" s="1"/>
  <c r="W28" i="21" s="1"/>
  <c r="R33" i="19"/>
  <c r="T33" i="19" s="1"/>
  <c r="V33" i="19" s="1"/>
  <c r="S35" i="19"/>
  <c r="U35" i="19" s="1"/>
  <c r="W35" i="19" s="1"/>
  <c r="R25" i="19"/>
  <c r="T25" i="19" s="1"/>
  <c r="V25" i="19" s="1"/>
  <c r="S38" i="19"/>
  <c r="U38" i="19" s="1"/>
  <c r="W38" i="19" s="1"/>
  <c r="T28" i="19"/>
  <c r="V28" i="19" s="1"/>
  <c r="S28" i="19"/>
  <c r="U28" i="19" s="1"/>
  <c r="W28" i="19" s="1"/>
  <c r="T39" i="19"/>
  <c r="V39" i="19" s="1"/>
  <c r="S39" i="19"/>
  <c r="U39" i="19" s="1"/>
  <c r="W39" i="19" s="1"/>
  <c r="T27" i="19"/>
  <c r="V27" i="19" s="1"/>
  <c r="S27" i="19"/>
  <c r="U27" i="19" s="1"/>
  <c r="W27" i="19" s="1"/>
  <c r="J36" i="19"/>
  <c r="R36" i="19"/>
  <c r="T24" i="19"/>
  <c r="V24" i="19" s="1"/>
  <c r="S24" i="19"/>
  <c r="U24" i="19" s="1"/>
  <c r="W24" i="19" s="1"/>
  <c r="T23" i="19"/>
  <c r="V23" i="19" s="1"/>
  <c r="S23" i="19"/>
  <c r="U23" i="19" s="1"/>
  <c r="W23" i="19" s="1"/>
  <c r="T22" i="19"/>
  <c r="V22" i="19" s="1"/>
  <c r="S22" i="19"/>
  <c r="U22" i="19" s="1"/>
  <c r="W22" i="19" s="1"/>
  <c r="T34" i="19"/>
  <c r="V34" i="19" s="1"/>
  <c r="S34" i="19"/>
  <c r="U34" i="19" s="1"/>
  <c r="W34" i="19" s="1"/>
  <c r="Y40" i="17"/>
  <c r="X40" i="17"/>
  <c r="N40" i="17"/>
  <c r="M40" i="17"/>
  <c r="L40" i="17"/>
  <c r="K40" i="17"/>
  <c r="C40" i="17"/>
  <c r="B40" i="17"/>
  <c r="A40" i="17"/>
  <c r="Y39" i="17"/>
  <c r="X39" i="17"/>
  <c r="O39" i="17"/>
  <c r="N39" i="17"/>
  <c r="M39" i="17"/>
  <c r="P39" i="17" s="1"/>
  <c r="L39" i="17"/>
  <c r="K39" i="17"/>
  <c r="C39" i="17"/>
  <c r="B39" i="17"/>
  <c r="A39" i="17"/>
  <c r="Q39" i="17" s="1"/>
  <c r="Y38" i="17"/>
  <c r="X38" i="17"/>
  <c r="O38" i="17"/>
  <c r="N38" i="17"/>
  <c r="M38" i="17"/>
  <c r="L38" i="17"/>
  <c r="K38" i="17"/>
  <c r="C38" i="17"/>
  <c r="B38" i="17"/>
  <c r="A38" i="17"/>
  <c r="Y37" i="17"/>
  <c r="X37" i="17"/>
  <c r="O37" i="17"/>
  <c r="N37" i="17"/>
  <c r="M37" i="17"/>
  <c r="L37" i="17"/>
  <c r="K37" i="17"/>
  <c r="C37" i="17"/>
  <c r="B37" i="17"/>
  <c r="A37" i="17"/>
  <c r="Q37" i="17" s="1"/>
  <c r="Y36" i="17"/>
  <c r="X36" i="17"/>
  <c r="O36" i="17"/>
  <c r="N36" i="17"/>
  <c r="M36" i="17"/>
  <c r="L36" i="17"/>
  <c r="K36" i="17"/>
  <c r="C36" i="17"/>
  <c r="B36" i="17"/>
  <c r="A36" i="17"/>
  <c r="Q36" i="17" s="1"/>
  <c r="Y35" i="17"/>
  <c r="X35" i="17"/>
  <c r="N35" i="17"/>
  <c r="M35" i="17"/>
  <c r="L35" i="17"/>
  <c r="K35" i="17"/>
  <c r="P35" i="17" s="1"/>
  <c r="C35" i="17"/>
  <c r="B35" i="17"/>
  <c r="A35" i="17"/>
  <c r="Y30" i="17"/>
  <c r="X30" i="17"/>
  <c r="O30" i="17"/>
  <c r="N30" i="17"/>
  <c r="M30" i="17"/>
  <c r="L30" i="17"/>
  <c r="K30" i="17"/>
  <c r="E30" i="17"/>
  <c r="C30" i="17"/>
  <c r="B30" i="17"/>
  <c r="A30" i="17"/>
  <c r="Q30" i="17" s="1"/>
  <c r="Y29" i="17"/>
  <c r="X29" i="17"/>
  <c r="O29" i="17"/>
  <c r="N29" i="17"/>
  <c r="M29" i="17"/>
  <c r="L29" i="17"/>
  <c r="K29" i="17"/>
  <c r="E29" i="17"/>
  <c r="C29" i="17"/>
  <c r="B29" i="17"/>
  <c r="A29" i="17"/>
  <c r="Q29" i="17" s="1"/>
  <c r="Y28" i="17"/>
  <c r="X28" i="17"/>
  <c r="N28" i="17"/>
  <c r="M28" i="17"/>
  <c r="L28" i="17"/>
  <c r="K28" i="17"/>
  <c r="E28" i="17"/>
  <c r="C28" i="17"/>
  <c r="B28" i="17"/>
  <c r="A28" i="17"/>
  <c r="Y27" i="17"/>
  <c r="X27" i="17"/>
  <c r="O27" i="17"/>
  <c r="N27" i="17"/>
  <c r="M27" i="17"/>
  <c r="L27" i="17"/>
  <c r="K27" i="17"/>
  <c r="E27" i="17"/>
  <c r="C27" i="17"/>
  <c r="B27" i="17"/>
  <c r="A27" i="17"/>
  <c r="Q27" i="17" s="1"/>
  <c r="Y26" i="17"/>
  <c r="X26" i="17"/>
  <c r="O26" i="17"/>
  <c r="N26" i="17"/>
  <c r="M26" i="17"/>
  <c r="L26" i="17"/>
  <c r="K26" i="17"/>
  <c r="P26" i="17" s="1"/>
  <c r="E26" i="17"/>
  <c r="C26" i="17"/>
  <c r="B26" i="17"/>
  <c r="A26" i="17"/>
  <c r="Q26" i="17" s="1"/>
  <c r="Y21" i="17"/>
  <c r="X21" i="17"/>
  <c r="O21" i="17"/>
  <c r="N21" i="17"/>
  <c r="M21" i="17"/>
  <c r="L21" i="17"/>
  <c r="K21" i="17"/>
  <c r="E21" i="17"/>
  <c r="C21" i="17"/>
  <c r="B21" i="17"/>
  <c r="A21" i="17"/>
  <c r="Y20" i="17"/>
  <c r="X20" i="17"/>
  <c r="O20" i="17"/>
  <c r="N20" i="17"/>
  <c r="M20" i="17"/>
  <c r="L20" i="17"/>
  <c r="K20" i="17"/>
  <c r="E20" i="17"/>
  <c r="C20" i="17"/>
  <c r="B20" i="17"/>
  <c r="A20" i="17"/>
  <c r="Y15" i="17"/>
  <c r="X15" i="17"/>
  <c r="N15" i="17"/>
  <c r="M15" i="17"/>
  <c r="L15" i="17"/>
  <c r="K15" i="17"/>
  <c r="P15" i="17" s="1"/>
  <c r="F15" i="17"/>
  <c r="E15" i="17"/>
  <c r="C15" i="17"/>
  <c r="B15" i="17"/>
  <c r="A15" i="17"/>
  <c r="Y14" i="17"/>
  <c r="X14" i="17"/>
  <c r="O14" i="17"/>
  <c r="N14" i="17"/>
  <c r="M14" i="17"/>
  <c r="L14" i="17"/>
  <c r="K14" i="17"/>
  <c r="F14" i="17"/>
  <c r="E14" i="17"/>
  <c r="C14" i="17"/>
  <c r="B14" i="17"/>
  <c r="A14" i="17"/>
  <c r="Q14" i="17" s="1"/>
  <c r="Y13" i="17"/>
  <c r="X13" i="17"/>
  <c r="O13" i="17"/>
  <c r="N13" i="17"/>
  <c r="M13" i="17"/>
  <c r="L13" i="17"/>
  <c r="K13" i="17"/>
  <c r="F13" i="17"/>
  <c r="E13" i="17"/>
  <c r="C13" i="17"/>
  <c r="B13" i="17"/>
  <c r="A13" i="17"/>
  <c r="Q13" i="17" s="1"/>
  <c r="Y12" i="17"/>
  <c r="X12" i="17"/>
  <c r="N12" i="17"/>
  <c r="M12" i="17"/>
  <c r="L12" i="17"/>
  <c r="K12" i="17"/>
  <c r="F12" i="17"/>
  <c r="E12" i="17"/>
  <c r="C12" i="17"/>
  <c r="B12" i="17"/>
  <c r="A12" i="17"/>
  <c r="Q12" i="17" s="1"/>
  <c r="Y11" i="17"/>
  <c r="X11" i="17"/>
  <c r="O11" i="17"/>
  <c r="N11" i="17"/>
  <c r="M11" i="17"/>
  <c r="L11" i="17"/>
  <c r="K11" i="17"/>
  <c r="F11" i="17"/>
  <c r="E11" i="17"/>
  <c r="C11" i="17"/>
  <c r="B11" i="17"/>
  <c r="A11" i="17"/>
  <c r="Q11" i="17" s="1"/>
  <c r="Y10" i="17"/>
  <c r="X10" i="17"/>
  <c r="O10" i="17"/>
  <c r="N10" i="17"/>
  <c r="M10" i="17"/>
  <c r="L10" i="17"/>
  <c r="K10" i="17"/>
  <c r="F10" i="17"/>
  <c r="E10" i="17"/>
  <c r="C10" i="17"/>
  <c r="B10" i="17"/>
  <c r="A10" i="17"/>
  <c r="Q10" i="17" s="1"/>
  <c r="Q40" i="17"/>
  <c r="Q38" i="17"/>
  <c r="Q21" i="17"/>
  <c r="Q35" i="17"/>
  <c r="Q28" i="17"/>
  <c r="Q20" i="17"/>
  <c r="Q15" i="17"/>
  <c r="F4" i="17"/>
  <c r="F6" i="17" s="1"/>
  <c r="O40" i="17" s="1"/>
  <c r="S33" i="19" l="1"/>
  <c r="U33" i="19" s="1"/>
  <c r="W33" i="19" s="1"/>
  <c r="P38" i="17"/>
  <c r="P20" i="17"/>
  <c r="P29" i="17"/>
  <c r="P36" i="17"/>
  <c r="P10" i="17"/>
  <c r="P11" i="17"/>
  <c r="P14" i="17"/>
  <c r="O15" i="17"/>
  <c r="P27" i="17"/>
  <c r="P30" i="17"/>
  <c r="O35" i="17"/>
  <c r="P37" i="17"/>
  <c r="P40" i="17"/>
  <c r="S25" i="19"/>
  <c r="U25" i="19" s="1"/>
  <c r="W25" i="19" s="1"/>
  <c r="O12" i="17"/>
  <c r="O28" i="17"/>
  <c r="S36" i="19"/>
  <c r="U36" i="19" s="1"/>
  <c r="W36" i="19" s="1"/>
  <c r="T36" i="19"/>
  <c r="V36" i="19" s="1"/>
  <c r="P21" i="17"/>
  <c r="F5" i="17"/>
  <c r="P28" i="17"/>
  <c r="P12" i="17"/>
  <c r="P13" i="17"/>
  <c r="C40" i="15"/>
  <c r="C39" i="15"/>
  <c r="C30" i="15"/>
  <c r="C14" i="15"/>
  <c r="C15" i="15"/>
  <c r="C38" i="15"/>
  <c r="K38" i="15"/>
  <c r="L38" i="15"/>
  <c r="M38" i="15"/>
  <c r="N38" i="15"/>
  <c r="V38" i="15"/>
  <c r="W38" i="15"/>
  <c r="K39" i="15"/>
  <c r="L39" i="15"/>
  <c r="M39" i="15"/>
  <c r="N39" i="15"/>
  <c r="V39" i="15"/>
  <c r="W39" i="15"/>
  <c r="K40" i="15"/>
  <c r="L40" i="15"/>
  <c r="M40" i="15"/>
  <c r="N40" i="15"/>
  <c r="V40" i="15"/>
  <c r="W40" i="15"/>
  <c r="C29" i="15"/>
  <c r="K29" i="15"/>
  <c r="L29" i="15"/>
  <c r="M29" i="15"/>
  <c r="N29" i="15"/>
  <c r="V29" i="15"/>
  <c r="W29" i="15"/>
  <c r="K30" i="15"/>
  <c r="L30" i="15"/>
  <c r="M30" i="15"/>
  <c r="N30" i="15"/>
  <c r="V30" i="15"/>
  <c r="W30" i="15"/>
  <c r="B38" i="15"/>
  <c r="B39" i="15"/>
  <c r="B40" i="15"/>
  <c r="A38" i="15"/>
  <c r="A39" i="15"/>
  <c r="A40" i="15"/>
  <c r="B29" i="15"/>
  <c r="B30" i="15"/>
  <c r="A29" i="15"/>
  <c r="A30" i="15"/>
  <c r="C13" i="15"/>
  <c r="K13" i="15"/>
  <c r="L13" i="15"/>
  <c r="M13" i="15"/>
  <c r="N13" i="15"/>
  <c r="V13" i="15"/>
  <c r="W13" i="15"/>
  <c r="K14" i="15"/>
  <c r="L14" i="15"/>
  <c r="M14" i="15"/>
  <c r="N14" i="15"/>
  <c r="V14" i="15"/>
  <c r="W14" i="15"/>
  <c r="K15" i="15"/>
  <c r="L15" i="15"/>
  <c r="M15" i="15"/>
  <c r="N15" i="15"/>
  <c r="V15" i="15"/>
  <c r="W15" i="15"/>
  <c r="B13" i="15"/>
  <c r="B14" i="15"/>
  <c r="B15" i="15"/>
  <c r="A13" i="15"/>
  <c r="A14" i="15"/>
  <c r="A15" i="15"/>
  <c r="W37" i="15"/>
  <c r="V37" i="15"/>
  <c r="N37" i="15"/>
  <c r="M37" i="15"/>
  <c r="L37" i="15"/>
  <c r="K37" i="15"/>
  <c r="C37" i="15"/>
  <c r="B37" i="15"/>
  <c r="A37" i="15"/>
  <c r="W36" i="15"/>
  <c r="V36" i="15"/>
  <c r="N36" i="15"/>
  <c r="M36" i="15"/>
  <c r="L36" i="15"/>
  <c r="K36" i="15"/>
  <c r="C36" i="15"/>
  <c r="B36" i="15"/>
  <c r="A36" i="15"/>
  <c r="W35" i="15"/>
  <c r="V35" i="15"/>
  <c r="N35" i="15"/>
  <c r="M35" i="15"/>
  <c r="L35" i="15"/>
  <c r="K35" i="15"/>
  <c r="C35" i="15"/>
  <c r="B35" i="15"/>
  <c r="A35" i="15"/>
  <c r="W28" i="15"/>
  <c r="V28" i="15"/>
  <c r="N28" i="15"/>
  <c r="M28" i="15"/>
  <c r="L28" i="15"/>
  <c r="K28" i="15"/>
  <c r="C28" i="15"/>
  <c r="B28" i="15"/>
  <c r="A28" i="15"/>
  <c r="W27" i="15"/>
  <c r="V27" i="15"/>
  <c r="N27" i="15"/>
  <c r="M27" i="15"/>
  <c r="L27" i="15"/>
  <c r="K27" i="15"/>
  <c r="C27" i="15"/>
  <c r="B27" i="15"/>
  <c r="A27" i="15"/>
  <c r="W26" i="15"/>
  <c r="V26" i="15"/>
  <c r="N26" i="15"/>
  <c r="M26" i="15"/>
  <c r="L26" i="15"/>
  <c r="K26" i="15"/>
  <c r="C26" i="15"/>
  <c r="B26" i="15"/>
  <c r="A26" i="15"/>
  <c r="W21" i="15"/>
  <c r="V21" i="15"/>
  <c r="N21" i="15"/>
  <c r="M21" i="15"/>
  <c r="L21" i="15"/>
  <c r="K21" i="15"/>
  <c r="C21" i="15"/>
  <c r="B21" i="15"/>
  <c r="A21" i="15"/>
  <c r="W20" i="15"/>
  <c r="V20" i="15"/>
  <c r="N20" i="15"/>
  <c r="M20" i="15"/>
  <c r="L20" i="15"/>
  <c r="K20" i="15"/>
  <c r="C20" i="15"/>
  <c r="B20" i="15"/>
  <c r="A20" i="15"/>
  <c r="W12" i="15"/>
  <c r="V12" i="15"/>
  <c r="N12" i="15"/>
  <c r="M12" i="15"/>
  <c r="L12" i="15"/>
  <c r="K12" i="15"/>
  <c r="C12" i="15"/>
  <c r="B12" i="15"/>
  <c r="A12" i="15"/>
  <c r="W11" i="15"/>
  <c r="V11" i="15"/>
  <c r="N11" i="15"/>
  <c r="M11" i="15"/>
  <c r="L11" i="15"/>
  <c r="K11" i="15"/>
  <c r="C11" i="15"/>
  <c r="B11" i="15"/>
  <c r="A11" i="15"/>
  <c r="W10" i="15"/>
  <c r="V10" i="15"/>
  <c r="N10" i="15"/>
  <c r="M10" i="15"/>
  <c r="L10" i="15"/>
  <c r="K10" i="15"/>
  <c r="C10" i="15"/>
  <c r="B10" i="15"/>
  <c r="A10" i="15"/>
  <c r="D15" i="17" l="1"/>
  <c r="F20" i="17"/>
  <c r="D10" i="17"/>
  <c r="D13" i="17"/>
  <c r="G13" i="17" s="1"/>
  <c r="D20" i="17"/>
  <c r="D21" i="17"/>
  <c r="D12" i="17"/>
  <c r="G12" i="17" s="1"/>
  <c r="F21" i="17"/>
  <c r="D11" i="17"/>
  <c r="D14" i="17"/>
  <c r="G14" i="17" s="1"/>
  <c r="L6" i="17"/>
  <c r="K5" i="17"/>
  <c r="K6" i="17"/>
  <c r="G15" i="17"/>
  <c r="G11" i="17"/>
  <c r="L5" i="17"/>
  <c r="G10" i="17"/>
  <c r="M6" i="17"/>
  <c r="F4" i="15"/>
  <c r="F6" i="15" s="1"/>
  <c r="D35" i="17" l="1"/>
  <c r="D38" i="17"/>
  <c r="D39" i="17"/>
  <c r="D40" i="17"/>
  <c r="D36" i="17"/>
  <c r="D37" i="17"/>
  <c r="D26" i="17"/>
  <c r="D29" i="17"/>
  <c r="D27" i="17"/>
  <c r="D30" i="17"/>
  <c r="D28" i="17"/>
  <c r="E38" i="17"/>
  <c r="E36" i="17"/>
  <c r="E39" i="17"/>
  <c r="G39" i="17" s="1"/>
  <c r="E37" i="17"/>
  <c r="E40" i="17"/>
  <c r="E35" i="17"/>
  <c r="F36" i="17"/>
  <c r="F39" i="17"/>
  <c r="F40" i="17"/>
  <c r="F37" i="17"/>
  <c r="F38" i="17"/>
  <c r="G38" i="17" s="1"/>
  <c r="F35" i="17"/>
  <c r="F29" i="17"/>
  <c r="F27" i="17"/>
  <c r="F30" i="17"/>
  <c r="F28" i="17"/>
  <c r="F26" i="17"/>
  <c r="I11" i="17"/>
  <c r="H11" i="17"/>
  <c r="I12" i="17"/>
  <c r="H12" i="17"/>
  <c r="H13" i="17"/>
  <c r="I13" i="17"/>
  <c r="I10" i="17"/>
  <c r="H10" i="17"/>
  <c r="I15" i="17"/>
  <c r="H15" i="17"/>
  <c r="G20" i="17"/>
  <c r="G21" i="17"/>
  <c r="I14" i="17"/>
  <c r="H14" i="17"/>
  <c r="O30" i="15"/>
  <c r="O28" i="15"/>
  <c r="O27" i="15"/>
  <c r="O26" i="15"/>
  <c r="O21" i="15"/>
  <c r="O20" i="15"/>
  <c r="O12" i="15"/>
  <c r="O38" i="15"/>
  <c r="O40" i="15"/>
  <c r="O13" i="15"/>
  <c r="O14" i="15"/>
  <c r="O37" i="15"/>
  <c r="O15" i="15"/>
  <c r="O36" i="15"/>
  <c r="O10" i="15"/>
  <c r="O39" i="15"/>
  <c r="O29" i="15"/>
  <c r="O35" i="15"/>
  <c r="O11" i="15"/>
  <c r="F5" i="15"/>
  <c r="C10" i="13"/>
  <c r="W32" i="13"/>
  <c r="V32" i="13"/>
  <c r="F4" i="13"/>
  <c r="F6" i="13" s="1"/>
  <c r="O25" i="13" s="1"/>
  <c r="N32" i="13"/>
  <c r="M32" i="13"/>
  <c r="L32" i="13"/>
  <c r="K32" i="13"/>
  <c r="C32" i="13"/>
  <c r="B32" i="13"/>
  <c r="A32" i="13"/>
  <c r="W31" i="13"/>
  <c r="V31" i="13"/>
  <c r="N31" i="13"/>
  <c r="M31" i="13"/>
  <c r="L31" i="13"/>
  <c r="K31" i="13"/>
  <c r="C31" i="13"/>
  <c r="B31" i="13"/>
  <c r="A31" i="13"/>
  <c r="W30" i="13"/>
  <c r="V30" i="13"/>
  <c r="N30" i="13"/>
  <c r="M30" i="13"/>
  <c r="L30" i="13"/>
  <c r="K30" i="13"/>
  <c r="C30" i="13"/>
  <c r="B30" i="13"/>
  <c r="A30" i="13"/>
  <c r="W25" i="13"/>
  <c r="V25" i="13"/>
  <c r="N25" i="13"/>
  <c r="M25" i="13"/>
  <c r="L25" i="13"/>
  <c r="K25" i="13"/>
  <c r="C25" i="13"/>
  <c r="B25" i="13"/>
  <c r="A25" i="13"/>
  <c r="W24" i="13"/>
  <c r="V24" i="13"/>
  <c r="N24" i="13"/>
  <c r="M24" i="13"/>
  <c r="L24" i="13"/>
  <c r="K24" i="13"/>
  <c r="C24" i="13"/>
  <c r="B24" i="13"/>
  <c r="A24" i="13"/>
  <c r="W23" i="13"/>
  <c r="V23" i="13"/>
  <c r="N23" i="13"/>
  <c r="M23" i="13"/>
  <c r="L23" i="13"/>
  <c r="K23" i="13"/>
  <c r="C23" i="13"/>
  <c r="B23" i="13"/>
  <c r="A23" i="13"/>
  <c r="W18" i="13"/>
  <c r="V18" i="13"/>
  <c r="N18" i="13"/>
  <c r="M18" i="13"/>
  <c r="L18" i="13"/>
  <c r="K18" i="13"/>
  <c r="C18" i="13"/>
  <c r="B18" i="13"/>
  <c r="A18" i="13"/>
  <c r="W17" i="13"/>
  <c r="V17" i="13"/>
  <c r="N17" i="13"/>
  <c r="M17" i="13"/>
  <c r="L17" i="13"/>
  <c r="K17" i="13"/>
  <c r="C17" i="13"/>
  <c r="B17" i="13"/>
  <c r="A17" i="13"/>
  <c r="W12" i="13"/>
  <c r="V12" i="13"/>
  <c r="N12" i="13"/>
  <c r="M12" i="13"/>
  <c r="L12" i="13"/>
  <c r="K12" i="13"/>
  <c r="C12" i="13"/>
  <c r="B12" i="13"/>
  <c r="A12" i="13"/>
  <c r="W11" i="13"/>
  <c r="V11" i="13"/>
  <c r="N11" i="13"/>
  <c r="M11" i="13"/>
  <c r="L11" i="13"/>
  <c r="K11" i="13"/>
  <c r="C11" i="13"/>
  <c r="B11" i="13"/>
  <c r="A11" i="13"/>
  <c r="W10" i="13"/>
  <c r="V10" i="13"/>
  <c r="N10" i="13"/>
  <c r="M10" i="13"/>
  <c r="L10" i="13"/>
  <c r="K10" i="13"/>
  <c r="B10" i="13"/>
  <c r="A10" i="13"/>
  <c r="F4" i="11"/>
  <c r="F6" i="11" s="1"/>
  <c r="V11" i="11"/>
  <c r="V12" i="11"/>
  <c r="C12" i="11"/>
  <c r="L12" i="11"/>
  <c r="W32" i="11"/>
  <c r="V32" i="11"/>
  <c r="N32" i="11"/>
  <c r="M32" i="11"/>
  <c r="L32" i="11"/>
  <c r="K32" i="11"/>
  <c r="C32" i="11"/>
  <c r="B32" i="11"/>
  <c r="A32" i="11"/>
  <c r="W31" i="11"/>
  <c r="V31" i="11"/>
  <c r="N31" i="11"/>
  <c r="M31" i="11"/>
  <c r="L31" i="11"/>
  <c r="K31" i="11"/>
  <c r="C31" i="11"/>
  <c r="B31" i="11"/>
  <c r="A31" i="11"/>
  <c r="W30" i="11"/>
  <c r="V30" i="11"/>
  <c r="N30" i="11"/>
  <c r="M30" i="11"/>
  <c r="L30" i="11"/>
  <c r="K30" i="11"/>
  <c r="C30" i="11"/>
  <c r="B30" i="11"/>
  <c r="A30" i="11"/>
  <c r="W25" i="11"/>
  <c r="V25" i="11"/>
  <c r="N25" i="11"/>
  <c r="M25" i="11"/>
  <c r="L25" i="11"/>
  <c r="K25" i="11"/>
  <c r="C25" i="11"/>
  <c r="B25" i="11"/>
  <c r="A25" i="11"/>
  <c r="W24" i="11"/>
  <c r="V24" i="11"/>
  <c r="N24" i="11"/>
  <c r="M24" i="11"/>
  <c r="L24" i="11"/>
  <c r="K24" i="11"/>
  <c r="C24" i="11"/>
  <c r="B24" i="11"/>
  <c r="A24" i="11"/>
  <c r="W23" i="11"/>
  <c r="V23" i="11"/>
  <c r="N23" i="11"/>
  <c r="M23" i="11"/>
  <c r="L23" i="11"/>
  <c r="K23" i="11"/>
  <c r="C23" i="11"/>
  <c r="B23" i="11"/>
  <c r="A23" i="11"/>
  <c r="W18" i="11"/>
  <c r="V18" i="11"/>
  <c r="N18" i="11"/>
  <c r="M18" i="11"/>
  <c r="L18" i="11"/>
  <c r="K18" i="11"/>
  <c r="C18" i="11"/>
  <c r="B18" i="11"/>
  <c r="A18" i="11"/>
  <c r="W17" i="11"/>
  <c r="V17" i="11"/>
  <c r="N17" i="11"/>
  <c r="M17" i="11"/>
  <c r="L17" i="11"/>
  <c r="K17" i="11"/>
  <c r="C17" i="11"/>
  <c r="B17" i="11"/>
  <c r="A17" i="11"/>
  <c r="W12" i="11"/>
  <c r="N12" i="11"/>
  <c r="M12" i="11"/>
  <c r="K12" i="11"/>
  <c r="B12" i="11"/>
  <c r="A12" i="11"/>
  <c r="W11" i="11"/>
  <c r="N11" i="11"/>
  <c r="M11" i="11"/>
  <c r="L11" i="11"/>
  <c r="K11" i="11"/>
  <c r="C11" i="11"/>
  <c r="B11" i="11"/>
  <c r="A11" i="11"/>
  <c r="W10" i="11"/>
  <c r="V10" i="11"/>
  <c r="N10" i="11"/>
  <c r="M10" i="11"/>
  <c r="L10" i="11"/>
  <c r="K10" i="11"/>
  <c r="C10" i="11"/>
  <c r="B10" i="11"/>
  <c r="A10" i="11"/>
  <c r="F4" i="9"/>
  <c r="F6" i="9"/>
  <c r="F5" i="9" s="1"/>
  <c r="O10" i="9"/>
  <c r="C23" i="9"/>
  <c r="C17" i="9"/>
  <c r="C10" i="9"/>
  <c r="L10" i="9"/>
  <c r="C31" i="9"/>
  <c r="N31" i="9"/>
  <c r="C32" i="9"/>
  <c r="O32" i="9"/>
  <c r="N32" i="9"/>
  <c r="C30" i="9"/>
  <c r="L30" i="9"/>
  <c r="C24" i="9"/>
  <c r="N24" i="9"/>
  <c r="C25" i="9"/>
  <c r="N25" i="9"/>
  <c r="L23" i="9"/>
  <c r="C18" i="9"/>
  <c r="N18" i="9"/>
  <c r="L17" i="9"/>
  <c r="C11" i="9"/>
  <c r="N11" i="9"/>
  <c r="C12" i="9"/>
  <c r="N12" i="9"/>
  <c r="B10" i="9"/>
  <c r="A10" i="9"/>
  <c r="V31" i="9"/>
  <c r="W31" i="9"/>
  <c r="V32" i="9"/>
  <c r="W32" i="9"/>
  <c r="W30" i="9"/>
  <c r="V30" i="9"/>
  <c r="K31" i="9"/>
  <c r="L31" i="9"/>
  <c r="M31" i="9"/>
  <c r="K32" i="9"/>
  <c r="L32" i="9"/>
  <c r="M32" i="9"/>
  <c r="M30" i="9"/>
  <c r="N30" i="9"/>
  <c r="K30" i="9"/>
  <c r="A31" i="9"/>
  <c r="B31" i="9"/>
  <c r="A32" i="9"/>
  <c r="B32" i="9"/>
  <c r="B30" i="9"/>
  <c r="A30" i="9"/>
  <c r="A25" i="9"/>
  <c r="V24" i="9"/>
  <c r="W24" i="9"/>
  <c r="V25" i="9"/>
  <c r="W25" i="9"/>
  <c r="W23" i="9"/>
  <c r="V23" i="9"/>
  <c r="K24" i="9"/>
  <c r="L24" i="9"/>
  <c r="M24" i="9"/>
  <c r="K25" i="9"/>
  <c r="L25" i="9"/>
  <c r="M25" i="9"/>
  <c r="M23" i="9"/>
  <c r="N23" i="9"/>
  <c r="K23" i="9"/>
  <c r="A24" i="9"/>
  <c r="B24" i="9"/>
  <c r="B25" i="9"/>
  <c r="B23" i="9"/>
  <c r="A23" i="9"/>
  <c r="A18" i="9"/>
  <c r="V18" i="9"/>
  <c r="W18" i="9"/>
  <c r="W17" i="9"/>
  <c r="V17" i="9"/>
  <c r="K18" i="9"/>
  <c r="L18" i="9"/>
  <c r="M18" i="9"/>
  <c r="M17" i="9"/>
  <c r="N17" i="9"/>
  <c r="K17" i="9"/>
  <c r="B18" i="9"/>
  <c r="B17" i="9"/>
  <c r="A17" i="9"/>
  <c r="A12" i="9"/>
  <c r="V11" i="9"/>
  <c r="W11" i="9"/>
  <c r="V12" i="9"/>
  <c r="W12" i="9"/>
  <c r="W10" i="9"/>
  <c r="V10" i="9"/>
  <c r="K11" i="9"/>
  <c r="L11" i="9"/>
  <c r="M11" i="9"/>
  <c r="K12" i="9"/>
  <c r="L12" i="9"/>
  <c r="M12" i="9"/>
  <c r="M10" i="9"/>
  <c r="N10" i="9"/>
  <c r="K10" i="9"/>
  <c r="A11" i="9"/>
  <c r="B11" i="9"/>
  <c r="B12" i="9"/>
  <c r="G29" i="17" l="1"/>
  <c r="G37" i="17"/>
  <c r="G35" i="17"/>
  <c r="I35" i="17"/>
  <c r="H35" i="17"/>
  <c r="I38" i="17"/>
  <c r="H38" i="17"/>
  <c r="J14" i="17"/>
  <c r="R14" i="17"/>
  <c r="G30" i="17"/>
  <c r="G26" i="17"/>
  <c r="H29" i="17"/>
  <c r="I29" i="17"/>
  <c r="J15" i="17"/>
  <c r="R15" i="17"/>
  <c r="J12" i="17"/>
  <c r="R12" i="17"/>
  <c r="H37" i="17"/>
  <c r="I37" i="17"/>
  <c r="G36" i="17"/>
  <c r="G27" i="17"/>
  <c r="H21" i="17"/>
  <c r="I21" i="17"/>
  <c r="J13" i="17"/>
  <c r="R13" i="17"/>
  <c r="I39" i="17"/>
  <c r="H39" i="17"/>
  <c r="G40" i="17"/>
  <c r="G28" i="17"/>
  <c r="I20" i="17"/>
  <c r="H20" i="17"/>
  <c r="J10" i="17"/>
  <c r="R10" i="17"/>
  <c r="J11" i="17"/>
  <c r="R11" i="17"/>
  <c r="D14" i="15"/>
  <c r="G14" i="15" s="1"/>
  <c r="D11" i="15"/>
  <c r="D15" i="15"/>
  <c r="G15" i="15" s="1"/>
  <c r="F21" i="15"/>
  <c r="F20" i="15"/>
  <c r="G20" i="15" s="1"/>
  <c r="D12" i="15"/>
  <c r="G12" i="15" s="1"/>
  <c r="D13" i="15"/>
  <c r="G13" i="15" s="1"/>
  <c r="D21" i="15"/>
  <c r="D20" i="15"/>
  <c r="D10" i="15"/>
  <c r="K6" i="15"/>
  <c r="M6" i="15"/>
  <c r="G21" i="15"/>
  <c r="G11" i="15"/>
  <c r="G10" i="15"/>
  <c r="L5" i="15"/>
  <c r="K5" i="15"/>
  <c r="L6" i="15"/>
  <c r="O32" i="11"/>
  <c r="O30" i="11"/>
  <c r="O24" i="11"/>
  <c r="O10" i="11"/>
  <c r="F5" i="11"/>
  <c r="K6" i="11" s="1"/>
  <c r="O25" i="11"/>
  <c r="O31" i="11"/>
  <c r="O23" i="13"/>
  <c r="F18" i="9"/>
  <c r="D17" i="9"/>
  <c r="L6" i="9"/>
  <c r="M6" i="9"/>
  <c r="D18" i="9"/>
  <c r="D11" i="9"/>
  <c r="G11" i="9" s="1"/>
  <c r="D10" i="9"/>
  <c r="G10" i="9" s="1"/>
  <c r="K5" i="9"/>
  <c r="K6" i="9"/>
  <c r="L5" i="9"/>
  <c r="D12" i="9"/>
  <c r="G12" i="9" s="1"/>
  <c r="F17" i="9"/>
  <c r="F5" i="13"/>
  <c r="O10" i="13"/>
  <c r="O31" i="13"/>
  <c r="O17" i="13"/>
  <c r="O32" i="13"/>
  <c r="O18" i="13"/>
  <c r="O24" i="13"/>
  <c r="O11" i="9"/>
  <c r="O31" i="9"/>
  <c r="O12" i="9"/>
  <c r="O25" i="9"/>
  <c r="O24" i="9"/>
  <c r="O23" i="9"/>
  <c r="O17" i="9"/>
  <c r="O18" i="9"/>
  <c r="O11" i="13"/>
  <c r="D17" i="11"/>
  <c r="D18" i="11"/>
  <c r="D12" i="11"/>
  <c r="G12" i="11" s="1"/>
  <c r="F17" i="11"/>
  <c r="O12" i="13"/>
  <c r="O30" i="13"/>
  <c r="O30" i="9"/>
  <c r="O11" i="11"/>
  <c r="O12" i="11"/>
  <c r="O23" i="11"/>
  <c r="O18" i="11"/>
  <c r="O17" i="11"/>
  <c r="G18" i="9" l="1"/>
  <c r="H18" i="9" s="1"/>
  <c r="T15" i="17"/>
  <c r="V15" i="17" s="1"/>
  <c r="S15" i="17"/>
  <c r="U15" i="17" s="1"/>
  <c r="W15" i="17" s="1"/>
  <c r="I26" i="17"/>
  <c r="H26" i="17"/>
  <c r="J20" i="17"/>
  <c r="R20" i="17"/>
  <c r="J39" i="17"/>
  <c r="R39" i="17"/>
  <c r="H30" i="17"/>
  <c r="I30" i="17"/>
  <c r="J38" i="17"/>
  <c r="R38" i="17"/>
  <c r="T13" i="17"/>
  <c r="V13" i="17" s="1"/>
  <c r="S13" i="17"/>
  <c r="U13" i="17" s="1"/>
  <c r="W13" i="17" s="1"/>
  <c r="I27" i="17"/>
  <c r="H27" i="17"/>
  <c r="T12" i="17"/>
  <c r="V12" i="17" s="1"/>
  <c r="S12" i="17"/>
  <c r="U12" i="17" s="1"/>
  <c r="W12" i="17" s="1"/>
  <c r="J29" i="17"/>
  <c r="R29" i="17"/>
  <c r="T14" i="17"/>
  <c r="V14" i="17" s="1"/>
  <c r="S14" i="17"/>
  <c r="U14" i="17" s="1"/>
  <c r="W14" i="17" s="1"/>
  <c r="T11" i="17"/>
  <c r="V11" i="17" s="1"/>
  <c r="S11" i="17"/>
  <c r="U11" i="17" s="1"/>
  <c r="W11" i="17" s="1"/>
  <c r="J21" i="17"/>
  <c r="R21" i="17"/>
  <c r="J37" i="17"/>
  <c r="R37" i="17"/>
  <c r="T10" i="17"/>
  <c r="V10" i="17" s="1"/>
  <c r="S10" i="17"/>
  <c r="U10" i="17" s="1"/>
  <c r="W10" i="17" s="1"/>
  <c r="I28" i="17"/>
  <c r="H28" i="17"/>
  <c r="I40" i="17"/>
  <c r="H40" i="17"/>
  <c r="I36" i="17"/>
  <c r="H36" i="17"/>
  <c r="J35" i="17"/>
  <c r="R35" i="17"/>
  <c r="D30" i="11"/>
  <c r="D32" i="11"/>
  <c r="D29" i="15"/>
  <c r="D30" i="15"/>
  <c r="D28" i="15"/>
  <c r="D27" i="15"/>
  <c r="G27" i="15" s="1"/>
  <c r="D26" i="15"/>
  <c r="F28" i="15"/>
  <c r="F27" i="15"/>
  <c r="F26" i="15"/>
  <c r="F29" i="15"/>
  <c r="F30" i="15"/>
  <c r="E36" i="15"/>
  <c r="E39" i="15"/>
  <c r="E35" i="15"/>
  <c r="E38" i="15"/>
  <c r="E40" i="15"/>
  <c r="E37" i="15"/>
  <c r="I13" i="15"/>
  <c r="J13" i="15" s="1"/>
  <c r="P13" i="15" s="1"/>
  <c r="H13" i="15"/>
  <c r="H15" i="15"/>
  <c r="I15" i="15"/>
  <c r="L5" i="11"/>
  <c r="F24" i="11" s="1"/>
  <c r="F38" i="15"/>
  <c r="F40" i="15"/>
  <c r="F35" i="15"/>
  <c r="F39" i="15"/>
  <c r="F37" i="15"/>
  <c r="F36" i="15"/>
  <c r="D39" i="15"/>
  <c r="G39" i="15" s="1"/>
  <c r="D37" i="15"/>
  <c r="D36" i="15"/>
  <c r="D38" i="15"/>
  <c r="D40" i="15"/>
  <c r="G40" i="15" s="1"/>
  <c r="D35" i="15"/>
  <c r="G35" i="15" s="1"/>
  <c r="H14" i="15"/>
  <c r="I14" i="15"/>
  <c r="H10" i="15"/>
  <c r="I10" i="15"/>
  <c r="P10" i="15" s="1"/>
  <c r="H20" i="15"/>
  <c r="I20" i="15"/>
  <c r="P20" i="15" s="1"/>
  <c r="I11" i="15"/>
  <c r="P11" i="15" s="1"/>
  <c r="Q11" i="15" s="1"/>
  <c r="H11" i="15"/>
  <c r="I12" i="15"/>
  <c r="H12" i="15"/>
  <c r="I21" i="15"/>
  <c r="H21" i="15"/>
  <c r="G17" i="9"/>
  <c r="M6" i="11"/>
  <c r="L6" i="11"/>
  <c r="F18" i="11"/>
  <c r="G18" i="11" s="1"/>
  <c r="D11" i="11"/>
  <c r="G11" i="11" s="1"/>
  <c r="H11" i="11" s="1"/>
  <c r="K5" i="11"/>
  <c r="D24" i="11" s="1"/>
  <c r="G24" i="11" s="1"/>
  <c r="F23" i="11"/>
  <c r="D10" i="11"/>
  <c r="G10" i="11" s="1"/>
  <c r="H10" i="11" s="1"/>
  <c r="D31" i="11"/>
  <c r="G17" i="11"/>
  <c r="I17" i="11" s="1"/>
  <c r="H11" i="9"/>
  <c r="I11" i="9"/>
  <c r="H17" i="9"/>
  <c r="I17" i="9"/>
  <c r="I18" i="9"/>
  <c r="D17" i="13"/>
  <c r="M6" i="13"/>
  <c r="L6" i="13"/>
  <c r="D18" i="13"/>
  <c r="L5" i="13"/>
  <c r="D10" i="13"/>
  <c r="G10" i="13" s="1"/>
  <c r="F17" i="13"/>
  <c r="D12" i="13"/>
  <c r="G12" i="13" s="1"/>
  <c r="F18" i="13"/>
  <c r="K6" i="13"/>
  <c r="K5" i="13"/>
  <c r="D11" i="13"/>
  <c r="G11" i="13" s="1"/>
  <c r="F23" i="9"/>
  <c r="F24" i="9"/>
  <c r="F25" i="9"/>
  <c r="D23" i="9"/>
  <c r="D25" i="9"/>
  <c r="D24" i="9"/>
  <c r="E32" i="9"/>
  <c r="E30" i="9"/>
  <c r="E31" i="9"/>
  <c r="I10" i="9"/>
  <c r="H10" i="9"/>
  <c r="D31" i="9"/>
  <c r="D30" i="9"/>
  <c r="D32" i="9"/>
  <c r="I12" i="11"/>
  <c r="H12" i="11"/>
  <c r="I12" i="9"/>
  <c r="H12" i="9"/>
  <c r="F30" i="9"/>
  <c r="F32" i="9"/>
  <c r="F31" i="9"/>
  <c r="D23" i="11" l="1"/>
  <c r="G23" i="11" s="1"/>
  <c r="I23" i="11" s="1"/>
  <c r="D25" i="11"/>
  <c r="G25" i="11" s="1"/>
  <c r="G24" i="9"/>
  <c r="I11" i="11"/>
  <c r="G26" i="15"/>
  <c r="H26" i="15" s="1"/>
  <c r="F25" i="11"/>
  <c r="Q20" i="15"/>
  <c r="G38" i="15"/>
  <c r="T37" i="17"/>
  <c r="V37" i="17" s="1"/>
  <c r="S37" i="17"/>
  <c r="U37" i="17" s="1"/>
  <c r="W37" i="17" s="1"/>
  <c r="T29" i="17"/>
  <c r="V29" i="17" s="1"/>
  <c r="S29" i="17"/>
  <c r="U29" i="17" s="1"/>
  <c r="W29" i="17" s="1"/>
  <c r="T38" i="17"/>
  <c r="V38" i="17" s="1"/>
  <c r="S38" i="17"/>
  <c r="U38" i="17" s="1"/>
  <c r="W38" i="17" s="1"/>
  <c r="T39" i="17"/>
  <c r="V39" i="17" s="1"/>
  <c r="S39" i="17"/>
  <c r="U39" i="17" s="1"/>
  <c r="W39" i="17" s="1"/>
  <c r="J36" i="17"/>
  <c r="R36" i="17"/>
  <c r="J28" i="17"/>
  <c r="R28" i="17"/>
  <c r="J27" i="17"/>
  <c r="R27" i="17"/>
  <c r="J26" i="17"/>
  <c r="R26" i="17"/>
  <c r="J40" i="17"/>
  <c r="R40" i="17"/>
  <c r="T35" i="17"/>
  <c r="V35" i="17" s="1"/>
  <c r="S35" i="17"/>
  <c r="U35" i="17" s="1"/>
  <c r="W35" i="17" s="1"/>
  <c r="T21" i="17"/>
  <c r="V21" i="17" s="1"/>
  <c r="S21" i="17"/>
  <c r="U21" i="17" s="1"/>
  <c r="W21" i="17" s="1"/>
  <c r="J30" i="17"/>
  <c r="R30" i="17"/>
  <c r="T20" i="17"/>
  <c r="V20" i="17" s="1"/>
  <c r="S20" i="17"/>
  <c r="U20" i="17" s="1"/>
  <c r="W20" i="17" s="1"/>
  <c r="H40" i="15"/>
  <c r="I40" i="15"/>
  <c r="H17" i="11"/>
  <c r="P17" i="11" s="1"/>
  <c r="G30" i="15"/>
  <c r="P15" i="15"/>
  <c r="J15" i="15"/>
  <c r="Q10" i="15"/>
  <c r="Q13" i="15"/>
  <c r="S13" i="15" s="1"/>
  <c r="U13" i="15" s="1"/>
  <c r="R13" i="15"/>
  <c r="T13" i="15" s="1"/>
  <c r="G29" i="15"/>
  <c r="H39" i="15"/>
  <c r="I39" i="15"/>
  <c r="P14" i="15"/>
  <c r="J14" i="15"/>
  <c r="I38" i="15"/>
  <c r="J38" i="15" s="1"/>
  <c r="P38" i="15" s="1"/>
  <c r="H38" i="15"/>
  <c r="I26" i="15"/>
  <c r="P26" i="15" s="1"/>
  <c r="I35" i="15"/>
  <c r="P35" i="15" s="1"/>
  <c r="H35" i="15"/>
  <c r="J21" i="15"/>
  <c r="P21" i="15" s="1"/>
  <c r="J12" i="15"/>
  <c r="P12" i="15" s="1"/>
  <c r="Q12" i="15" s="1"/>
  <c r="I27" i="15"/>
  <c r="P27" i="15" s="1"/>
  <c r="Q27" i="15" s="1"/>
  <c r="H27" i="15"/>
  <c r="G37" i="15"/>
  <c r="G28" i="15"/>
  <c r="J20" i="15"/>
  <c r="J11" i="15"/>
  <c r="G36" i="15"/>
  <c r="J10" i="15"/>
  <c r="I10" i="11"/>
  <c r="J10" i="11" s="1"/>
  <c r="G23" i="9"/>
  <c r="I23" i="9" s="1"/>
  <c r="I18" i="11"/>
  <c r="J18" i="11" s="1"/>
  <c r="H18" i="11"/>
  <c r="P18" i="11" s="1"/>
  <c r="E30" i="11"/>
  <c r="E31" i="11"/>
  <c r="E32" i="11"/>
  <c r="F32" i="11"/>
  <c r="F31" i="11"/>
  <c r="F30" i="11"/>
  <c r="P10" i="11"/>
  <c r="Q10" i="11" s="1"/>
  <c r="S10" i="11" s="1"/>
  <c r="U10" i="11" s="1"/>
  <c r="G18" i="13"/>
  <c r="H18" i="13" s="1"/>
  <c r="G31" i="9"/>
  <c r="I31" i="9" s="1"/>
  <c r="G30" i="9"/>
  <c r="H23" i="11"/>
  <c r="H23" i="9"/>
  <c r="I11" i="13"/>
  <c r="H11" i="13"/>
  <c r="I12" i="13"/>
  <c r="H12" i="13"/>
  <c r="J11" i="9"/>
  <c r="P11" i="9"/>
  <c r="D25" i="13"/>
  <c r="D23" i="13"/>
  <c r="D24" i="13"/>
  <c r="F32" i="13"/>
  <c r="F30" i="13"/>
  <c r="F31" i="13"/>
  <c r="P18" i="9"/>
  <c r="J18" i="9"/>
  <c r="J12" i="9"/>
  <c r="P12" i="9"/>
  <c r="J12" i="11"/>
  <c r="P12" i="11"/>
  <c r="H24" i="11"/>
  <c r="I24" i="11"/>
  <c r="P10" i="9"/>
  <c r="J10" i="9"/>
  <c r="H24" i="9"/>
  <c r="I24" i="9"/>
  <c r="D30" i="13"/>
  <c r="D32" i="13"/>
  <c r="D31" i="13"/>
  <c r="H10" i="13"/>
  <c r="I10" i="13"/>
  <c r="E30" i="13"/>
  <c r="E32" i="13"/>
  <c r="E31" i="13"/>
  <c r="P17" i="9"/>
  <c r="J17" i="9"/>
  <c r="G32" i="9"/>
  <c r="J11" i="11"/>
  <c r="P11" i="11"/>
  <c r="G25" i="9"/>
  <c r="F23" i="13"/>
  <c r="F25" i="13"/>
  <c r="F24" i="13"/>
  <c r="G17" i="13"/>
  <c r="J17" i="11"/>
  <c r="I25" i="11" l="1"/>
  <c r="H25" i="11"/>
  <c r="H31" i="9"/>
  <c r="I18" i="13"/>
  <c r="P18" i="13" s="1"/>
  <c r="Q35" i="15"/>
  <c r="Q26" i="15"/>
  <c r="T30" i="17"/>
  <c r="V30" i="17" s="1"/>
  <c r="S30" i="17"/>
  <c r="U30" i="17" s="1"/>
  <c r="W30" i="17" s="1"/>
  <c r="T26" i="17"/>
  <c r="V26" i="17" s="1"/>
  <c r="S26" i="17"/>
  <c r="U26" i="17" s="1"/>
  <c r="W26" i="17" s="1"/>
  <c r="T28" i="17"/>
  <c r="V28" i="17" s="1"/>
  <c r="S28" i="17"/>
  <c r="U28" i="17" s="1"/>
  <c r="W28" i="17" s="1"/>
  <c r="T40" i="17"/>
  <c r="V40" i="17" s="1"/>
  <c r="S40" i="17"/>
  <c r="U40" i="17" s="1"/>
  <c r="W40" i="17" s="1"/>
  <c r="T27" i="17"/>
  <c r="V27" i="17" s="1"/>
  <c r="S27" i="17"/>
  <c r="U27" i="17" s="1"/>
  <c r="W27" i="17" s="1"/>
  <c r="T36" i="17"/>
  <c r="V36" i="17" s="1"/>
  <c r="S36" i="17"/>
  <c r="U36" i="17" s="1"/>
  <c r="W36" i="17" s="1"/>
  <c r="P39" i="15"/>
  <c r="J39" i="15"/>
  <c r="I30" i="15"/>
  <c r="H30" i="15"/>
  <c r="R38" i="15"/>
  <c r="T38" i="15" s="1"/>
  <c r="Q38" i="15"/>
  <c r="S38" i="15" s="1"/>
  <c r="U38" i="15" s="1"/>
  <c r="H29" i="15"/>
  <c r="I29" i="15"/>
  <c r="J29" i="15" s="1"/>
  <c r="P29" i="15" s="1"/>
  <c r="P40" i="15"/>
  <c r="J40" i="15"/>
  <c r="R21" i="15"/>
  <c r="T21" i="15" s="1"/>
  <c r="Q21" i="15"/>
  <c r="S21" i="15" s="1"/>
  <c r="U21" i="15" s="1"/>
  <c r="Q14" i="15"/>
  <c r="S14" i="15" s="1"/>
  <c r="U14" i="15" s="1"/>
  <c r="R14" i="15"/>
  <c r="T14" i="15" s="1"/>
  <c r="Q15" i="15"/>
  <c r="S15" i="15" s="1"/>
  <c r="U15" i="15" s="1"/>
  <c r="R15" i="15"/>
  <c r="T15" i="15" s="1"/>
  <c r="H28" i="15"/>
  <c r="I28" i="15"/>
  <c r="H37" i="15"/>
  <c r="I37" i="15"/>
  <c r="J35" i="15"/>
  <c r="R12" i="15"/>
  <c r="T12" i="15" s="1"/>
  <c r="S12" i="15"/>
  <c r="U12" i="15" s="1"/>
  <c r="J26" i="15"/>
  <c r="R11" i="15"/>
  <c r="T11" i="15" s="1"/>
  <c r="S11" i="15"/>
  <c r="U11" i="15" s="1"/>
  <c r="R10" i="15"/>
  <c r="T10" i="15" s="1"/>
  <c r="S10" i="15"/>
  <c r="U10" i="15" s="1"/>
  <c r="I36" i="15"/>
  <c r="P36" i="15" s="1"/>
  <c r="Q36" i="15" s="1"/>
  <c r="H36" i="15"/>
  <c r="R20" i="15"/>
  <c r="T20" i="15" s="1"/>
  <c r="S20" i="15"/>
  <c r="U20" i="15" s="1"/>
  <c r="J27" i="15"/>
  <c r="R10" i="11"/>
  <c r="T10" i="11" s="1"/>
  <c r="G30" i="13"/>
  <c r="H30" i="13" s="1"/>
  <c r="G31" i="11"/>
  <c r="H31" i="11" s="1"/>
  <c r="G30" i="11"/>
  <c r="I30" i="11" s="1"/>
  <c r="G23" i="13"/>
  <c r="H23" i="13" s="1"/>
  <c r="G32" i="11"/>
  <c r="R11" i="11"/>
  <c r="T11" i="11" s="1"/>
  <c r="Q11" i="11"/>
  <c r="S11" i="11" s="1"/>
  <c r="U11" i="11" s="1"/>
  <c r="Q17" i="9"/>
  <c r="S17" i="9" s="1"/>
  <c r="U17" i="9" s="1"/>
  <c r="R17" i="9"/>
  <c r="T17" i="9" s="1"/>
  <c r="J10" i="13"/>
  <c r="P10" i="13"/>
  <c r="R10" i="9"/>
  <c r="T10" i="9" s="1"/>
  <c r="Q10" i="9"/>
  <c r="S10" i="9" s="1"/>
  <c r="U10" i="9" s="1"/>
  <c r="G24" i="13"/>
  <c r="J12" i="13"/>
  <c r="P12" i="13"/>
  <c r="J23" i="9"/>
  <c r="P23" i="9"/>
  <c r="Q17" i="11"/>
  <c r="S17" i="11" s="1"/>
  <c r="U17" i="11" s="1"/>
  <c r="R17" i="11"/>
  <c r="T17" i="11" s="1"/>
  <c r="R18" i="11"/>
  <c r="T18" i="11" s="1"/>
  <c r="Q18" i="11"/>
  <c r="S18" i="11" s="1"/>
  <c r="U18" i="11" s="1"/>
  <c r="P24" i="9"/>
  <c r="J24" i="9"/>
  <c r="J24" i="11"/>
  <c r="P24" i="11"/>
  <c r="R12" i="11"/>
  <c r="T12" i="11" s="1"/>
  <c r="Q12" i="11"/>
  <c r="S12" i="11" s="1"/>
  <c r="U12" i="11" s="1"/>
  <c r="I32" i="9"/>
  <c r="H32" i="9"/>
  <c r="G31" i="13"/>
  <c r="R18" i="9"/>
  <c r="T18" i="9" s="1"/>
  <c r="Q18" i="9"/>
  <c r="S18" i="9" s="1"/>
  <c r="U18" i="9" s="1"/>
  <c r="G25" i="13"/>
  <c r="J31" i="9"/>
  <c r="P31" i="9"/>
  <c r="J11" i="13"/>
  <c r="P11" i="13"/>
  <c r="J23" i="11"/>
  <c r="P23" i="11"/>
  <c r="I17" i="13"/>
  <c r="H17" i="13"/>
  <c r="I25" i="9"/>
  <c r="H25" i="9"/>
  <c r="G32" i="13"/>
  <c r="Q12" i="9"/>
  <c r="S12" i="9" s="1"/>
  <c r="U12" i="9" s="1"/>
  <c r="R12" i="9"/>
  <c r="T12" i="9" s="1"/>
  <c r="P25" i="11"/>
  <c r="J25" i="11"/>
  <c r="R11" i="9"/>
  <c r="T11" i="9" s="1"/>
  <c r="Q11" i="9"/>
  <c r="S11" i="9" s="1"/>
  <c r="U11" i="9" s="1"/>
  <c r="H30" i="9"/>
  <c r="I30" i="9"/>
  <c r="J18" i="13" l="1"/>
  <c r="H30" i="11"/>
  <c r="P30" i="11" s="1"/>
  <c r="I23" i="13"/>
  <c r="R29" i="15"/>
  <c r="T29" i="15" s="1"/>
  <c r="Q29" i="15"/>
  <c r="S29" i="15" s="1"/>
  <c r="U29" i="15" s="1"/>
  <c r="I31" i="11"/>
  <c r="P31" i="11" s="1"/>
  <c r="P30" i="15"/>
  <c r="J30" i="15"/>
  <c r="I30" i="13"/>
  <c r="Q40" i="15"/>
  <c r="S40" i="15" s="1"/>
  <c r="U40" i="15" s="1"/>
  <c r="R40" i="15"/>
  <c r="T40" i="15" s="1"/>
  <c r="R39" i="15"/>
  <c r="T39" i="15" s="1"/>
  <c r="Q39" i="15"/>
  <c r="S39" i="15" s="1"/>
  <c r="U39" i="15" s="1"/>
  <c r="J37" i="15"/>
  <c r="P37" i="15" s="1"/>
  <c r="J36" i="15"/>
  <c r="R27" i="15"/>
  <c r="T27" i="15" s="1"/>
  <c r="S27" i="15"/>
  <c r="U27" i="15" s="1"/>
  <c r="S35" i="15"/>
  <c r="U35" i="15" s="1"/>
  <c r="R35" i="15"/>
  <c r="T35" i="15" s="1"/>
  <c r="J28" i="15"/>
  <c r="P28" i="15" s="1"/>
  <c r="R26" i="15"/>
  <c r="T26" i="15" s="1"/>
  <c r="S26" i="15"/>
  <c r="U26" i="15" s="1"/>
  <c r="J30" i="11"/>
  <c r="I32" i="11"/>
  <c r="H32" i="11"/>
  <c r="Q18" i="13"/>
  <c r="S18" i="13" s="1"/>
  <c r="U18" i="13" s="1"/>
  <c r="R18" i="13"/>
  <c r="T18" i="13" s="1"/>
  <c r="H31" i="13"/>
  <c r="I31" i="13"/>
  <c r="R25" i="11"/>
  <c r="T25" i="11" s="1"/>
  <c r="Q25" i="11"/>
  <c r="S25" i="11" s="1"/>
  <c r="U25" i="11" s="1"/>
  <c r="R24" i="9"/>
  <c r="T24" i="9" s="1"/>
  <c r="Q24" i="9"/>
  <c r="S24" i="9" s="1"/>
  <c r="U24" i="9" s="1"/>
  <c r="H25" i="13"/>
  <c r="I25" i="13"/>
  <c r="P23" i="13"/>
  <c r="J23" i="13"/>
  <c r="R23" i="9"/>
  <c r="T23" i="9" s="1"/>
  <c r="Q23" i="9"/>
  <c r="S23" i="9" s="1"/>
  <c r="U23" i="9" s="1"/>
  <c r="H32" i="13"/>
  <c r="I32" i="13"/>
  <c r="P17" i="13"/>
  <c r="J17" i="13"/>
  <c r="P32" i="9"/>
  <c r="J32" i="9"/>
  <c r="J30" i="13"/>
  <c r="P30" i="13"/>
  <c r="J30" i="9"/>
  <c r="P30" i="9"/>
  <c r="J25" i="9"/>
  <c r="P25" i="9"/>
  <c r="Q10" i="13"/>
  <c r="S10" i="13" s="1"/>
  <c r="U10" i="13" s="1"/>
  <c r="R10" i="13"/>
  <c r="T10" i="13" s="1"/>
  <c r="Q11" i="13"/>
  <c r="S11" i="13" s="1"/>
  <c r="U11" i="13" s="1"/>
  <c r="R11" i="13"/>
  <c r="T11" i="13" s="1"/>
  <c r="Q24" i="11"/>
  <c r="S24" i="11" s="1"/>
  <c r="U24" i="11" s="1"/>
  <c r="R24" i="11"/>
  <c r="T24" i="11" s="1"/>
  <c r="I24" i="13"/>
  <c r="H24" i="13"/>
  <c r="Q23" i="11"/>
  <c r="S23" i="11" s="1"/>
  <c r="U23" i="11" s="1"/>
  <c r="R23" i="11"/>
  <c r="T23" i="11" s="1"/>
  <c r="R31" i="9"/>
  <c r="T31" i="9" s="1"/>
  <c r="Q31" i="9"/>
  <c r="S31" i="9" s="1"/>
  <c r="U31" i="9" s="1"/>
  <c r="R12" i="13"/>
  <c r="T12" i="13" s="1"/>
  <c r="Q12" i="13"/>
  <c r="S12" i="13" s="1"/>
  <c r="U12" i="13" s="1"/>
  <c r="J31" i="11" l="1"/>
  <c r="Q30" i="15"/>
  <c r="S30" i="15" s="1"/>
  <c r="U30" i="15" s="1"/>
  <c r="R30" i="15"/>
  <c r="T30" i="15" s="1"/>
  <c r="R37" i="15"/>
  <c r="T37" i="15" s="1"/>
  <c r="Q37" i="15"/>
  <c r="S37" i="15" s="1"/>
  <c r="U37" i="15" s="1"/>
  <c r="Q28" i="15"/>
  <c r="S28" i="15" s="1"/>
  <c r="U28" i="15" s="1"/>
  <c r="R28" i="15"/>
  <c r="T28" i="15" s="1"/>
  <c r="R36" i="15"/>
  <c r="T36" i="15" s="1"/>
  <c r="S36" i="15"/>
  <c r="U36" i="15" s="1"/>
  <c r="Q30" i="11"/>
  <c r="S30" i="11" s="1"/>
  <c r="U30" i="11" s="1"/>
  <c r="R30" i="11"/>
  <c r="T30" i="11" s="1"/>
  <c r="J32" i="11"/>
  <c r="P32" i="11"/>
  <c r="Q31" i="11"/>
  <c r="S31" i="11" s="1"/>
  <c r="U31" i="11" s="1"/>
  <c r="R31" i="11"/>
  <c r="T31" i="11" s="1"/>
  <c r="Q30" i="9"/>
  <c r="S30" i="9" s="1"/>
  <c r="U30" i="9" s="1"/>
  <c r="R30" i="9"/>
  <c r="T30" i="9" s="1"/>
  <c r="J32" i="13"/>
  <c r="P32" i="13"/>
  <c r="P31" i="13"/>
  <c r="J31" i="13"/>
  <c r="Q32" i="9"/>
  <c r="S32" i="9" s="1"/>
  <c r="U32" i="9" s="1"/>
  <c r="R32" i="9"/>
  <c r="T32" i="9" s="1"/>
  <c r="R23" i="13"/>
  <c r="T23" i="13" s="1"/>
  <c r="Q23" i="13"/>
  <c r="S23" i="13" s="1"/>
  <c r="U23" i="13" s="1"/>
  <c r="Q25" i="9"/>
  <c r="S25" i="9" s="1"/>
  <c r="U25" i="9" s="1"/>
  <c r="R25" i="9"/>
  <c r="T25" i="9" s="1"/>
  <c r="R30" i="13"/>
  <c r="T30" i="13" s="1"/>
  <c r="Q30" i="13"/>
  <c r="S30" i="13" s="1"/>
  <c r="U30" i="13" s="1"/>
  <c r="J25" i="13"/>
  <c r="P25" i="13"/>
  <c r="P24" i="13"/>
  <c r="J24" i="13"/>
  <c r="R17" i="13"/>
  <c r="T17" i="13" s="1"/>
  <c r="Q17" i="13"/>
  <c r="S17" i="13" s="1"/>
  <c r="U17" i="13" s="1"/>
  <c r="R32" i="11" l="1"/>
  <c r="T32" i="11" s="1"/>
  <c r="Q32" i="11"/>
  <c r="S32" i="11" s="1"/>
  <c r="U32" i="11" s="1"/>
  <c r="Q25" i="13"/>
  <c r="S25" i="13" s="1"/>
  <c r="U25" i="13" s="1"/>
  <c r="R25" i="13"/>
  <c r="T25" i="13" s="1"/>
  <c r="Q32" i="13"/>
  <c r="S32" i="13" s="1"/>
  <c r="U32" i="13" s="1"/>
  <c r="R32" i="13"/>
  <c r="T32" i="13" s="1"/>
  <c r="Q24" i="13"/>
  <c r="S24" i="13" s="1"/>
  <c r="U24" i="13" s="1"/>
  <c r="R24" i="13"/>
  <c r="T24" i="13" s="1"/>
  <c r="R31" i="13"/>
  <c r="T31" i="13" s="1"/>
  <c r="Q31" i="13"/>
  <c r="S31" i="13" s="1"/>
  <c r="U3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J5" authorId="0" shapeId="0" xr:uid="{DBEB5A90-23E1-8744-8446-CAA07186B101}">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CC7E85E5-560C-C14D-B326-98FB4D4551C1}">
      <text>
        <r>
          <rPr>
            <b/>
            <sz val="9"/>
            <color indexed="81"/>
            <rFont val="Verdana"/>
            <family val="2"/>
          </rPr>
          <t>May Mauseth:</t>
        </r>
        <r>
          <rPr>
            <sz val="9"/>
            <color indexed="81"/>
            <rFont val="Verdana"/>
            <family val="2"/>
          </rPr>
          <t xml:space="preserve">
20% peak
50% shoulder
30% Off-peak</t>
        </r>
      </text>
    </comment>
    <comment ref="O9" authorId="0" shapeId="0" xr:uid="{308D5481-EDAB-764C-BAD4-5386671FBF63}">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9" authorId="1" shapeId="0" xr:uid="{37C925F8-4B48-D845-809F-B211B689D21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O19" authorId="0" shapeId="0" xr:uid="{C1DD8C4F-9E94-B648-8FF1-B8AA4E4716C2}">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19" authorId="1" shapeId="0" xr:uid="{86E2F587-5CB6-E24B-B0BE-72D2A90AF9A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O27" authorId="0" shapeId="0" xr:uid="{7A666F70-27D4-3240-A76D-83E7949918CC}">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27" authorId="1" shapeId="0" xr:uid="{98269302-9C88-C548-969E-CA4A91AF05C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E6" authorId="0" shapeId="0" xr:uid="{00000000-0006-0000-0600-000001000000}">
      <text>
        <r>
          <rPr>
            <b/>
            <sz val="9"/>
            <color indexed="81"/>
            <rFont val="Verdana"/>
            <family val="2"/>
          </rPr>
          <t>May Mauseth:</t>
        </r>
        <r>
          <rPr>
            <sz val="9"/>
            <color indexed="81"/>
            <rFont val="Verdana"/>
            <family val="2"/>
          </rPr>
          <t xml:space="preserve">
Home plan</t>
        </r>
      </text>
    </comment>
    <comment ref="F6" authorId="0" shapeId="0" xr:uid="{00000000-0006-0000-0600-000002000000}">
      <text>
        <r>
          <rPr>
            <b/>
            <sz val="9"/>
            <color indexed="81"/>
            <rFont val="Verdana"/>
            <family val="2"/>
          </rPr>
          <t>May Mauseth:</t>
        </r>
        <r>
          <rPr>
            <sz val="9"/>
            <color indexed="81"/>
            <rFont val="Verdana"/>
            <family val="2"/>
          </rPr>
          <t xml:space="preserve">
Everyday Saver Home</t>
        </r>
      </text>
    </comment>
    <comment ref="E11" authorId="0" shapeId="0" xr:uid="{00000000-0006-0000-0600-000003000000}">
      <text>
        <r>
          <rPr>
            <b/>
            <sz val="9"/>
            <color indexed="81"/>
            <rFont val="Verdana"/>
            <family val="2"/>
          </rPr>
          <t>May Mauseth:</t>
        </r>
        <r>
          <rPr>
            <sz val="9"/>
            <color indexed="81"/>
            <rFont val="Verdana"/>
            <family val="2"/>
          </rPr>
          <t xml:space="preserve">
Home Saver</t>
        </r>
      </text>
    </comment>
    <comment ref="E12" authorId="0" shapeId="0" xr:uid="{00000000-0006-0000-0600-000004000000}">
      <text>
        <r>
          <rPr>
            <b/>
            <sz val="9"/>
            <color indexed="81"/>
            <rFont val="Verdana"/>
            <family val="2"/>
          </rPr>
          <t>May Mauseth:</t>
        </r>
        <r>
          <rPr>
            <sz val="9"/>
            <color indexed="81"/>
            <rFont val="Verdana"/>
            <family val="2"/>
          </rPr>
          <t xml:space="preserve">
Offer states first 60kWh/day</t>
        </r>
      </text>
    </comment>
    <comment ref="B18" authorId="0" shapeId="0" xr:uid="{00000000-0006-0000-0600-000005000000}">
      <text>
        <r>
          <rPr>
            <b/>
            <sz val="9"/>
            <color indexed="81"/>
            <rFont val="Verdana"/>
            <family val="2"/>
          </rPr>
          <t>May Mauseth:</t>
        </r>
        <r>
          <rPr>
            <sz val="9"/>
            <color indexed="81"/>
            <rFont val="Verdana"/>
            <family val="2"/>
          </rPr>
          <t xml:space="preserve">
Home plan + off peak rate 1</t>
        </r>
      </text>
    </comment>
    <comment ref="B20" authorId="0" shapeId="0" xr:uid="{00000000-0006-0000-0600-000006000000}">
      <text>
        <r>
          <rPr>
            <b/>
            <sz val="9"/>
            <color indexed="81"/>
            <rFont val="Verdana"/>
            <family val="2"/>
          </rPr>
          <t>May Mauseth:</t>
        </r>
        <r>
          <rPr>
            <sz val="9"/>
            <color indexed="81"/>
            <rFont val="Verdana"/>
            <family val="2"/>
          </rPr>
          <t xml:space="preserve">
Off peak 1 Charge</t>
        </r>
      </text>
    </comment>
    <comment ref="B25" authorId="0" shapeId="0" xr:uid="{00000000-0006-0000-0600-000007000000}">
      <text>
        <r>
          <rPr>
            <b/>
            <sz val="9"/>
            <color indexed="81"/>
            <rFont val="Verdana"/>
            <family val="2"/>
          </rPr>
          <t>May Mauseth:</t>
        </r>
        <r>
          <rPr>
            <sz val="9"/>
            <color indexed="81"/>
            <rFont val="Verdana"/>
            <family val="2"/>
          </rPr>
          <t xml:space="preserve">
7am-9am and 5pm-8pm every day</t>
        </r>
      </text>
    </comment>
    <comment ref="B26" authorId="0" shapeId="0" xr:uid="{00000000-0006-0000-0600-000008000000}">
      <text>
        <r>
          <rPr>
            <b/>
            <sz val="9"/>
            <color indexed="81"/>
            <rFont val="Verdana"/>
            <family val="2"/>
          </rPr>
          <t>May Mauseth:</t>
        </r>
        <r>
          <rPr>
            <sz val="9"/>
            <color indexed="81"/>
            <rFont val="Verdana"/>
            <family val="2"/>
          </rPr>
          <t xml:space="preserve">
9am-5pm and 8pm-10pm every day</t>
        </r>
      </text>
    </comment>
    <comment ref="B27" authorId="0" shapeId="0" xr:uid="{00000000-0006-0000-0600-000009000000}">
      <text>
        <r>
          <rPr>
            <b/>
            <sz val="9"/>
            <color indexed="81"/>
            <rFont val="Verdana"/>
            <family val="2"/>
          </rPr>
          <t>May Mauseth:</t>
        </r>
        <r>
          <rPr>
            <sz val="9"/>
            <color indexed="81"/>
            <rFont val="Verdana"/>
            <family val="2"/>
          </rPr>
          <t xml:space="preserve">
10pm to 7am every day</t>
        </r>
      </text>
    </comment>
    <comment ref="A32" authorId="0" shapeId="0" xr:uid="{00000000-0006-0000-0600-00000A000000}">
      <text>
        <r>
          <rPr>
            <b/>
            <sz val="9"/>
            <color indexed="81"/>
            <rFont val="Verdana"/>
            <family val="2"/>
          </rPr>
          <t>May Mauseth:</t>
        </r>
        <r>
          <rPr>
            <sz val="9"/>
            <color indexed="81"/>
            <rFont val="Verdana"/>
            <family val="2"/>
          </rPr>
          <t xml:space="preserve">
Non-conditional discounts</t>
        </r>
      </text>
    </comment>
    <comment ref="E32" authorId="0" shapeId="0" xr:uid="{00000000-0006-0000-0600-00000B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t>
        </r>
      </text>
    </comment>
    <comment ref="A33" authorId="0" shapeId="0" xr:uid="{00000000-0006-0000-0600-00000C000000}">
      <text>
        <r>
          <rPr>
            <b/>
            <sz val="9"/>
            <color indexed="81"/>
            <rFont val="Verdana"/>
            <family val="2"/>
          </rPr>
          <t>May Mauseth:</t>
        </r>
        <r>
          <rPr>
            <sz val="9"/>
            <color indexed="81"/>
            <rFont val="Verdana"/>
            <family val="2"/>
          </rPr>
          <t xml:space="preserve">
Length of contract</t>
        </r>
      </text>
    </comment>
    <comment ref="A34" authorId="0" shapeId="0" xr:uid="{00000000-0006-0000-0600-00000D000000}">
      <text>
        <r>
          <rPr>
            <b/>
            <sz val="9"/>
            <color indexed="81"/>
            <rFont val="Verdana"/>
            <family val="2"/>
          </rPr>
          <t>May Mauseth:</t>
        </r>
        <r>
          <rPr>
            <sz val="9"/>
            <color indexed="81"/>
            <rFont val="Verdana"/>
            <family val="2"/>
          </rPr>
          <t xml:space="preserve">
Early Termination Fee</t>
        </r>
      </text>
    </comment>
    <comment ref="E34" authorId="0" shapeId="0" xr:uid="{00000000-0006-0000-0600-00000E000000}">
      <text>
        <r>
          <rPr>
            <b/>
            <sz val="9"/>
            <color indexed="81"/>
            <rFont val="Verdana"/>
            <family val="2"/>
          </rPr>
          <t>May Mauseth:</t>
        </r>
        <r>
          <rPr>
            <sz val="9"/>
            <color indexed="81"/>
            <rFont val="Verdana"/>
            <family val="2"/>
          </rPr>
          <t xml:space="preserve">
$50 for each service bundled</t>
        </r>
      </text>
    </comment>
    <comment ref="A35" authorId="0" shapeId="0" xr:uid="{00000000-0006-0000-0600-00000F000000}">
      <text>
        <r>
          <rPr>
            <b/>
            <sz val="9"/>
            <color indexed="81"/>
            <rFont val="Verdana"/>
            <family val="2"/>
          </rPr>
          <t>May Mauseth:</t>
        </r>
        <r>
          <rPr>
            <sz val="9"/>
            <color indexed="81"/>
            <rFont val="Verdana"/>
            <family val="2"/>
          </rPr>
          <t xml:space="preserve">
Discounts conditional upon prompt payment</t>
        </r>
      </text>
    </comment>
    <comment ref="E37" authorId="0" shapeId="0" xr:uid="{00000000-0006-0000-0600-000010000000}">
      <text>
        <r>
          <rPr>
            <b/>
            <sz val="9"/>
            <color indexed="81"/>
            <rFont val="Verdana"/>
            <family val="2"/>
          </rPr>
          <t>May Mauseth:</t>
        </r>
        <r>
          <rPr>
            <sz val="9"/>
            <color indexed="81"/>
            <rFont val="Verdana"/>
            <family val="2"/>
          </rPr>
          <t xml:space="preserve">
Account establishment fee: $35.10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J5" authorId="0" shapeId="0" xr:uid="{E82A121A-6BD7-A442-A421-F6C89109CCDA}">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246C181F-8903-6743-8AE1-6D9F1D41C4E0}">
      <text>
        <r>
          <rPr>
            <b/>
            <sz val="9"/>
            <color indexed="81"/>
            <rFont val="Verdana"/>
            <family val="2"/>
          </rPr>
          <t>May Mauseth:</t>
        </r>
        <r>
          <rPr>
            <sz val="9"/>
            <color indexed="81"/>
            <rFont val="Verdana"/>
            <family val="2"/>
          </rPr>
          <t xml:space="preserve">
20% peak
50% shoulder
30% Off-peak</t>
        </r>
      </text>
    </comment>
    <comment ref="O9" authorId="0" shapeId="0" xr:uid="{D7624109-FDC9-9A4F-8A81-1121C124183F}">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9" authorId="1" shapeId="0" xr:uid="{F5204B24-8E0D-4344-BFA7-07B563AF3E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4" authorId="1" shapeId="0" xr:uid="{3AE55B22-B6C9-014F-BEBC-6070AE04BDBB}">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O18" authorId="0" shapeId="0" xr:uid="{F0B43710-5F1E-614E-8001-3A93E7F89C11}">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18" authorId="1" shapeId="0" xr:uid="{6D2B57E9-BD56-E64B-97AC-374F46059C3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O26" authorId="0" shapeId="0" xr:uid="{D789C60E-19DB-8C4B-902E-6027C81B97DA}">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26" authorId="1" shapeId="0" xr:uid="{4CBB7AB6-7F8E-E84A-B1B5-D504873718D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J5" authorId="0" shapeId="0" xr:uid="{8B8CA191-F189-5349-AD42-C8237A3B7DFF}">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C36E913A-F001-554F-B396-9D04AD573E44}">
      <text>
        <r>
          <rPr>
            <b/>
            <sz val="9"/>
            <color indexed="81"/>
            <rFont val="Verdana"/>
            <family val="2"/>
          </rPr>
          <t>May Mauseth:</t>
        </r>
        <r>
          <rPr>
            <sz val="9"/>
            <color indexed="81"/>
            <rFont val="Verdana"/>
            <family val="2"/>
          </rPr>
          <t xml:space="preserve">
20% peak
50% shoulder
30% Off-peak</t>
        </r>
      </text>
    </comment>
    <comment ref="O9" authorId="0" shapeId="0" xr:uid="{9F8A4482-ADCE-7F4C-AC4D-9CBFA30C9C4C}">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9" authorId="1" shapeId="0" xr:uid="{C549640B-FA0E-BF44-9384-364D6265257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4" authorId="1" shapeId="0" xr:uid="{4BECC814-0F05-1946-887B-B4FE857D9F18}">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15" authorId="1" shapeId="0" xr:uid="{747CE453-1A8C-D049-A7A8-EC39F79AD179}">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O21" authorId="0" shapeId="0" xr:uid="{BBEF0089-90FF-B045-B919-2E93CE3B3FE8}">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21" authorId="1" shapeId="0" xr:uid="{1823EE97-A93F-BB41-A973-62740330252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6" authorId="1" shapeId="0" xr:uid="{8E12A465-5E8B-F447-9B6D-78A93CC46E82}">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O32" authorId="0" shapeId="0" xr:uid="{047DC1A2-156B-4141-82DE-0DF3DFF09F5E}">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Q32" authorId="1" shapeId="0" xr:uid="{10AF1030-0593-444A-AE66-73F83CEACA3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7" authorId="1" shapeId="0" xr:uid="{84D70FAF-D5A1-3F4A-8E2C-EC1C40FCA35F}">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38" authorId="1" shapeId="0" xr:uid="{D2B471D7-35BF-D64F-8D71-7D9FB1ED7A79}">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J5" authorId="0" shapeId="0" xr:uid="{97F70774-CC62-1943-A862-C9BF0B59AFEB}">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6B300178-15B7-6D44-9B49-81615A7915B5}">
      <text>
        <r>
          <rPr>
            <b/>
            <sz val="9"/>
            <color indexed="81"/>
            <rFont val="Verdana"/>
            <family val="2"/>
          </rPr>
          <t>May Mauseth:</t>
        </r>
        <r>
          <rPr>
            <sz val="9"/>
            <color indexed="81"/>
            <rFont val="Verdana"/>
            <family val="2"/>
          </rPr>
          <t xml:space="preserve">
20% peak
50% shoulder
30% Off-peak</t>
        </r>
      </text>
    </comment>
    <comment ref="Q9" authorId="1" shapeId="0" xr:uid="{DBC6D143-1CF0-104F-96F8-C4729C7C32B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4" authorId="1" shapeId="0" xr:uid="{A7695CEE-2B60-6B43-80EC-1EDC56F06C32}">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15" authorId="1" shapeId="0" xr:uid="{633001A6-64DC-C84E-9594-8A6FE4DD37BA}">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Q19" authorId="1" shapeId="0" xr:uid="{EA83CD60-C898-6C43-A98D-1ED350A22C5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Q25" authorId="1" shapeId="0" xr:uid="{0E403B5B-3449-BE4B-8755-F95BB8050C3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CCBF1313-2095-D042-8D01-BCDED435943B}">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Q34" authorId="1" shapeId="0" xr:uid="{4FA0E47D-F7FA-344C-94AB-CCA88C437A1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9" authorId="1" shapeId="0" xr:uid="{22BEC9B1-C792-EB48-91B7-E401F2712754}">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40" authorId="1" shapeId="0" xr:uid="{82D4B34E-FD46-F24B-8C5F-533D7D636862}">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May Mauseth</author>
    <author>Michael  John Thompson</author>
  </authors>
  <commentList>
    <comment ref="J5" authorId="0" shapeId="0" xr:uid="{1EE2D36E-1EC1-7548-8AB6-F6FA468753AF}">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DD2E5DA7-0C52-A349-BB23-4A267631FEAE}">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50% shoulder
</t>
        </r>
        <r>
          <rPr>
            <sz val="9"/>
            <color rgb="FF000000"/>
            <rFont val="Verdana"/>
            <family val="2"/>
          </rPr>
          <t>30% Off-peak</t>
        </r>
      </text>
    </comment>
    <comment ref="P12" authorId="1" shapeId="0" xr:uid="{1E127ED6-43B5-EA45-88DC-76210C2A0215}">
      <text>
        <r>
          <rPr>
            <b/>
            <sz val="10"/>
            <color rgb="FF000000"/>
            <rFont val="Tahoma"/>
            <family val="2"/>
          </rPr>
          <t>Michael  John Thompson:</t>
        </r>
        <r>
          <rPr>
            <sz val="10"/>
            <color rgb="FF000000"/>
            <rFont val="Tahoma"/>
            <family val="2"/>
          </rPr>
          <t xml:space="preserve"> includes GST
</t>
        </r>
        <r>
          <rPr>
            <sz val="10"/>
            <color rgb="FF000000"/>
            <rFont val="Tahoma"/>
            <family val="2"/>
          </rPr>
          <t xml:space="preserve">
</t>
        </r>
      </text>
    </comment>
    <comment ref="Q12" authorId="1" shapeId="0" xr:uid="{7E04322E-D4CB-964B-B1DE-A4F26EA7E977}">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R12" authorId="1" shapeId="0" xr:uid="{556CD21E-6C58-874B-B669-2FAF8BD75991}">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12" authorId="1" shapeId="0" xr:uid="{9C781747-E3C8-1F44-A418-5C9082CBCFB9}">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P13" authorId="1" shapeId="0" xr:uid="{FAA317B9-4C0F-8648-930B-196A66E129FD}">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Q13" authorId="1" shapeId="0" xr:uid="{A7C408A5-503A-BC4D-B6C0-E37CF18767CB}">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R13" authorId="1" shapeId="0" xr:uid="{FF765F0A-F098-8540-A83D-175E6E138144}">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13" authorId="1" shapeId="0" xr:uid="{84CC98FB-97BB-DB43-BC49-40CD6817A271}">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P21" authorId="1" shapeId="0" xr:uid="{F90CAC87-443F-2B45-9B29-D8E2327E865D}">
      <text>
        <r>
          <rPr>
            <b/>
            <sz val="10"/>
            <color rgb="FF000000"/>
            <rFont val="Tahoma"/>
            <family val="2"/>
          </rPr>
          <t>Michael  John Thompson:</t>
        </r>
        <r>
          <rPr>
            <sz val="10"/>
            <color rgb="FF000000"/>
            <rFont val="Tahoma"/>
            <family val="2"/>
          </rPr>
          <t xml:space="preserve"> includes GST
</t>
        </r>
        <r>
          <rPr>
            <sz val="10"/>
            <color rgb="FF000000"/>
            <rFont val="Tahoma"/>
            <family val="2"/>
          </rPr>
          <t xml:space="preserve">
</t>
        </r>
      </text>
    </comment>
    <comment ref="Q21" authorId="1" shapeId="0" xr:uid="{FC9E2AD8-642D-D544-BFAE-FC8BF2AC2BA8}">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R21" authorId="1" shapeId="0" xr:uid="{9E81054C-B360-6549-9555-C08D96758B73}">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21" authorId="1" shapeId="0" xr:uid="{294B8AA2-98CD-1045-9655-B58CD3F820EB}">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P28" authorId="1" shapeId="0" xr:uid="{5588A0D3-FA49-3246-A071-CEAD99E079A4}">
      <text>
        <r>
          <rPr>
            <b/>
            <sz val="10"/>
            <color rgb="FF000000"/>
            <rFont val="Tahoma"/>
            <family val="2"/>
          </rPr>
          <t>Michael  John Thompson:</t>
        </r>
        <r>
          <rPr>
            <sz val="10"/>
            <color rgb="FF000000"/>
            <rFont val="Tahoma"/>
            <family val="2"/>
          </rPr>
          <t xml:space="preserve"> includes GST
</t>
        </r>
        <r>
          <rPr>
            <sz val="10"/>
            <color rgb="FF000000"/>
            <rFont val="Tahoma"/>
            <family val="2"/>
          </rPr>
          <t xml:space="preserve">
</t>
        </r>
      </text>
    </comment>
    <comment ref="Q28" authorId="1" shapeId="0" xr:uid="{DC7804E4-3EE5-D442-8929-9D8F03D0B194}">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R28" authorId="1" shapeId="0" xr:uid="{5A218C7D-EA35-FE49-8EED-C6B6C9DC6E75}">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28" authorId="1" shapeId="0" xr:uid="{58B34A58-84F9-D242-86F4-C0D78DAB2137}">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P29" authorId="1" shapeId="0" xr:uid="{42CDC229-9C9D-9D4F-9DD1-5C27B3D66571}">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Q29" authorId="1" shapeId="0" xr:uid="{4F0F7EF9-428E-0640-B762-258C7D209B0B}">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R29" authorId="1" shapeId="0" xr:uid="{C18D4734-E7FB-3D4D-8BD4-4586C3E2E844}">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29" authorId="1" shapeId="0" xr:uid="{355C7746-2F6A-3E46-B71D-DF3388ECAD81}">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P37" authorId="1" shapeId="0" xr:uid="{94EE4B20-0529-ED4F-9714-0F572CEEF64A}">
      <text>
        <r>
          <rPr>
            <b/>
            <sz val="10"/>
            <color rgb="FF000000"/>
            <rFont val="Tahoma"/>
            <family val="2"/>
          </rPr>
          <t>Michael  John Thompson:</t>
        </r>
        <r>
          <rPr>
            <sz val="10"/>
            <color rgb="FF000000"/>
            <rFont val="Tahoma"/>
            <family val="2"/>
          </rPr>
          <t xml:space="preserve"> includes GST
</t>
        </r>
        <r>
          <rPr>
            <sz val="10"/>
            <color rgb="FF000000"/>
            <rFont val="Tahoma"/>
            <family val="2"/>
          </rPr>
          <t xml:space="preserve">
</t>
        </r>
      </text>
    </comment>
    <comment ref="Q37" authorId="1" shapeId="0" xr:uid="{FAE2B2CE-861E-674B-B955-E2788456BA04}">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R37" authorId="1" shapeId="0" xr:uid="{017ECF0B-79E1-D44D-BE12-A4B0D0EF5B98}">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37" authorId="1" shapeId="0" xr:uid="{106643BB-8BC3-FD4A-B42F-80E16683030C}">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P38" authorId="1" shapeId="0" xr:uid="{345A499B-9EC9-1B4D-AAA3-E8C807E6CB39}">
      <text>
        <r>
          <rPr>
            <b/>
            <sz val="10"/>
            <color rgb="FF000000"/>
            <rFont val="Tahoma"/>
            <family val="2"/>
          </rPr>
          <t>Michael  John Thompson:</t>
        </r>
        <r>
          <rPr>
            <sz val="10"/>
            <color rgb="FF000000"/>
            <rFont val="Tahoma"/>
            <family val="2"/>
          </rPr>
          <t xml:space="preserve">
</t>
        </r>
        <r>
          <rPr>
            <sz val="10"/>
            <color rgb="FF000000"/>
            <rFont val="Tahoma"/>
            <family val="2"/>
          </rPr>
          <t xml:space="preserve">includes GST	
</t>
        </r>
      </text>
    </comment>
    <comment ref="Q38" authorId="1" shapeId="0" xr:uid="{FAB36343-8E63-0148-A9C8-63FB8D5EE4D6}">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R38" authorId="1" shapeId="0" xr:uid="{74C1BFEF-EFD2-E449-A7B3-A324FA59DB6C}">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 ref="S38" authorId="1" shapeId="0" xr:uid="{655DF67D-B1A2-EA4A-B715-19088CC080A9}">
      <text>
        <r>
          <rPr>
            <b/>
            <sz val="10"/>
            <color rgb="FF000000"/>
            <rFont val="Tahoma"/>
            <family val="2"/>
          </rPr>
          <t>Michael  John Thompson:</t>
        </r>
        <r>
          <rPr>
            <sz val="10"/>
            <color rgb="FF000000"/>
            <rFont val="Tahoma"/>
            <family val="2"/>
          </rPr>
          <t xml:space="preserve">
</t>
        </r>
        <r>
          <rPr>
            <sz val="10"/>
            <color rgb="FF000000"/>
            <rFont val="Tahoma"/>
            <family val="2"/>
          </rPr>
          <t>includes GST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77F4D8-7764-1C42-B74E-5BCB0F0F413C}">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J6" authorId="0" shapeId="0" xr:uid="{F405DBB3-196E-964E-B4F2-07AACDA46316}">
      <text>
        <r>
          <rPr>
            <b/>
            <sz val="9"/>
            <color indexed="81"/>
            <rFont val="Verdana"/>
            <family val="2"/>
          </rPr>
          <t>May Mauseth:</t>
        </r>
        <r>
          <rPr>
            <sz val="9"/>
            <color indexed="81"/>
            <rFont val="Verdana"/>
            <family val="2"/>
          </rPr>
          <t xml:space="preserve">
20% peak
50% shoulder
30% Off-peak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100-000001000000}">
      <text>
        <r>
          <rPr>
            <b/>
            <sz val="9"/>
            <color indexed="81"/>
            <rFont val="Verdana"/>
            <family val="2"/>
          </rPr>
          <t>May Mauseth:</t>
        </r>
        <r>
          <rPr>
            <sz val="9"/>
            <color indexed="81"/>
            <rFont val="Verdana"/>
            <family val="2"/>
          </rPr>
          <t xml:space="preserve">
30% 0ff peak</t>
        </r>
      </text>
    </comment>
    <comment ref="J6" authorId="0" shapeId="0" xr:uid="{00000000-0006-0000-0100-000002000000}">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50% shoulder
</t>
        </r>
        <r>
          <rPr>
            <sz val="9"/>
            <color rgb="FF000000"/>
            <rFont val="Verdana"/>
            <family val="2"/>
          </rPr>
          <t>30% Off-peak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200-000001000000}">
      <text>
        <r>
          <rPr>
            <b/>
            <sz val="9"/>
            <color indexed="81"/>
            <rFont val="Verdana"/>
            <family val="2"/>
          </rPr>
          <t>May Mauseth:</t>
        </r>
        <r>
          <rPr>
            <sz val="9"/>
            <color indexed="81"/>
            <rFont val="Verdana"/>
            <family val="2"/>
          </rPr>
          <t xml:space="preserve">
30% 0ff peak</t>
        </r>
      </text>
    </comment>
    <comment ref="J6" authorId="0" shapeId="0" xr:uid="{00000000-0006-0000-0200-000002000000}">
      <text>
        <r>
          <rPr>
            <b/>
            <sz val="9"/>
            <color indexed="81"/>
            <rFont val="Verdana"/>
            <family val="2"/>
          </rPr>
          <t>May Mauseth:</t>
        </r>
        <r>
          <rPr>
            <sz val="9"/>
            <color indexed="81"/>
            <rFont val="Verdana"/>
            <family val="2"/>
          </rPr>
          <t xml:space="preserve">
20% peak
50% shoulder
30% Off-peak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E6" authorId="0" shapeId="0" xr:uid="{00000000-0006-0000-0500-000001000000}">
      <text>
        <r>
          <rPr>
            <b/>
            <sz val="9"/>
            <color indexed="81"/>
            <rFont val="Verdana"/>
            <family val="2"/>
          </rPr>
          <t>May Mauseth:</t>
        </r>
        <r>
          <rPr>
            <sz val="9"/>
            <color indexed="81"/>
            <rFont val="Verdana"/>
            <family val="2"/>
          </rPr>
          <t xml:space="preserve">
Home plan</t>
        </r>
      </text>
    </comment>
    <comment ref="F6" authorId="0" shapeId="0" xr:uid="{00000000-0006-0000-0500-000002000000}">
      <text>
        <r>
          <rPr>
            <b/>
            <sz val="9"/>
            <color indexed="81"/>
            <rFont val="Verdana"/>
            <family val="2"/>
          </rPr>
          <t>May Mauseth:</t>
        </r>
        <r>
          <rPr>
            <sz val="9"/>
            <color indexed="81"/>
            <rFont val="Verdana"/>
            <family val="2"/>
          </rPr>
          <t xml:space="preserve">
Everyday Saver Home</t>
        </r>
      </text>
    </comment>
    <comment ref="E11" authorId="0" shapeId="0" xr:uid="{00000000-0006-0000-0500-000003000000}">
      <text>
        <r>
          <rPr>
            <b/>
            <sz val="9"/>
            <color indexed="81"/>
            <rFont val="Verdana"/>
            <family val="2"/>
          </rPr>
          <t>May Mauseth:</t>
        </r>
        <r>
          <rPr>
            <sz val="9"/>
            <color indexed="81"/>
            <rFont val="Verdana"/>
            <family val="2"/>
          </rPr>
          <t xml:space="preserve">
Home Saver</t>
        </r>
      </text>
    </comment>
    <comment ref="E12" authorId="0" shapeId="0" xr:uid="{00000000-0006-0000-0500-000004000000}">
      <text>
        <r>
          <rPr>
            <b/>
            <sz val="9"/>
            <color indexed="81"/>
            <rFont val="Verdana"/>
            <family val="2"/>
          </rPr>
          <t>May Mauseth:</t>
        </r>
        <r>
          <rPr>
            <sz val="9"/>
            <color indexed="81"/>
            <rFont val="Verdana"/>
            <family val="2"/>
          </rPr>
          <t xml:space="preserve">
Offer states first 60kWh/day</t>
        </r>
      </text>
    </comment>
    <comment ref="B18" authorId="0" shapeId="0" xr:uid="{00000000-0006-0000-0500-000005000000}">
      <text>
        <r>
          <rPr>
            <b/>
            <sz val="9"/>
            <color indexed="81"/>
            <rFont val="Verdana"/>
            <family val="2"/>
          </rPr>
          <t>May Mauseth:</t>
        </r>
        <r>
          <rPr>
            <sz val="9"/>
            <color indexed="81"/>
            <rFont val="Verdana"/>
            <family val="2"/>
          </rPr>
          <t xml:space="preserve">
Home plan + off peak rate 1</t>
        </r>
      </text>
    </comment>
    <comment ref="B20" authorId="0" shapeId="0" xr:uid="{00000000-0006-0000-0500-000006000000}">
      <text>
        <r>
          <rPr>
            <b/>
            <sz val="9"/>
            <color indexed="81"/>
            <rFont val="Verdana"/>
            <family val="2"/>
          </rPr>
          <t>May Mauseth:</t>
        </r>
        <r>
          <rPr>
            <sz val="9"/>
            <color indexed="81"/>
            <rFont val="Verdana"/>
            <family val="2"/>
          </rPr>
          <t xml:space="preserve">
Off peak 1 Charge</t>
        </r>
      </text>
    </comment>
    <comment ref="B25" authorId="0" shapeId="0" xr:uid="{00000000-0006-0000-0500-000007000000}">
      <text>
        <r>
          <rPr>
            <b/>
            <sz val="9"/>
            <color indexed="81"/>
            <rFont val="Verdana"/>
            <family val="2"/>
          </rPr>
          <t>May Mauseth:</t>
        </r>
        <r>
          <rPr>
            <sz val="9"/>
            <color indexed="81"/>
            <rFont val="Verdana"/>
            <family val="2"/>
          </rPr>
          <t xml:space="preserve">
7am-9am and 5pm-8pm every day</t>
        </r>
      </text>
    </comment>
    <comment ref="B26" authorId="0" shapeId="0" xr:uid="{00000000-0006-0000-0500-000008000000}">
      <text>
        <r>
          <rPr>
            <b/>
            <sz val="9"/>
            <color indexed="81"/>
            <rFont val="Verdana"/>
            <family val="2"/>
          </rPr>
          <t>May Mauseth:</t>
        </r>
        <r>
          <rPr>
            <sz val="9"/>
            <color indexed="81"/>
            <rFont val="Verdana"/>
            <family val="2"/>
          </rPr>
          <t xml:space="preserve">
9am-5pm and 8pm-10pm every day</t>
        </r>
      </text>
    </comment>
    <comment ref="B27" authorId="0" shapeId="0" xr:uid="{00000000-0006-0000-0500-000009000000}">
      <text>
        <r>
          <rPr>
            <b/>
            <sz val="9"/>
            <color indexed="81"/>
            <rFont val="Verdana"/>
            <family val="2"/>
          </rPr>
          <t>May Mauseth:</t>
        </r>
        <r>
          <rPr>
            <sz val="9"/>
            <color indexed="81"/>
            <rFont val="Verdana"/>
            <family val="2"/>
          </rPr>
          <t xml:space="preserve">
10pm to 7am every day</t>
        </r>
      </text>
    </comment>
    <comment ref="E32" authorId="0" shapeId="0" xr:uid="{00000000-0006-0000-0500-00000A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
Bundle 8 services and save 30%</t>
        </r>
      </text>
    </comment>
    <comment ref="E34" authorId="0" shapeId="0" xr:uid="{00000000-0006-0000-0500-00000B000000}">
      <text>
        <r>
          <rPr>
            <b/>
            <sz val="9"/>
            <color indexed="81"/>
            <rFont val="Verdana"/>
            <family val="2"/>
          </rPr>
          <t>May Mauseth:</t>
        </r>
        <r>
          <rPr>
            <sz val="9"/>
            <color indexed="81"/>
            <rFont val="Verdana"/>
            <family val="2"/>
          </rPr>
          <t xml:space="preserve">
$50 for each service bundled</t>
        </r>
      </text>
    </comment>
    <comment ref="E37" authorId="0" shapeId="0" xr:uid="{00000000-0006-0000-0500-00000C000000}">
      <text>
        <r>
          <rPr>
            <b/>
            <sz val="9"/>
            <color indexed="81"/>
            <rFont val="Verdana"/>
            <family val="2"/>
          </rPr>
          <t>May Mauseth:</t>
        </r>
        <r>
          <rPr>
            <sz val="9"/>
            <color indexed="81"/>
            <rFont val="Verdana"/>
            <family val="2"/>
          </rPr>
          <t xml:space="preserve">
Account establishment fee: $35.10</t>
        </r>
      </text>
    </comment>
  </commentList>
</comments>
</file>

<file path=xl/sharedStrings.xml><?xml version="1.0" encoding="utf-8"?>
<sst xmlns="http://schemas.openxmlformats.org/spreadsheetml/2006/main" count="3612" uniqueCount="477">
  <si>
    <t>© St Vincent de Paul Society and Alviss Consulting Pty Ltd</t>
  </si>
  <si>
    <t>this analysis include the three most common electricity offers based on meter type:</t>
  </si>
  <si>
    <t>Purpose of project</t>
  </si>
  <si>
    <t>Seasonal peak: off-peak rate (c/kWh)</t>
    <phoneticPr fontId="5" type="noConversion"/>
  </si>
  <si>
    <t>Off-peak rate (c/kWh)</t>
    <phoneticPr fontId="5" type="noConversion"/>
  </si>
  <si>
    <t>Off peak 1st step (kWh)</t>
    <phoneticPr fontId="5" type="noConversion"/>
  </si>
  <si>
    <t>AUSTRALIAN CAPITAL TERRITORY, ActewAGL NETWORK</t>
    <phoneticPr fontId="5" type="noConversion"/>
  </si>
  <si>
    <t>Approx. incentive value ($)</t>
    <phoneticPr fontId="5" type="noConversion"/>
  </si>
  <si>
    <t>Dual fuel condition? (Y/N)</t>
    <phoneticPr fontId="5" type="noConversion"/>
  </si>
  <si>
    <t>Comments</t>
    <phoneticPr fontId="5" type="noConversion"/>
  </si>
  <si>
    <t>Source</t>
    <phoneticPr fontId="5" type="noConversion"/>
  </si>
  <si>
    <t>TOU</t>
    <phoneticPr fontId="5" type="noConversion"/>
  </si>
  <si>
    <t>ACT-TOU</t>
    <phoneticPr fontId="5" type="noConversion"/>
  </si>
  <si>
    <t>2) Monitor the impact tariff changes have on household bills and energy affordability</t>
  </si>
  <si>
    <t>3% off usage</t>
    <phoneticPr fontId="5" type="noConversion"/>
  </si>
  <si>
    <t>8% off usage</t>
    <phoneticPr fontId="5" type="noConversion"/>
  </si>
  <si>
    <t>Peak</t>
    <phoneticPr fontId="5" type="noConversion"/>
  </si>
  <si>
    <t>c/kWh off-peak</t>
    <phoneticPr fontId="5" type="noConversion"/>
  </si>
  <si>
    <t>TOU (Home TOU plan)</t>
    <phoneticPr fontId="5" type="noConversion"/>
  </si>
  <si>
    <t xml:space="preserve">c/kWh - peak </t>
    <phoneticPr fontId="5" type="noConversion"/>
  </si>
  <si>
    <t>c/kWh - shoulder</t>
    <phoneticPr fontId="5" type="noConversion"/>
  </si>
  <si>
    <t>Seasonal shoulder: off peak season rate (c/kWh)</t>
    <phoneticPr fontId="5" type="noConversion"/>
  </si>
  <si>
    <t>Time structure Code</t>
    <phoneticPr fontId="5" type="noConversion"/>
  </si>
  <si>
    <t>Seasonal? (y/n)</t>
    <phoneticPr fontId="5" type="noConversion"/>
  </si>
  <si>
    <t>Summer or winter peak (s/w)</t>
    <phoneticPr fontId="5" type="noConversion"/>
  </si>
  <si>
    <t>Number of peak months</t>
    <phoneticPr fontId="5" type="noConversion"/>
  </si>
  <si>
    <t>solar (net/gross)</t>
  </si>
  <si>
    <t>Split week tariff: Shoulder - weekdays (c/kWh)</t>
    <phoneticPr fontId="5" type="noConversion"/>
  </si>
  <si>
    <t>Split week tariff: Shoulder - weekends (c/kWh)</t>
    <phoneticPr fontId="5" type="noConversion"/>
  </si>
  <si>
    <t>Annual bill incl conditional discounts (excl GST)</t>
    <phoneticPr fontId="5" type="noConversion"/>
  </si>
  <si>
    <t>Controlled load (Off peak 1)</t>
    <phoneticPr fontId="5" type="noConversion"/>
  </si>
  <si>
    <t>Peak</t>
    <phoneticPr fontId="5" type="noConversion"/>
  </si>
  <si>
    <t>Shoulder</t>
    <phoneticPr fontId="5" type="noConversion"/>
  </si>
  <si>
    <t>Off-Peak</t>
  </si>
  <si>
    <t>Annual consumption only</t>
    <phoneticPr fontId="5" type="noConversion"/>
  </si>
  <si>
    <t>Annual bill (incl GST)</t>
    <phoneticPr fontId="5" type="noConversion"/>
  </si>
  <si>
    <t>Saver</t>
    <phoneticPr fontId="5" type="noConversion"/>
  </si>
  <si>
    <t>Changed</t>
    <phoneticPr fontId="5" type="noConversion"/>
  </si>
  <si>
    <t>Controlled</t>
    <phoneticPr fontId="5" type="noConversion"/>
  </si>
  <si>
    <t>ACT-Controlled 1</t>
    <phoneticPr fontId="5" type="noConversion"/>
  </si>
  <si>
    <t>The main purpose of this workbook is to provide consumer advocates with a tool to track and analyse</t>
  </si>
  <si>
    <t xml:space="preserve">Inclining block </t>
    <phoneticPr fontId="5" type="noConversion"/>
  </si>
  <si>
    <t>NA</t>
    <phoneticPr fontId="5" type="noConversion"/>
  </si>
  <si>
    <t>3% off bill</t>
    <phoneticPr fontId="5" type="noConversion"/>
  </si>
  <si>
    <t>St Vincent de Paul Society, ACT Tariff-Tracking Project, Workbook 5: Solar Market Offers</t>
    <phoneticPr fontId="5" type="noConversion"/>
  </si>
  <si>
    <t>Import peak</t>
    <phoneticPr fontId="5" type="noConversion"/>
  </si>
  <si>
    <t>http://www.actewagl.com.au/Product-and-services/Prices/ACT-residential-prices.aspx#electricity</t>
  </si>
  <si>
    <t>https://www.originenergy.com.au/content/dam/origin/residential/docs/energy-price-fact-sheets/act/20160616/ACT_Electricity_Residential_ActewAGL_OriginSaver10.PDF</t>
  </si>
  <si>
    <t>TOU</t>
    <phoneticPr fontId="5" type="noConversion"/>
  </si>
  <si>
    <t>ACT-TOU</t>
    <phoneticPr fontId="5" type="noConversion"/>
  </si>
  <si>
    <t>Meter type</t>
    <phoneticPr fontId="5" type="noConversion"/>
  </si>
  <si>
    <t>Effective from</t>
    <phoneticPr fontId="5" type="noConversion"/>
  </si>
  <si>
    <t>Solar (y/n)</t>
    <phoneticPr fontId="5" type="noConversion"/>
  </si>
  <si>
    <t>Restricted eligibility? (n/so/nso)</t>
    <phoneticPr fontId="5" type="noConversion"/>
  </si>
  <si>
    <t>n</t>
    <phoneticPr fontId="5" type="noConversion"/>
  </si>
  <si>
    <t>o</t>
    <phoneticPr fontId="5" type="noConversion"/>
  </si>
  <si>
    <t>N</t>
    <phoneticPr fontId="5" type="noConversion"/>
  </si>
  <si>
    <t>quarter</t>
    <phoneticPr fontId="5" type="noConversion"/>
  </si>
  <si>
    <t>ACT-Single 2</t>
    <phoneticPr fontId="5" type="noConversion"/>
  </si>
  <si>
    <t>FIT (c/kWh)</t>
    <phoneticPr fontId="5" type="noConversion"/>
  </si>
  <si>
    <t>Green (y/n/o)</t>
    <phoneticPr fontId="5" type="noConversion"/>
  </si>
  <si>
    <t>Peak 3rd rate (c/kWh)</t>
    <phoneticPr fontId="5" type="noConversion"/>
  </si>
  <si>
    <t>Peak 3rd step (kWh)</t>
    <phoneticPr fontId="5" type="noConversion"/>
  </si>
  <si>
    <t>Guaranteed discount off usage (%)</t>
  </si>
  <si>
    <t xml:space="preserve">The energy offers, tariffs and bill calculations presented in this workbook should be used as a general guide only and should not be </t>
  </si>
  <si>
    <t>This workbook contains:</t>
  </si>
  <si>
    <t xml:space="preserve">1) Inform the community about changes to energy retail prices and increase consumer awareness </t>
  </si>
  <si>
    <t>c/kWh balance</t>
  </si>
  <si>
    <t>ActewAGL network area</t>
    <phoneticPr fontId="5" type="noConversion"/>
  </si>
  <si>
    <t>ActewAGL</t>
    <phoneticPr fontId="5" type="noConversion"/>
  </si>
  <si>
    <t>Other features</t>
  </si>
  <si>
    <t>Fixed term</t>
  </si>
  <si>
    <t>ETF</t>
  </si>
  <si>
    <t>Pay on time discount</t>
  </si>
  <si>
    <t>Quarterly bill</t>
  </si>
  <si>
    <t>Qtly import:</t>
    <phoneticPr fontId="5" type="noConversion"/>
  </si>
  <si>
    <t>Qtly export:</t>
    <phoneticPr fontId="5" type="noConversion"/>
  </si>
  <si>
    <t>Qtly generation:</t>
    <phoneticPr fontId="5" type="noConversion"/>
  </si>
  <si>
    <t>Home Plan Reward No Exit Fee</t>
    <phoneticPr fontId="5" type="noConversion"/>
  </si>
  <si>
    <t>Home Saver Reward No Exit Fee</t>
    <phoneticPr fontId="5" type="noConversion"/>
  </si>
  <si>
    <t>net</t>
    <phoneticPr fontId="5" type="noConversion"/>
  </si>
  <si>
    <t>Home plan Reward No Exit Fee</t>
    <phoneticPr fontId="5" type="noConversion"/>
  </si>
  <si>
    <t>EnergyAustralia</t>
    <phoneticPr fontId="5" type="noConversion"/>
  </si>
  <si>
    <t>ACT-Single 1</t>
    <phoneticPr fontId="5" type="noConversion"/>
  </si>
  <si>
    <t>net</t>
    <phoneticPr fontId="5" type="noConversion"/>
  </si>
  <si>
    <t>o</t>
    <phoneticPr fontId="5" type="noConversion"/>
  </si>
  <si>
    <t>N</t>
    <phoneticPr fontId="5" type="noConversion"/>
  </si>
  <si>
    <t>Account establishment fee may apply</t>
    <phoneticPr fontId="5" type="noConversion"/>
  </si>
  <si>
    <t>ACT</t>
    <phoneticPr fontId="5" type="noConversion"/>
  </si>
  <si>
    <t>Single</t>
    <phoneticPr fontId="5" type="noConversion"/>
  </si>
  <si>
    <t>y</t>
    <phoneticPr fontId="5" type="noConversion"/>
  </si>
  <si>
    <t>POT discount off bill (%)</t>
  </si>
  <si>
    <t>Project outputs</t>
  </si>
  <si>
    <t>DISCLAIMER:</t>
  </si>
  <si>
    <t>no</t>
    <phoneticPr fontId="5" type="noConversion"/>
  </si>
  <si>
    <t>Seasonal Off-peak: Off-peak rate (c/kWh)</t>
    <phoneticPr fontId="5" type="noConversion"/>
  </si>
  <si>
    <t>Cont' off peak</t>
    <phoneticPr fontId="5" type="noConversion"/>
  </si>
  <si>
    <t>Cont' off peak 1st step (kWh)</t>
    <phoneticPr fontId="5" type="noConversion"/>
  </si>
  <si>
    <t>Cont' off peak 2nd rate</t>
    <phoneticPr fontId="5" type="noConversion"/>
  </si>
  <si>
    <t>Shoulder (c/kWh)</t>
    <phoneticPr fontId="5" type="noConversion"/>
  </si>
  <si>
    <t>Annual bill incl conditional discounts &amp; FIT credit (excl GST)</t>
    <phoneticPr fontId="5" type="noConversion"/>
  </si>
  <si>
    <t>Annual bill incl guaranteed discounts, FIT credit and GST</t>
    <phoneticPr fontId="5" type="noConversion"/>
  </si>
  <si>
    <t>Annual bill incl guaranteed discounts (excl GST)</t>
    <phoneticPr fontId="5" type="noConversion"/>
  </si>
  <si>
    <t>Peak 4th rate (c/kWh)</t>
    <phoneticPr fontId="5" type="noConversion"/>
  </si>
  <si>
    <t>Off peak 2nd rate (c/kWh)</t>
    <phoneticPr fontId="5" type="noConversion"/>
  </si>
  <si>
    <t>Off peak 2nd step (kWh)</t>
    <phoneticPr fontId="5" type="noConversion"/>
  </si>
  <si>
    <t>Off peak 3rd rate (c/kWh)</t>
    <phoneticPr fontId="5" type="noConversion"/>
  </si>
  <si>
    <t>Off peak 3rd step (kWh)</t>
    <phoneticPr fontId="5" type="noConversion"/>
  </si>
  <si>
    <t>Off peak 4th rate (c/kWh)</t>
    <phoneticPr fontId="5" type="noConversion"/>
  </si>
  <si>
    <t>Single rate</t>
    <phoneticPr fontId="5" type="noConversion"/>
  </si>
  <si>
    <t>Single Inclining</t>
    <phoneticPr fontId="5" type="noConversion"/>
  </si>
  <si>
    <t>Inclining block</t>
    <phoneticPr fontId="5" type="noConversion"/>
  </si>
  <si>
    <t>Peak</t>
    <phoneticPr fontId="5" type="noConversion"/>
  </si>
  <si>
    <t>Controlled load</t>
  </si>
  <si>
    <t>Annual consumption only</t>
    <phoneticPr fontId="5" type="noConversion"/>
  </si>
  <si>
    <t>Annual bill (incl GST)</t>
    <phoneticPr fontId="5" type="noConversion"/>
  </si>
  <si>
    <t>Annual bill incl guaranteed discounts (excl GST)</t>
    <phoneticPr fontId="5" type="noConversion"/>
  </si>
  <si>
    <t>Insert quarterly consumption between 700 - 4,000 kWh:</t>
    <phoneticPr fontId="5" type="noConversion"/>
  </si>
  <si>
    <t>Annual bill (incl GST)</t>
    <phoneticPr fontId="5" type="noConversion"/>
  </si>
  <si>
    <t>Guaranteed discount off bill (%)</t>
  </si>
  <si>
    <t>Annual consumption only</t>
    <phoneticPr fontId="5" type="noConversion"/>
  </si>
  <si>
    <t>Annual bill (excl GST)</t>
  </si>
  <si>
    <t xml:space="preserve">this workbook or for any loss, economic or otherwise, suffered as a result of reliance on the information presented in this workbook.  </t>
    <phoneticPr fontId="0" type="noConversion"/>
  </si>
  <si>
    <t>If you would like to obtain information about energy offers available to you as a customer, go to AER’s "Energy Made Easy" website</t>
    <phoneticPr fontId="5" type="noConversion"/>
  </si>
  <si>
    <t>www.energymadeeasy.gov.au or contact the energy retailers directly.</t>
    <phoneticPr fontId="5" type="noConversion"/>
  </si>
  <si>
    <t>c/kWh</t>
    <phoneticPr fontId="5" type="noConversion"/>
  </si>
  <si>
    <t>First block (kWh/qtr)</t>
    <phoneticPr fontId="5" type="noConversion"/>
  </si>
  <si>
    <t>Controlled off-peak</t>
    <phoneticPr fontId="5" type="noConversion"/>
  </si>
  <si>
    <t>Green note</t>
    <phoneticPr fontId="5" type="noConversion"/>
  </si>
  <si>
    <t>Guaranteed discount off bill (%)</t>
    <phoneticPr fontId="5" type="noConversion"/>
  </si>
  <si>
    <t>Guaranteed discount off usage (%)</t>
    <phoneticPr fontId="5" type="noConversion"/>
  </si>
  <si>
    <t>POT discount off bill (%)</t>
    <phoneticPr fontId="5" type="noConversion"/>
  </si>
  <si>
    <t>https://secure.energyaustralia.com.au/EnergyPriceFactSheets/Docs/EPFS/E_R_A_GEASY_AC_14_01-07-2016.pdf</t>
  </si>
  <si>
    <t>Offer</t>
  </si>
  <si>
    <t>Origin Energy</t>
    <phoneticPr fontId="5" type="noConversion"/>
  </si>
  <si>
    <t>Off-peak tariff:</t>
    <phoneticPr fontId="5" type="noConversion"/>
  </si>
  <si>
    <t xml:space="preserve">TOU tariff: </t>
    <phoneticPr fontId="5" type="noConversion"/>
  </si>
  <si>
    <t>ID</t>
  </si>
  <si>
    <t>Timestamp</t>
    <phoneticPr fontId="5" type="noConversion"/>
  </si>
  <si>
    <t>State</t>
    <phoneticPr fontId="5" type="noConversion"/>
  </si>
  <si>
    <t>DB</t>
    <phoneticPr fontId="5" type="noConversion"/>
  </si>
  <si>
    <t>DB Zone</t>
    <phoneticPr fontId="5" type="noConversion"/>
  </si>
  <si>
    <t>Contract length (months)</t>
  </si>
  <si>
    <t>Exit fee (yes/no)</t>
  </si>
  <si>
    <t>Import off peak</t>
    <phoneticPr fontId="5" type="noConversion"/>
  </si>
  <si>
    <t>Import shoulder</t>
    <phoneticPr fontId="5" type="noConversion"/>
  </si>
  <si>
    <t>Solar meter fee (c/day)</t>
    <phoneticPr fontId="5" type="noConversion"/>
  </si>
  <si>
    <t>Retailer</t>
  </si>
  <si>
    <t>Name</t>
    <phoneticPr fontId="5" type="noConversion"/>
  </si>
  <si>
    <t>*All supply charges published as quarterly charges have been divided by 91 days.</t>
  </si>
  <si>
    <t>POT discount off usage (%)</t>
  </si>
  <si>
    <t>Annual bill incl guaranteed discounts (excl GST)</t>
    <phoneticPr fontId="5" type="noConversion"/>
  </si>
  <si>
    <t>Annual bill incl conditional discounts (excl GST)</t>
    <phoneticPr fontId="5" type="noConversion"/>
  </si>
  <si>
    <t>Update status</t>
    <phoneticPr fontId="5" type="noConversion"/>
  </si>
  <si>
    <t>y</t>
    <phoneticPr fontId="5" type="noConversion"/>
  </si>
  <si>
    <t>n</t>
    <phoneticPr fontId="5" type="noConversion"/>
  </si>
  <si>
    <t>ActewAGL</t>
    <phoneticPr fontId="5" type="noConversion"/>
  </si>
  <si>
    <t>Peak 2nd step (kWh)</t>
    <phoneticPr fontId="5" type="noConversion"/>
  </si>
  <si>
    <t>For the Time of Use (TOU) tariff, 20% of total consumption has been allocated to the peak rate, 50% to shoulder and 30% to off-peak</t>
    <phoneticPr fontId="5" type="noConversion"/>
  </si>
  <si>
    <t xml:space="preserve">*Bill calculation sheets are interactive spreadsheets where quarterly consumption (kWh) level can be adjusted   </t>
    <phoneticPr fontId="8" type="noConversion"/>
  </si>
  <si>
    <t>and bill calculations can be underaken for both 1.5 kW and 3 kW solar systems.</t>
    <phoneticPr fontId="5" type="noConversion"/>
  </si>
  <si>
    <t>All red cells contain variables for the user to insert</t>
  </si>
  <si>
    <t>By May Mauseth Johnston, Alviss Consulting Pty Ltd</t>
    <phoneticPr fontId="5" type="noConversion"/>
  </si>
  <si>
    <t>Choose 1.5 or 3.0 kW system:</t>
    <phoneticPr fontId="5" type="noConversion"/>
  </si>
  <si>
    <t>Electricity Retail Offers July 2014 (inc GST)</t>
    <phoneticPr fontId="5" type="noConversion"/>
  </si>
  <si>
    <t xml:space="preserve">ACT Tariff-Tracking Project, St Vincent de Paul Society </t>
    <phoneticPr fontId="5" type="noConversion"/>
  </si>
  <si>
    <t xml:space="preserve">The St Vincent de Paul Society and Alviss Consulting Pty Ltd do not accept liability for any action taken based on the information provided in  </t>
    <phoneticPr fontId="0" type="noConversion"/>
  </si>
  <si>
    <t xml:space="preserve">without prior written permission from the St Vincent de Paul Society. </t>
  </si>
  <si>
    <t xml:space="preserve">1) Single rate (also known as flat rate). </t>
    <phoneticPr fontId="5" type="noConversion"/>
  </si>
  <si>
    <t>2) Inclining block tariff (known as the "home saver plan") offers a lower consumption rate for the first 60kWh consumed per day.</t>
    <phoneticPr fontId="5" type="noConversion"/>
  </si>
  <si>
    <t>ETF (Y/N)</t>
    <phoneticPr fontId="5" type="noConversion"/>
  </si>
  <si>
    <t>Limited benefit period? (months)</t>
    <phoneticPr fontId="5" type="noConversion"/>
  </si>
  <si>
    <t>Other Direct Debit Incentive (y/n)</t>
    <phoneticPr fontId="5" type="noConversion"/>
  </si>
  <si>
    <t>Service fee ($ per month)</t>
    <phoneticPr fontId="5" type="noConversion"/>
  </si>
  <si>
    <t>Annual bill incl conditional discounts, FIT credit and GST</t>
    <phoneticPr fontId="5" type="noConversion"/>
  </si>
  <si>
    <t xml:space="preserve">workbook, it is suitable for use only as a research and advocacy tool. We do not accept any legal responsibility for errors or inaccuracies. </t>
  </si>
  <si>
    <t>Contract length (months)</t>
    <phoneticPr fontId="5" type="noConversion"/>
  </si>
  <si>
    <t>Annual bill incl conditional discounts (excl GST)</t>
    <phoneticPr fontId="5" type="noConversion"/>
  </si>
  <si>
    <t>TOU</t>
    <phoneticPr fontId="5" type="noConversion"/>
  </si>
  <si>
    <t>$50 -$400</t>
    <phoneticPr fontId="5" type="noConversion"/>
  </si>
  <si>
    <t>*As domestic electricity offers currently depend on the type of metering installed at the premises,</t>
  </si>
  <si>
    <t>2 years</t>
    <phoneticPr fontId="5" type="noConversion"/>
  </si>
  <si>
    <t>yes</t>
    <phoneticPr fontId="5" type="noConversion"/>
  </si>
  <si>
    <t>Energy Aus</t>
    <phoneticPr fontId="5" type="noConversion"/>
  </si>
  <si>
    <t>Supply charge</t>
  </si>
  <si>
    <t>Peak 2nd block</t>
    <phoneticPr fontId="5" type="noConversion"/>
  </si>
  <si>
    <t>Peak balance</t>
  </si>
  <si>
    <t>*Only Feed in Tariff (FIT) rates available to new customers have been included. Retailer funded FIT rates have been applied as per offer</t>
    <phoneticPr fontId="5" type="noConversion"/>
  </si>
  <si>
    <t>*All spreadsheets except the "Bills" spreadsheet are locked so that tariff rates cannot accidentally be changed.</t>
    <phoneticPr fontId="5" type="noConversion"/>
  </si>
  <si>
    <t>Assumptions:</t>
    <phoneticPr fontId="5" type="noConversion"/>
  </si>
  <si>
    <t xml:space="preserve">Flexi Saver </t>
    <phoneticPr fontId="5" type="noConversion"/>
  </si>
  <si>
    <t>Acknowledgement:</t>
    <phoneticPr fontId="5" type="noConversion"/>
  </si>
  <si>
    <t>intellectual property and subject to copyright. Apart from any use permitted under the Copyright Act 1968 (Ctw),</t>
    <phoneticPr fontId="0" type="noConversion"/>
  </si>
  <si>
    <t xml:space="preserve">This workbook is copyright. All works contained in it are St Vincent de Paul Society and Alviss Consulting’s  </t>
    <phoneticPr fontId="0" type="noConversion"/>
  </si>
  <si>
    <t>3) Controlled load (also known as dedicated circuit and controlled off-peak 1). Typically used for hot water and heating.</t>
    <phoneticPr fontId="5" type="noConversion"/>
  </si>
  <si>
    <t xml:space="preserve">relied upon. The workbook is not an appropriate substitute for obtaining an offer from an energy retailer.  The information presented </t>
  </si>
  <si>
    <t>N/A</t>
    <phoneticPr fontId="5" type="noConversion"/>
  </si>
  <si>
    <t>July 2016</t>
    <phoneticPr fontId="5" type="noConversion"/>
  </si>
  <si>
    <t>Tab colours:</t>
    <phoneticPr fontId="5" type="noConversion"/>
  </si>
  <si>
    <t>c/kWh - off-peak</t>
    <phoneticPr fontId="5" type="noConversion"/>
  </si>
  <si>
    <t>Annual FIT Credit</t>
    <phoneticPr fontId="5" type="noConversion"/>
  </si>
  <si>
    <t>Supply (c/day)</t>
  </si>
  <si>
    <t>Single or peak rate (c/kWh)</t>
    <phoneticPr fontId="5" type="noConversion"/>
  </si>
  <si>
    <t>block type</t>
  </si>
  <si>
    <t>Peak 1st step (kWh)</t>
    <phoneticPr fontId="5" type="noConversion"/>
  </si>
  <si>
    <t>Peak 2nd rate (c/kWh)</t>
    <phoneticPr fontId="5" type="noConversion"/>
  </si>
  <si>
    <t>POT discount off usage (%)</t>
    <phoneticPr fontId="5" type="noConversion"/>
  </si>
  <si>
    <t>DD discount off bill (%)</t>
    <phoneticPr fontId="5" type="noConversion"/>
  </si>
  <si>
    <t>DD discount off usage (%)</t>
    <phoneticPr fontId="5" type="noConversion"/>
  </si>
  <si>
    <t>E-bill discount off bill (%)</t>
    <phoneticPr fontId="5" type="noConversion"/>
  </si>
  <si>
    <t>E-bill discount off usage (%)</t>
    <phoneticPr fontId="5" type="noConversion"/>
  </si>
  <si>
    <t>Dual Fuel discount off bill (%)</t>
    <phoneticPr fontId="5" type="noConversion"/>
  </si>
  <si>
    <t>Dual Fuel discount off usage (%)</t>
    <phoneticPr fontId="5" type="noConversion"/>
  </si>
  <si>
    <t>This project has been funded by the Energy Consumers Australia (ECA) and its predecessor, the Consumer Advocacy Panel.</t>
    <phoneticPr fontId="5" type="noConversion"/>
  </si>
  <si>
    <t xml:space="preserve">no parts may be adapted, reproduced, copied, stored, distributed, published or put to commercial use </t>
    <phoneticPr fontId="0" type="noConversion"/>
  </si>
  <si>
    <t>Retailers:</t>
    <phoneticPr fontId="5" type="noConversion"/>
  </si>
  <si>
    <t>3) Time of Use (TOU). Three part tariff with Peak, shoulder and off-peak rates.</t>
    <phoneticPr fontId="5" type="noConversion"/>
  </si>
  <si>
    <t>*All daily inclining block thresholds have been multiplied by 91 to calculate quarterly bills.</t>
    <phoneticPr fontId="5" type="noConversion"/>
  </si>
  <si>
    <t xml:space="preserve">in the workbook is not provided as financial advice. While we have taken great care to ensure accuracy of the information provided in this </t>
  </si>
  <si>
    <t>no</t>
    <phoneticPr fontId="5" type="noConversion"/>
  </si>
  <si>
    <t>Additional discounts</t>
    <phoneticPr fontId="5" type="noConversion"/>
  </si>
  <si>
    <t>ActewAGL</t>
    <phoneticPr fontId="5" type="noConversion"/>
  </si>
  <si>
    <t>8% off bill</t>
    <phoneticPr fontId="5" type="noConversion"/>
  </si>
  <si>
    <t>If bundling services</t>
    <phoneticPr fontId="5" type="noConversion"/>
  </si>
  <si>
    <t>no</t>
    <phoneticPr fontId="5" type="noConversion"/>
  </si>
  <si>
    <t>$50 -$350</t>
    <phoneticPr fontId="5" type="noConversion"/>
  </si>
  <si>
    <t>Annual bill incl guaranteed discounts &amp; FIT credit (excl GST)</t>
    <phoneticPr fontId="5" type="noConversion"/>
  </si>
  <si>
    <t>A flat annual consumption has been assumed</t>
    <phoneticPr fontId="5" type="noConversion"/>
  </si>
  <si>
    <t xml:space="preserve">St Vincent de Paul Society, ACT Tariff-Tracking Project, Workbook 3: Electricity Market Offers </t>
    <phoneticPr fontId="5" type="noConversion"/>
  </si>
  <si>
    <t>3 years</t>
    <phoneticPr fontId="5" type="noConversion"/>
  </si>
  <si>
    <t>An annual generation capacity per kW installed of 1.801 MWh and an export rate of 55.1% for 3 kW systems and 27.3% for 1.5 kW systems</t>
    <phoneticPr fontId="5" type="noConversion"/>
  </si>
  <si>
    <t>For tariffs with controlled load, 30% of the total load has been allocated to the off-peak rate</t>
    <phoneticPr fontId="5" type="noConversion"/>
  </si>
  <si>
    <t>Other incentives</t>
    <phoneticPr fontId="5" type="noConversion"/>
  </si>
  <si>
    <t>Incentive type</t>
    <phoneticPr fontId="5" type="noConversion"/>
  </si>
  <si>
    <t>Electricity Retail Offers July 2013 (inc GST)</t>
    <phoneticPr fontId="5" type="noConversion"/>
  </si>
  <si>
    <t>Energy Australia</t>
    <phoneticPr fontId="5" type="noConversion"/>
  </si>
  <si>
    <t xml:space="preserve">Flat rate </t>
    <phoneticPr fontId="5" type="noConversion"/>
  </si>
  <si>
    <t>Late payment fee</t>
    <phoneticPr fontId="5" type="noConversion"/>
  </si>
  <si>
    <t xml:space="preserve">Other </t>
  </si>
  <si>
    <t>c/per day fixed charges</t>
  </si>
  <si>
    <t>c/kWh - first block</t>
  </si>
  <si>
    <t>*Quarterly consumption includes both electricity produced for own consumption and imported from grid</t>
    <phoneticPr fontId="5" type="noConversion"/>
  </si>
  <si>
    <t>ACT</t>
    <phoneticPr fontId="4" type="noConversion"/>
  </si>
  <si>
    <t>ActewAGL</t>
    <phoneticPr fontId="4" type="noConversion"/>
  </si>
  <si>
    <t>Single</t>
    <phoneticPr fontId="4" type="noConversion"/>
  </si>
  <si>
    <t>y</t>
    <phoneticPr fontId="4" type="noConversion"/>
  </si>
  <si>
    <t>n</t>
    <phoneticPr fontId="4" type="noConversion"/>
  </si>
  <si>
    <t>Home Plan Reward No Exit Fee</t>
    <phoneticPr fontId="4" type="noConversion"/>
  </si>
  <si>
    <t>ACT-Single 1</t>
    <phoneticPr fontId="4" type="noConversion"/>
  </si>
  <si>
    <t>net</t>
    <phoneticPr fontId="4" type="noConversion"/>
  </si>
  <si>
    <t>o</t>
    <phoneticPr fontId="4" type="noConversion"/>
  </si>
  <si>
    <t>N</t>
    <phoneticPr fontId="4" type="noConversion"/>
  </si>
  <si>
    <t>Account establishment fee may apply</t>
    <phoneticPr fontId="4" type="noConversion"/>
  </si>
  <si>
    <t>Changed</t>
    <phoneticPr fontId="4" type="noConversion"/>
  </si>
  <si>
    <t>EnergyAustralia</t>
    <phoneticPr fontId="4" type="noConversion"/>
  </si>
  <si>
    <t xml:space="preserve">Flexi Saver </t>
    <phoneticPr fontId="4" type="noConversion"/>
  </si>
  <si>
    <t>Welcome credit</t>
  </si>
  <si>
    <t>Single Inclining</t>
    <phoneticPr fontId="4" type="noConversion"/>
  </si>
  <si>
    <t>Home Saver Reward No Exit Fee</t>
    <phoneticPr fontId="4" type="noConversion"/>
  </si>
  <si>
    <t>quarter</t>
    <phoneticPr fontId="3" type="noConversion"/>
  </si>
  <si>
    <t>ACT-Single 2</t>
    <phoneticPr fontId="4" type="noConversion"/>
  </si>
  <si>
    <t>Controlled</t>
    <phoneticPr fontId="4" type="noConversion"/>
  </si>
  <si>
    <t>Home plan Reward No Exit Fee</t>
    <phoneticPr fontId="4" type="noConversion"/>
  </si>
  <si>
    <t>ACT-Controlled 1</t>
    <phoneticPr fontId="4" type="noConversion"/>
  </si>
  <si>
    <t>TOU</t>
    <phoneticPr fontId="4" type="noConversion"/>
  </si>
  <si>
    <t>ACT-TOU</t>
    <phoneticPr fontId="4" type="noConversion"/>
  </si>
  <si>
    <t>ACT-TOU</t>
    <phoneticPr fontId="4" type="noConversion"/>
  </si>
  <si>
    <t>ACT</t>
    <phoneticPr fontId="9" type="noConversion"/>
  </si>
  <si>
    <t>ActewAGL</t>
    <phoneticPr fontId="9" type="noConversion"/>
  </si>
  <si>
    <t>Single</t>
    <phoneticPr fontId="9" type="noConversion"/>
  </si>
  <si>
    <t>y</t>
    <phoneticPr fontId="9" type="noConversion"/>
  </si>
  <si>
    <t>so</t>
    <phoneticPr fontId="9" type="noConversion"/>
  </si>
  <si>
    <t>Origin Energy</t>
    <phoneticPr fontId="9" type="noConversion"/>
  </si>
  <si>
    <t>Solar Boost Plus</t>
  </si>
  <si>
    <t>ACT-Single 1</t>
    <phoneticPr fontId="9" type="noConversion"/>
  </si>
  <si>
    <t>n</t>
    <phoneticPr fontId="9" type="noConversion"/>
  </si>
  <si>
    <t>net</t>
    <phoneticPr fontId="9" type="noConversion"/>
  </si>
  <si>
    <t>o</t>
    <phoneticPr fontId="9" type="noConversion"/>
  </si>
  <si>
    <t>N</t>
    <phoneticPr fontId="9" type="noConversion"/>
  </si>
  <si>
    <t>The higher FIT rate only applies to the benefit period</t>
    <phoneticPr fontId="9" type="noConversion"/>
  </si>
  <si>
    <t>https://www.originenergy.com.au/content/dam/origin/residential/docs/energy-price-fact-sheets/act/15July2017/ACT_Electricity_Residential_ActewAGL_SolarBoostPlus12.PDF</t>
  </si>
  <si>
    <t>Changed</t>
  </si>
  <si>
    <t>quarter</t>
    <phoneticPr fontId="9" type="noConversion"/>
  </si>
  <si>
    <t>ACT-Single 2</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</si>
  <si>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</si>
  <si>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</si>
  <si>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</si>
  <si>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</si>
  <si>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</si>
  <si>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 xml:space="preserve">Workbook 5: Solar Market Offers </t>
  </si>
  <si>
    <r>
      <t xml:space="preserve">The reports and workbooks are available at </t>
    </r>
    <r>
      <rPr>
        <b/>
        <sz val="11"/>
        <rFont val="Arial"/>
        <family val="2"/>
      </rPr>
      <t>www.vinnies.org.au/energy</t>
    </r>
  </si>
  <si>
    <t>July 2017</t>
  </si>
  <si>
    <t>July 2018</t>
  </si>
  <si>
    <t>changes to domestic energy offers in the ACT. If regularly updated, this tariff-tracking tool can be used to:</t>
  </si>
  <si>
    <t>Account establishment fee may apply</t>
    <phoneticPr fontId="6" type="noConversion"/>
  </si>
  <si>
    <t>https://www.actewagl.com.au/product-and-services/prices/act-residential-prices.aspx</t>
  </si>
  <si>
    <t>Not available</t>
  </si>
  <si>
    <t>Unchanged</t>
  </si>
  <si>
    <t>The higher FIT rate only applies to the benefit period</t>
    <phoneticPr fontId="6" type="noConversion"/>
  </si>
  <si>
    <t>quarter</t>
    <phoneticPr fontId="6" type="noConversion"/>
  </si>
  <si>
    <t>http://www.actewagl.com.au/Product-and-services/Prices/ACT-residential-prices.aspx</t>
  </si>
  <si>
    <t>New</t>
  </si>
  <si>
    <t>July 2019</t>
  </si>
  <si>
    <t>Online sign up discount off bill (%)</t>
  </si>
  <si>
    <t>Online sign up discount off usage (%)</t>
  </si>
  <si>
    <t>Membership fee ($ per year)</t>
  </si>
  <si>
    <t>Home office product? (y/blank)</t>
  </si>
  <si>
    <t>Price fix (months)</t>
  </si>
  <si>
    <t>Price fix (date)</t>
  </si>
  <si>
    <t>ACT</t>
    <phoneticPr fontId="0" type="noConversion"/>
  </si>
  <si>
    <t>Evoenergy</t>
  </si>
  <si>
    <t>Single</t>
    <phoneticPr fontId="0" type="noConversion"/>
  </si>
  <si>
    <t>y</t>
    <phoneticPr fontId="0" type="noConversion"/>
  </si>
  <si>
    <t>n</t>
    <phoneticPr fontId="0" type="noConversion"/>
  </si>
  <si>
    <t>ActewAGL</t>
    <phoneticPr fontId="0" type="noConversion"/>
  </si>
  <si>
    <t>Pay on Time</t>
  </si>
  <si>
    <t xml:space="preserve"> </t>
  </si>
  <si>
    <t>ACT-Single 1</t>
    <phoneticPr fontId="0" type="noConversion"/>
  </si>
  <si>
    <t>o</t>
    <phoneticPr fontId="0" type="noConversion"/>
  </si>
  <si>
    <t>N</t>
    <phoneticPr fontId="0" type="noConversion"/>
  </si>
  <si>
    <t>Account establishment fee may apply.</t>
  </si>
  <si>
    <t>EnergyAustralia</t>
    <phoneticPr fontId="0" type="noConversion"/>
  </si>
  <si>
    <t>Total Plan Home</t>
  </si>
  <si>
    <t>https://www.energymadeeasy.gov.au/offer/900909?utm_source=EnergyAustralia&amp;utm_campaign=bpi-retailer&amp;utm_medium=retailer&amp;postcode=2603</t>
  </si>
  <si>
    <t>so</t>
  </si>
  <si>
    <t>Origin Energy</t>
    <phoneticPr fontId="0" type="noConversion"/>
  </si>
  <si>
    <t>Solar Boost</t>
  </si>
  <si>
    <t>N</t>
  </si>
  <si>
    <t>Red Energy</t>
    <phoneticPr fontId="0" type="noConversion"/>
  </si>
  <si>
    <t>Easy Saver</t>
  </si>
  <si>
    <t>Monthly billing</t>
  </si>
  <si>
    <t>https://www.energymadeeasy.gov.au/offer/942151/print</t>
  </si>
  <si>
    <t>Energy Locals</t>
    <phoneticPr fontId="4" type="noConversion"/>
  </si>
  <si>
    <t>Solar Promise</t>
  </si>
  <si>
    <t xml:space="preserve">The higher 16c FIT rate for first 15 kWh/day only. </t>
  </si>
  <si>
    <t>https://www.energymadeeasy.gov.au/offer/974259?postcode=2603</t>
  </si>
  <si>
    <t>Single</t>
  </si>
  <si>
    <t>y</t>
  </si>
  <si>
    <t>Powerclub</t>
  </si>
  <si>
    <t>Powerbank Solar</t>
  </si>
  <si>
    <t>https://www.energymadeeasy.gov.au/offer/959273?utm_source=Powerclub&amp;utm_campaign=bpi-retailer&amp;utm_medium=retailer</t>
  </si>
  <si>
    <t>Single Inclining</t>
  </si>
  <si>
    <t xml:space="preserve">Pay on Time </t>
  </si>
  <si>
    <t>quarter</t>
    <phoneticPr fontId="0" type="noConversion"/>
  </si>
  <si>
    <t>ACT-Single 2</t>
    <phoneticPr fontId="0" type="noConversion"/>
  </si>
  <si>
    <t>Controlled</t>
    <phoneticPr fontId="0" type="noConversion"/>
  </si>
  <si>
    <t>ACT-Controlled 1</t>
    <phoneticPr fontId="0" type="noConversion"/>
  </si>
  <si>
    <t>https://www.energymadeeasy.gov.au/offer/900915?utm_source=EnergyAustralia&amp;utm_campaign=bpi-retailer&amp;utm_medium=retailer&amp;postcode=2603</t>
  </si>
  <si>
    <t>https://www.energymadeeasy.gov.au/offer/942152/print</t>
  </si>
  <si>
    <t>TOU</t>
    <phoneticPr fontId="0" type="noConversion"/>
  </si>
  <si>
    <t>ACT-TOU</t>
    <phoneticPr fontId="0" type="noConversion"/>
  </si>
  <si>
    <t>https://www.energymadeeasy.gov.au/offer/901416?utm_source=EnergyAustralia&amp;utm_campaign=bpi-retailer&amp;utm_medium=retailer&amp;postcode=2603</t>
  </si>
  <si>
    <t>https://www.energymadeeasy.gov.au/offer/942353/print</t>
  </si>
  <si>
    <t>Red Energy</t>
  </si>
  <si>
    <t>Minimum monthly demand charged (kW)</t>
    <phoneticPr fontId="4" type="noConversion"/>
  </si>
  <si>
    <t>Peak or single Capacity charge  (c/kVA/day)</t>
  </si>
  <si>
    <t>Off-peak Capacity charge  (c/kVA/day)</t>
  </si>
  <si>
    <t>Peak FIT (c/kWh)</t>
    <phoneticPr fontId="4" type="noConversion"/>
  </si>
  <si>
    <t>Off-peak FIT (c/kWh)</t>
    <phoneticPr fontId="4" type="noConversion"/>
  </si>
  <si>
    <t>Shoulder FIT (c/kWh)</t>
    <phoneticPr fontId="4" type="noConversion"/>
  </si>
  <si>
    <t>Annual bill (incl GST)</t>
  </si>
  <si>
    <t>Type of discount</t>
  </si>
  <si>
    <t>Discount is inclusive or exclusive of GST</t>
  </si>
  <si>
    <t>July 2020</t>
  </si>
  <si>
    <t>Energy Locals</t>
    <phoneticPr fontId="0" type="noConversion"/>
  </si>
  <si>
    <t>Local Saver</t>
  </si>
  <si>
    <t>16 cents FIT rate for first 10kWh/day, 10 cents after</t>
  </si>
  <si>
    <t>https://www.energymadeeasy.gov.au/plan?id=LCL32939MRE&amp;postcode=2603</t>
  </si>
  <si>
    <t>https://www.energymadeeasy.gov.au/plan?id=LCL32931MRE&amp;postcode=2603</t>
  </si>
  <si>
    <t>https://www.energymadeeasy.gov.au/plan?id=LCL32994MRE&amp;postcode=2603</t>
  </si>
  <si>
    <t>https://www.energymadeeasy.gov.au/plan?id=ENE19215MRE&amp;utm_source=EnergyAustralia&amp;utm_campaign=bpi-retailer&amp;utm_medium=retailer&amp;postcode=2603</t>
  </si>
  <si>
    <t>https://www.energymadeeasy.gov.au/plan?id=ENE19231MRE&amp;utm_source=EnergyAustralia&amp;utm_campaign=bpi-retailer&amp;utm_medium=retailer&amp;postcode=2603</t>
  </si>
  <si>
    <t>https://www.energymadeeasy.gov.au/plan?id=ENE19291MRE&amp;utm_source=EnergyAustralia&amp;utm_campaign=bpi-retailer&amp;utm_medium=retailer&amp;postcode=2603</t>
  </si>
  <si>
    <t>11c/kWh for first 12 months, then 7c/kWh</t>
  </si>
  <si>
    <t>https://www.energymadeeasy.gov.au/plan?id=ORI68689MRE1&amp;utm_source=Origin%20Energy&amp;utm_campaign=bpi-retailer&amp;utm_medium=retailer&amp;postcode=2600</t>
  </si>
  <si>
    <t>https://www.energymadeeasy.gov.au/plan?id=ORI68685MRE1&amp;utm_source=Origin%20Energy&amp;utm_campaign=bpi-retailer&amp;utm_medium=retailer&amp;postcode=2600</t>
  </si>
  <si>
    <t>Controlled</t>
  </si>
  <si>
    <t>ACT-Controlled 1</t>
  </si>
  <si>
    <t>Max Saver</t>
  </si>
  <si>
    <t>Requires online sign up</t>
  </si>
  <si>
    <t>https://www.energymadeeasy.gov.au/plan?id=ORI25719MRE3&amp;utm_source=Origin%20Energy&amp;utm_campaign=bpi-retailer&amp;utm_medium=retailer&amp;postcode=2600</t>
  </si>
  <si>
    <t>Powerclub</t>
    <phoneticPr fontId="0" type="noConversion"/>
  </si>
  <si>
    <t>Powerbank Home Solar</t>
  </si>
  <si>
    <t>A refundable contribution to your powerbank of $40 per 1,000 kWh of annual consumption must be paid.</t>
  </si>
  <si>
    <t>https://www.energymadeeasy.gov.au/plan?utm_source=Powerclub&amp;utm_campaign=bpi-retailer&amp;utm_medium=retailer&amp;id=PWR93253MRE1&amp;postcode=2600</t>
  </si>
  <si>
    <t>TOU</t>
  </si>
  <si>
    <t>ACT-TOU</t>
  </si>
  <si>
    <t>https://www.energymadeeasy.gov.au/plan?utm_source=Powerclub&amp;utm_campaign=bpi-retailer&amp;utm_medium=retailer&amp;id=PWR93257MRE1&amp;postcode=2600</t>
  </si>
  <si>
    <t>Living Energy Saver</t>
  </si>
  <si>
    <t>https://www.energymadeeasy.gov.au/plan?id=RED21811MRE&amp;postcode=2603</t>
  </si>
  <si>
    <t>https://www.energymadeeasy.gov.au/plan?id=RED21810MRE&amp;postcode=2603</t>
  </si>
  <si>
    <t>https://www.energymadeeasy.gov.au/plan?id=RED21835MRE&amp;postcode=2603</t>
  </si>
  <si>
    <t xml:space="preserve">Max. Reward </t>
  </si>
  <si>
    <t>Home plan Saver</t>
  </si>
  <si>
    <t>https://www.energymadeeasy.gov.au/plan?id=ACT62937SRE4&amp;utm_source=ActewAGL&amp;utm_campaign=bpi-retailer&amp;utm_medium=retailer&amp;postcode=2600</t>
  </si>
  <si>
    <t>Peak 2nd block</t>
  </si>
  <si>
    <t>July 2021</t>
  </si>
  <si>
    <t>Solar Advantage</t>
  </si>
  <si>
    <t>https://www.energymadeeasy.gov.au/plan?id=ACT107300MRE2&amp;utm_source=ActewAGL&amp;utm_campaign=bpi-retailer&amp;utm_medium=retailer&amp;postcode=2600</t>
  </si>
  <si>
    <t>You may be eligible for our PowerResponse program, and by participating in events, you may be eligible for rebates which may change over time.</t>
  </si>
  <si>
    <t>https://www.energymadeeasy.gov.au/plan?id=ORI68689MRE3&amp;utm_source=Origin%20Energy&amp;utm_campaign=bpi-retailer&amp;utm_medium=retailer&amp;postcode=2600</t>
  </si>
  <si>
    <t>Online Member</t>
  </si>
  <si>
    <t>Direct debit only.</t>
  </si>
  <si>
    <t>https://www.energymadeeasy.gov.au/plan?id=PWR258975MRE1&amp;utm_source=Powerclub&amp;utm_campaign=bpi-retailer&amp;utm_medium=retailer&amp;postcode=2600</t>
  </si>
  <si>
    <t>Amber Electric</t>
  </si>
  <si>
    <t>Amber Plan</t>
  </si>
  <si>
    <t>Available to smart meter customers only. Direct debit.</t>
  </si>
  <si>
    <t>https://amber-website-documents.s3.ap-southeast-2.amazonaws.com/Basic+Plan+Information+Documents/2021-07-01/Evoenergy_AMB259994MRE1_ACT_CZ7.pdf</t>
  </si>
  <si>
    <t>Radian Energy</t>
  </si>
  <si>
    <t>Grid to Go</t>
  </si>
  <si>
    <t>n</t>
  </si>
  <si>
    <t>https://www.energymadeeasy.gov.au/plan?id=RAD213070SRE&amp;postcode=2603&amp;utm_source=Radian%20Energy&amp;utm_campaign=bpi-retailer&amp;utm_medium=retailer</t>
  </si>
  <si>
    <t>First kWh per quarter</t>
  </si>
  <si>
    <t>First # months</t>
  </si>
  <si>
    <t>2nd FIT (c/kWh)</t>
  </si>
  <si>
    <t>https://www.energymadeeasy.gov.au/plan?id=ACT107301MRE2&amp;utm_source=ActewAGL&amp;utm_campaign=bpi-retailer&amp;utm_medium=retailer&amp;postcode=2600</t>
  </si>
  <si>
    <t>https://amber-website-documents.s3.ap-southeast-2.amazonaws.com/Basic+Plan+Information+Documents/2021-07-01/Evoenergy%2BCL_AMB259995MRE1_ACT_CZ7.pdf</t>
  </si>
  <si>
    <t>https://www.energymadeeasy.gov.au/plan?id=RAD213073SRE4&amp;postcode=2603</t>
  </si>
  <si>
    <t>https://www.energymadeeasy.gov.au/plan?id=ACT107302MRE2&amp;utm_source=ActewAGL&amp;utm_campaign=bpi-retailer&amp;utm_medium=retailer&amp;postcode=2600</t>
  </si>
  <si>
    <t>https://www.energymadeeasy.gov.au/plan?id=PWR259061MRE1&amp;utm_source=Powerclub&amp;utm_campaign=bpi-retailer&amp;utm_medium=retailer&amp;postcode=2600</t>
  </si>
  <si>
    <t>https://www.energymadeeasy.gov.au/plan?id=RAD213074SRE4&amp;postcode=2603</t>
  </si>
  <si>
    <t xml:space="preserve">Report 1: ACT Energy Prices July 2009- July 2013 (September 2013).  </t>
    <phoneticPr fontId="3" type="noConversion"/>
  </si>
  <si>
    <t xml:space="preserve">Report 2: ACT Energy Prices July 2013- July 2014, An update report (July 2014).  </t>
    <phoneticPr fontId="3" type="noConversion"/>
  </si>
  <si>
    <t xml:space="preserve">Report 3: ACT Energy Prices July 2014- July 2015, An update report (July 2015).  </t>
    <phoneticPr fontId="3" type="noConversion"/>
  </si>
  <si>
    <t xml:space="preserve">Report 4: ACT Energy Prices July 2015- July 2016, An update report (July 2016).  </t>
    <phoneticPr fontId="3" type="noConversion"/>
  </si>
  <si>
    <t xml:space="preserve">Report 5: ACT Energy Prices July 2017, An update report (August 2017).  </t>
  </si>
  <si>
    <t xml:space="preserve">Report 6: ACT Energy Prices July 2018, An update report (July 2018).  </t>
  </si>
  <si>
    <t>Report 7: ACT Energy Prices July 2019, An update report (July 2019).</t>
  </si>
  <si>
    <t>Report 8: ACT Energy Prices July 2020, An update report (July 2020).</t>
  </si>
  <si>
    <t>Report 9: ACT Energy Prices July 2021, An update report (August 2021).</t>
  </si>
  <si>
    <t>Annual FIT Credit ($)</t>
    <phoneticPr fontId="8" type="noConversion"/>
  </si>
  <si>
    <t>July 2022</t>
  </si>
  <si>
    <t>Report 10: ACT Energy Prices July 2022, An update report (August 2022).</t>
  </si>
  <si>
    <t>Solar Plus</t>
  </si>
  <si>
    <t>https://www.energymadeeasy.gov.au/plan?id=ACT304942MRE4&amp;utm_source=ActewAGL&amp;utm_campaign=bpi-retailer&amp;utm_medium=retailer&amp;postcode=2600</t>
  </si>
  <si>
    <t>EnergyAustralia</t>
  </si>
  <si>
    <t>Solar Max</t>
  </si>
  <si>
    <t>$25 online sign-up credit</t>
  </si>
  <si>
    <t>Account credit</t>
  </si>
  <si>
    <t>Offer available to eligible residential customers who sign up to an electricity or gas offer via energyaustralia.com.au. Limit of one $50 credit per new energy account, per customer address.  You may be eligible for our PowerResponse program, and by participating in events, you may be eligible for rebates which may change over time.</t>
  </si>
  <si>
    <t>https://www.energymadeeasy.gov.au/plan?id=ENE360419MR&amp;utm_source=EnergyAustralia&amp;utm_campaign=bpi-retailer&amp;utm_medium=retailer&amp;postcode=2603</t>
  </si>
  <si>
    <t>annual</t>
  </si>
  <si>
    <t>https://www.energymadeeasy.gov.au/plan?id=ACT304943MRE4&amp;utm_source=ActewAGL&amp;utm_campaign=bpi-retailer&amp;utm_medium=retailer&amp;postcode=2600</t>
  </si>
  <si>
    <t>https://www.energymadeeasy.gov.au/plan?id=ACT304944MRE4&amp;utm_source=ActewAGL&amp;utm_campaign=bpi-retailer&amp;utm_medium=retailer&amp;postcode=2600</t>
  </si>
  <si>
    <t>July 2023</t>
  </si>
  <si>
    <t>*Electricity solar market offers as of July 2016 - July 2023.</t>
  </si>
  <si>
    <t xml:space="preserve">*Analysis of solar bills as of July 2016 - July 2023. </t>
  </si>
  <si>
    <t xml:space="preserve">The ACT Tariff-Tracking project has produced 5 workbooks and 11 reports: </t>
  </si>
  <si>
    <t>Workbook 1: Regulated electricity offers July 2009 - July 2023</t>
  </si>
  <si>
    <t>Workbook 2: Gas offers July 2009 - July 2023</t>
  </si>
  <si>
    <t>Workbook 3: Published electricity market offers post July 2013 - July 2023</t>
  </si>
  <si>
    <t>Workbook 4: Published gas market offers post July 2013 - July 2023</t>
  </si>
  <si>
    <t>Workbook 5: Solar market offers as of July 2016  - July 2023</t>
  </si>
  <si>
    <t>Report 11: ACT Energy Prices July 2023, An update report (August 2023).</t>
  </si>
  <si>
    <t>Solar Saver</t>
  </si>
  <si>
    <t>https://www.energymadeeasy.gov.au/plan?id=ACT657778MRE1&amp;utm_source=ActewAGL&amp;utm_campaign=bpi-retailer&amp;utm_medium=retailer&amp;postcode=2600</t>
  </si>
  <si>
    <t>https://www.energymadeeasy.gov.au/plan?id=ACT657779MRE1&amp;utm_source=ActewAGL&amp;utm_campaign=bpi-retailer&amp;utm_medium=retailer&amp;postcode=2600</t>
  </si>
  <si>
    <t>https://www.energymadeeasy.gov.au/plan?id=ACT657781MRE1&amp;utm_source=ActewAGL&amp;utm_campaign=bpi-retailer&amp;utm_medium=retailer&amp;postcode=2600</t>
  </si>
  <si>
    <t>Flexi Plan</t>
  </si>
  <si>
    <t>https://www.energymadeeasy.gov.au/plan?id=ENE379834MRE14&amp;postcode=2603</t>
  </si>
  <si>
    <t>https://www.energymadeeasy.gov.au/plan?id=ENE379830MRE&amp;utm_source=EnergyAustralia&amp;utm_campaign=bpi-retailer&amp;utm_medium=retailer&amp;postcode=2603</t>
  </si>
  <si>
    <t>https://www.energymadeeasy.gov.au/plan?id=ENE379840MRE14&amp;postcode=2603</t>
  </si>
  <si>
    <t>https://www.energymadeeasy.gov.au/plan?id=ORI539845MRE4&amp;utm_source=Origin%20Energy&amp;utm_campaign=bpi-retailer&amp;utm_medium=retailer&amp;postcode=2600</t>
  </si>
  <si>
    <t>https://www.energymadeeasy.gov.au/plan?id=ORI539797MRE4&amp;utm_source=Origin%20Energy&amp;utm_campaign=bpi-retailer&amp;utm_medium=retailer&amp;postcode=2600</t>
  </si>
  <si>
    <t>https://www.energymadeeasy.gov.au/plan?id=ORI539820MRE4&amp;utm_source=Origin%20Energy&amp;utm_campaign=bpi-retailer&amp;utm_medium=retailer&amp;postcode=2600</t>
  </si>
  <si>
    <t>https://www.energymadeeasy.gov.au/plan?id=RED552185MRE3&amp;postcode=2603</t>
  </si>
  <si>
    <t>https://www.energymadeeasy.gov.au/plan?id=RED552187MRE&amp;postcode=2603</t>
  </si>
  <si>
    <t>https://www.energymadeeasy.gov.au/plan?id=RED552186MRE3&amp;postcode=2603</t>
  </si>
  <si>
    <t>NEW</t>
  </si>
  <si>
    <t>Energy Locals</t>
  </si>
  <si>
    <t>Local Member</t>
  </si>
  <si>
    <t>https://www.energymadeeasy.gov.au/plan?id=LCL569301MRE2&amp;postcode=2603</t>
  </si>
  <si>
    <t>Nectr</t>
  </si>
  <si>
    <t>100% Clean</t>
  </si>
  <si>
    <t>https://www.energymadeeasy.gov.au/plan?id=NTR646360MRE1&amp;postcode=2603</t>
  </si>
  <si>
    <t>https://www.energymadeeasy.gov.au/plan?id=LCL569307MRE2&amp;postcode=2603</t>
  </si>
  <si>
    <t>https://www.energymadeeasy.gov.au/plan?id=NTR646369MRE1&amp;postcode=2603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</si>
</sst>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0.0"/>
  </numFmts>
  <fonts count="31" x14ac:knownFonts="1">
    <font>
      <sz val="10"/>
      <name val="Verdana"/>
    </font>
    <font>
      <b/>
      <sz val="10"/>
      <name val="Verdana"/>
      <family val="2"/>
    </font>
    <font>
      <b/>
      <sz val="10"/>
      <name val="Verdana"/>
      <family val="2"/>
    </font>
    <font>
      <sz val="10"/>
      <name val="Verdana"/>
      <family val="2"/>
    </font>
    <font>
      <b/>
      <sz val="10"/>
      <name val="Verdana"/>
      <family val="2"/>
    </font>
    <font>
      <sz val="8"/>
      <name val="Verdana"/>
      <family val="2"/>
    </font>
    <font>
      <b/>
      <sz val="11"/>
      <color indexed="12"/>
      <name val="Arial"/>
      <family val="2"/>
    </font>
    <font>
      <b/>
      <sz val="10"/>
      <name val="Arial"/>
      <family val="2"/>
    </font>
    <font>
      <b/>
      <sz val="11"/>
      <color indexed="57"/>
      <name val="Arial"/>
      <family val="2"/>
    </font>
    <font>
      <b/>
      <sz val="10"/>
      <color indexed="45"/>
      <name val="Arial"/>
      <family val="2"/>
    </font>
    <font>
      <b/>
      <sz val="11"/>
      <name val="Arial"/>
      <family val="2"/>
    </font>
    <font>
      <sz val="11"/>
      <name val="Arial"/>
      <family val="2"/>
    </font>
    <font>
      <b/>
      <sz val="10"/>
      <color indexed="10"/>
      <name val="Arial"/>
      <family val="2"/>
    </font>
    <font>
      <sz val="10"/>
      <name val="Arial"/>
      <family val="2"/>
    </font>
    <font>
      <sz val="10"/>
      <color indexed="18"/>
      <name val="Arial"/>
      <family val="2"/>
    </font>
    <font>
      <b/>
      <sz val="10"/>
      <color indexed="17"/>
      <name val="Arial"/>
      <family val="2"/>
    </font>
    <font>
      <b/>
      <sz val="9"/>
      <color indexed="81"/>
      <name val="Verdana"/>
      <family val="2"/>
    </font>
    <font>
      <sz val="9"/>
      <color indexed="81"/>
      <name val="Verdana"/>
      <family val="2"/>
    </font>
    <font>
      <b/>
      <sz val="11"/>
      <color indexed="18"/>
      <name val="Arial"/>
      <family val="2"/>
    </font>
    <font>
      <sz val="12"/>
      <name val="Calibri"/>
      <family val="2"/>
    </font>
    <font>
      <sz val="10"/>
      <name val="Verdana"/>
      <family val="2"/>
    </font>
    <font>
      <b/>
      <sz val="9"/>
      <color rgb="FF000000"/>
      <name val="Verdana"/>
      <family val="2"/>
    </font>
    <font>
      <sz val="9"/>
      <color rgb="FF000000"/>
      <name val="Verdana"/>
      <family val="2"/>
    </font>
    <font>
      <u/>
      <sz val="10"/>
      <color theme="10"/>
      <name val="Verdana"/>
      <family val="2"/>
    </font>
    <font>
      <sz val="10"/>
      <color indexed="8"/>
      <name val="Verdana"/>
      <family val="2"/>
    </font>
    <font>
      <sz val="10"/>
      <color rgb="FF000000"/>
      <name val="Tahoma"/>
      <family val="2"/>
    </font>
    <font>
      <b/>
      <sz val="10"/>
      <color rgb="FF000000"/>
      <name val="Tahoma"/>
      <family val="2"/>
    </font>
    <font>
      <sz val="10"/>
      <color theme="1"/>
      <name val="Verdana"/>
      <family val="2"/>
    </font>
    <font>
      <b/>
      <sz val="10"/>
      <color theme="1"/>
      <name val="Verdana"/>
      <family val="2"/>
    </font>
    <font>
      <sz val="10"/>
      <color theme="0"/>
      <name val="Verdana"/>
      <family val="2"/>
    </font>
    <font>
      <sz val="10"/>
      <color theme="0"/>
      <name val="Arial"/>
      <family val="2"/>
    </font>
  </fonts>
  <fills count="3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9"/>
        <bgColor indexed="64"/>
      </patternFill>
    </fill>
    <fill>
      <patternFill patternType="solid">
        <fgColor indexed="42"/>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indexed="43"/>
        <bgColor indexed="64"/>
      </patternFill>
    </fill>
    <fill>
      <patternFill patternType="solid">
        <fgColor theme="9"/>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A9A6"/>
        <bgColor indexed="64"/>
      </patternFill>
    </fill>
    <fill>
      <patternFill patternType="solid">
        <fgColor rgb="FF92D050"/>
        <bgColor indexed="64"/>
      </patternFill>
    </fill>
    <fill>
      <patternFill patternType="solid">
        <fgColor theme="0"/>
        <bgColor indexed="64"/>
      </patternFill>
    </fill>
    <fill>
      <patternFill patternType="solid">
        <fgColor indexed="49"/>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theme="0" tint="-0.499984740745262"/>
        <bgColor indexed="64"/>
      </patternFill>
    </fill>
  </fills>
  <borders count="31">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right style="medium">
        <color auto="1"/>
      </right>
      <top style="thin">
        <color auto="1"/>
      </top>
      <bottom style="thin">
        <color indexed="64"/>
      </bottom>
      <diagonal/>
    </border>
  </borders>
  <cellStyleXfs count="4">
    <xf numFmtId="0" fontId="0" fillId="0" borderId="0"/>
    <xf numFmtId="0" fontId="23" fillId="0" borderId="0" applyNumberFormat="0" applyFill="0" applyBorder="0" applyAlignment="0" applyProtection="0"/>
    <xf numFmtId="0" fontId="3" fillId="0" borderId="0"/>
    <xf numFmtId="0" fontId="13" fillId="0" borderId="0"/>
  </cellStyleXfs>
  <cellXfs count="308">
    <xf numFmtId="0" fontId="0" fillId="0" borderId="0" xfId="0"/>
    <xf numFmtId="0" fontId="6" fillId="2" borderId="0" xfId="0" applyFont="1" applyFill="1"/>
    <xf numFmtId="0" fontId="7" fillId="2" borderId="0" xfId="0" applyFont="1" applyFill="1"/>
    <xf numFmtId="0" fontId="7" fillId="0" borderId="0" xfId="0" applyFont="1"/>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6" xfId="0" applyFont="1" applyFill="1" applyBorder="1"/>
    <xf numFmtId="0" fontId="13" fillId="2" borderId="7" xfId="0" applyFont="1" applyFill="1" applyBorder="1"/>
    <xf numFmtId="0" fontId="13" fillId="2" borderId="8" xfId="0" applyFont="1" applyFill="1" applyBorder="1"/>
    <xf numFmtId="0" fontId="13" fillId="2" borderId="0" xfId="0" applyFont="1" applyFill="1"/>
    <xf numFmtId="0" fontId="13" fillId="2" borderId="4" xfId="0" applyFont="1" applyFill="1" applyBorder="1"/>
    <xf numFmtId="0" fontId="13" fillId="2" borderId="5" xfId="0" applyFont="1" applyFill="1" applyBorder="1"/>
    <xf numFmtId="0" fontId="13" fillId="2" borderId="1" xfId="0" applyFont="1" applyFill="1" applyBorder="1"/>
    <xf numFmtId="0" fontId="13" fillId="2" borderId="2" xfId="0" applyFont="1" applyFill="1" applyBorder="1"/>
    <xf numFmtId="0" fontId="13" fillId="2" borderId="3" xfId="0" applyFont="1" applyFill="1" applyBorder="1"/>
    <xf numFmtId="0" fontId="0" fillId="2" borderId="7" xfId="0" applyFill="1" applyBorder="1"/>
    <xf numFmtId="0" fontId="0" fillId="2" borderId="8" xfId="0" applyFill="1" applyBorder="1"/>
    <xf numFmtId="0" fontId="11" fillId="0" borderId="0" xfId="0" applyFont="1"/>
    <xf numFmtId="0" fontId="0" fillId="2" borderId="5" xfId="0" applyFill="1" applyBorder="1"/>
    <xf numFmtId="0" fontId="0" fillId="0" borderId="5" xfId="0" applyBorder="1"/>
    <xf numFmtId="0" fontId="0" fillId="2" borderId="2" xfId="0" applyFill="1" applyBorder="1"/>
    <xf numFmtId="0" fontId="0" fillId="2" borderId="3" xfId="0" applyFill="1" applyBorder="1"/>
    <xf numFmtId="0" fontId="13" fillId="0" borderId="0" xfId="0" applyFont="1"/>
    <xf numFmtId="0" fontId="14" fillId="5" borderId="9" xfId="0" applyFont="1" applyFill="1" applyBorder="1"/>
    <xf numFmtId="0" fontId="12" fillId="0" borderId="10" xfId="0" applyFont="1" applyBorder="1"/>
    <xf numFmtId="0" fontId="0" fillId="0" borderId="10" xfId="0" applyBorder="1"/>
    <xf numFmtId="0" fontId="0" fillId="4" borderId="10" xfId="0" applyFill="1" applyBorder="1"/>
    <xf numFmtId="0" fontId="0" fillId="4" borderId="0" xfId="0" applyFill="1"/>
    <xf numFmtId="0" fontId="12" fillId="0" borderId="0" xfId="0" applyFont="1"/>
    <xf numFmtId="0" fontId="15" fillId="0" borderId="0" xfId="0" applyFont="1"/>
    <xf numFmtId="0" fontId="14" fillId="0" borderId="0" xfId="0" applyFont="1"/>
    <xf numFmtId="0" fontId="0" fillId="5" borderId="0" xfId="0" applyFill="1"/>
    <xf numFmtId="0" fontId="0" fillId="0" borderId="9" xfId="0" applyBorder="1"/>
    <xf numFmtId="0" fontId="0" fillId="0" borderId="0" xfId="0" applyAlignment="1">
      <alignment horizontal="right"/>
    </xf>
    <xf numFmtId="0" fontId="0" fillId="0" borderId="9" xfId="0" applyBorder="1" applyAlignment="1">
      <alignment horizontal="right"/>
    </xf>
    <xf numFmtId="0" fontId="0" fillId="0" borderId="0" xfId="0" applyProtection="1">
      <protection hidden="1"/>
    </xf>
    <xf numFmtId="0" fontId="14" fillId="0" borderId="0" xfId="0" applyFont="1" applyProtection="1">
      <protection hidden="1"/>
    </xf>
    <xf numFmtId="0" fontId="7" fillId="4" borderId="0" xfId="0" applyFont="1" applyFill="1" applyProtection="1">
      <protection hidden="1"/>
    </xf>
    <xf numFmtId="0" fontId="15" fillId="0" borderId="0" xfId="0" applyFont="1" applyProtection="1">
      <protection hidden="1"/>
    </xf>
    <xf numFmtId="0" fontId="0" fillId="5" borderId="0" xfId="0" applyFill="1" applyProtection="1">
      <protection hidden="1"/>
    </xf>
    <xf numFmtId="3" fontId="7" fillId="4" borderId="0" xfId="0" applyNumberFormat="1" applyFont="1" applyFill="1" applyProtection="1">
      <protection hidden="1"/>
    </xf>
    <xf numFmtId="0" fontId="0" fillId="0" borderId="0" xfId="0" applyAlignment="1" applyProtection="1">
      <alignment horizontal="left"/>
      <protection hidden="1"/>
    </xf>
    <xf numFmtId="6" fontId="0" fillId="0" borderId="0" xfId="0" applyNumberFormat="1" applyAlignment="1" applyProtection="1">
      <alignment horizontal="left"/>
      <protection hidden="1"/>
    </xf>
    <xf numFmtId="49" fontId="0" fillId="0" borderId="0" xfId="0" applyNumberFormat="1" applyProtection="1">
      <protection hidden="1"/>
    </xf>
    <xf numFmtId="0" fontId="11" fillId="2" borderId="0" xfId="0" applyFont="1" applyFill="1" applyProtection="1">
      <protection hidden="1"/>
    </xf>
    <xf numFmtId="0" fontId="0" fillId="6" borderId="0" xfId="0" applyFill="1" applyProtection="1">
      <protection hidden="1"/>
    </xf>
    <xf numFmtId="0" fontId="0" fillId="6" borderId="0" xfId="0" applyFill="1"/>
    <xf numFmtId="0" fontId="14" fillId="6" borderId="9" xfId="0" applyFont="1" applyFill="1" applyBorder="1"/>
    <xf numFmtId="0" fontId="10" fillId="2" borderId="0" xfId="0" applyFont="1" applyFill="1" applyProtection="1">
      <protection hidden="1"/>
    </xf>
    <xf numFmtId="0" fontId="0" fillId="2" borderId="0" xfId="0" applyFill="1" applyProtection="1">
      <protection hidden="1"/>
    </xf>
    <xf numFmtId="0" fontId="0" fillId="7" borderId="0" xfId="0" applyFill="1" applyAlignment="1">
      <alignment horizontal="right" wrapText="1"/>
    </xf>
    <xf numFmtId="0" fontId="0" fillId="7" borderId="0" xfId="0" applyFill="1" applyAlignment="1">
      <alignment horizontal="left" wrapText="1"/>
    </xf>
    <xf numFmtId="0" fontId="0" fillId="7" borderId="0" xfId="0" applyFill="1" applyAlignment="1">
      <alignment wrapText="1"/>
    </xf>
    <xf numFmtId="0" fontId="0" fillId="7" borderId="0" xfId="0" applyFill="1" applyAlignment="1">
      <alignment horizontal="center" wrapText="1"/>
    </xf>
    <xf numFmtId="0" fontId="0" fillId="7" borderId="16" xfId="0" applyFill="1" applyBorder="1" applyAlignment="1">
      <alignment wrapText="1"/>
    </xf>
    <xf numFmtId="0" fontId="0" fillId="4" borderId="12" xfId="0" applyFill="1" applyBorder="1" applyAlignment="1">
      <alignment horizontal="right" wrapText="1"/>
    </xf>
    <xf numFmtId="0" fontId="0" fillId="8" borderId="0" xfId="0" applyFill="1" applyAlignment="1">
      <alignment horizontal="right" wrapText="1"/>
    </xf>
    <xf numFmtId="0" fontId="0" fillId="8" borderId="16" xfId="0" applyFill="1" applyBorder="1" applyAlignment="1">
      <alignment horizontal="right" wrapText="1"/>
    </xf>
    <xf numFmtId="0" fontId="0" fillId="6" borderId="0" xfId="0" applyFill="1" applyAlignment="1">
      <alignment horizontal="right" wrapText="1"/>
    </xf>
    <xf numFmtId="0" fontId="0" fillId="9" borderId="17" xfId="0" applyFill="1" applyBorder="1" applyAlignment="1">
      <alignment horizontal="right" wrapText="1"/>
    </xf>
    <xf numFmtId="0" fontId="0" fillId="9" borderId="0" xfId="0" applyFill="1" applyAlignment="1">
      <alignment horizontal="right" wrapText="1"/>
    </xf>
    <xf numFmtId="0" fontId="0" fillId="10" borderId="0" xfId="0" applyFill="1" applyAlignment="1">
      <alignment horizontal="right" wrapText="1"/>
    </xf>
    <xf numFmtId="0" fontId="0" fillId="11" borderId="12" xfId="0" applyFill="1" applyBorder="1" applyAlignment="1">
      <alignment horizontal="right" wrapText="1"/>
    </xf>
    <xf numFmtId="0" fontId="0" fillId="12" borderId="0" xfId="0" applyFill="1" applyAlignment="1">
      <alignment horizontal="center" wrapText="1"/>
    </xf>
    <xf numFmtId="0" fontId="0" fillId="12" borderId="16" xfId="0" applyFill="1" applyBorder="1" applyAlignment="1">
      <alignment horizontal="center" wrapText="1"/>
    </xf>
    <xf numFmtId="0" fontId="0" fillId="13" borderId="0" xfId="0" applyFill="1" applyAlignment="1">
      <alignment horizontal="right" wrapText="1"/>
    </xf>
    <xf numFmtId="0" fontId="0" fillId="13" borderId="16" xfId="0" applyFill="1" applyBorder="1" applyAlignment="1">
      <alignment horizontal="center" wrapText="1"/>
    </xf>
    <xf numFmtId="0" fontId="0" fillId="14" borderId="0" xfId="0" applyFill="1" applyAlignment="1">
      <alignment horizontal="center" wrapText="1"/>
    </xf>
    <xf numFmtId="0" fontId="0" fillId="14" borderId="16" xfId="0" applyFill="1" applyBorder="1" applyAlignment="1">
      <alignment horizontal="right" wrapText="1"/>
    </xf>
    <xf numFmtId="0" fontId="0" fillId="10" borderId="0" xfId="0" applyFill="1" applyAlignment="1">
      <alignment horizontal="center" wrapText="1"/>
    </xf>
    <xf numFmtId="0" fontId="0" fillId="8" borderId="0" xfId="0" applyFill="1" applyAlignment="1">
      <alignment horizontal="center" wrapText="1"/>
    </xf>
    <xf numFmtId="0" fontId="0" fillId="8" borderId="16" xfId="0" applyFill="1" applyBorder="1" applyAlignment="1">
      <alignment horizontal="center" wrapText="1"/>
    </xf>
    <xf numFmtId="0" fontId="0" fillId="7" borderId="15" xfId="0" applyFill="1" applyBorder="1"/>
    <xf numFmtId="14" fontId="0" fillId="0" borderId="15" xfId="0" applyNumberFormat="1" applyBorder="1"/>
    <xf numFmtId="14" fontId="0" fillId="0" borderId="15" xfId="0" applyNumberFormat="1" applyBorder="1" applyAlignment="1">
      <alignment horizontal="left"/>
    </xf>
    <xf numFmtId="0" fontId="0" fillId="0" borderId="15" xfId="0" applyBorder="1"/>
    <xf numFmtId="0" fontId="0" fillId="0" borderId="15" xfId="0" applyBorder="1" applyAlignment="1">
      <alignment horizontal="center"/>
    </xf>
    <xf numFmtId="1" fontId="0" fillId="0" borderId="15" xfId="0" applyNumberFormat="1" applyBorder="1"/>
    <xf numFmtId="0" fontId="0" fillId="0" borderId="15" xfId="0" applyBorder="1" applyAlignment="1">
      <alignment horizontal="right"/>
    </xf>
    <xf numFmtId="0" fontId="0" fillId="0" borderId="0" xfId="0" applyAlignment="1">
      <alignment horizontal="left"/>
    </xf>
    <xf numFmtId="0" fontId="0" fillId="0" borderId="15" xfId="0" applyBorder="1" applyAlignment="1">
      <alignment horizontal="left"/>
    </xf>
    <xf numFmtId="14" fontId="0" fillId="13" borderId="15" xfId="0" applyNumberFormat="1" applyFill="1" applyBorder="1"/>
    <xf numFmtId="0" fontId="1" fillId="2" borderId="0" xfId="0" applyFont="1" applyFill="1"/>
    <xf numFmtId="49" fontId="13" fillId="15" borderId="24" xfId="0" applyNumberFormat="1" applyFont="1" applyFill="1" applyBorder="1"/>
    <xf numFmtId="0" fontId="0" fillId="3" borderId="0" xfId="0" applyFill="1" applyProtection="1">
      <protection hidden="1"/>
    </xf>
    <xf numFmtId="0" fontId="19" fillId="2" borderId="0" xfId="0" applyFont="1" applyFill="1"/>
    <xf numFmtId="0" fontId="1" fillId="2" borderId="0" xfId="0" applyFont="1" applyFill="1" applyProtection="1">
      <protection hidden="1"/>
    </xf>
    <xf numFmtId="0" fontId="19" fillId="0" borderId="0" xfId="0" applyFont="1"/>
    <xf numFmtId="0" fontId="11" fillId="15" borderId="0" xfId="0" applyFont="1" applyFill="1" applyProtection="1">
      <protection hidden="1"/>
    </xf>
    <xf numFmtId="0" fontId="0" fillId="15" borderId="0" xfId="0" applyFill="1" applyProtection="1">
      <protection hidden="1"/>
    </xf>
    <xf numFmtId="0" fontId="10" fillId="15" borderId="0" xfId="0" applyFont="1" applyFill="1" applyProtection="1">
      <protection hidden="1"/>
    </xf>
    <xf numFmtId="0" fontId="3" fillId="2" borderId="18" xfId="0" applyFont="1" applyFill="1" applyBorder="1" applyProtection="1">
      <protection hidden="1"/>
    </xf>
    <xf numFmtId="0" fontId="3" fillId="2" borderId="10" xfId="0" applyFont="1" applyFill="1" applyBorder="1" applyProtection="1">
      <protection hidden="1"/>
    </xf>
    <xf numFmtId="0" fontId="0" fillId="2" borderId="20" xfId="0" applyFill="1" applyBorder="1" applyProtection="1">
      <protection hidden="1"/>
    </xf>
    <xf numFmtId="0" fontId="0" fillId="2" borderId="21" xfId="0" applyFill="1" applyBorder="1" applyAlignment="1" applyProtection="1">
      <alignment horizontal="left"/>
      <protection hidden="1"/>
    </xf>
    <xf numFmtId="0" fontId="11" fillId="2" borderId="18" xfId="0" applyFont="1" applyFill="1" applyBorder="1" applyProtection="1">
      <protection hidden="1"/>
    </xf>
    <xf numFmtId="0" fontId="0" fillId="6" borderId="10" xfId="0" applyFill="1" applyBorder="1" applyProtection="1">
      <protection hidden="1"/>
    </xf>
    <xf numFmtId="0" fontId="0" fillId="7" borderId="10" xfId="0" applyFill="1" applyBorder="1" applyProtection="1">
      <protection hidden="1"/>
    </xf>
    <xf numFmtId="0" fontId="0" fillId="11" borderId="19" xfId="0" applyFill="1" applyBorder="1" applyProtection="1">
      <protection hidden="1"/>
    </xf>
    <xf numFmtId="0" fontId="3" fillId="2" borderId="22" xfId="0" applyFont="1" applyFill="1" applyBorder="1" applyProtection="1">
      <protection hidden="1"/>
    </xf>
    <xf numFmtId="0" fontId="3" fillId="2" borderId="9" xfId="0" applyFont="1" applyFill="1" applyBorder="1" applyProtection="1">
      <protection hidden="1"/>
    </xf>
    <xf numFmtId="0" fontId="11" fillId="2" borderId="20" xfId="0" applyFont="1" applyFill="1" applyBorder="1" applyProtection="1">
      <protection hidden="1"/>
    </xf>
    <xf numFmtId="1" fontId="0" fillId="2" borderId="21" xfId="0" applyNumberFormat="1" applyFill="1" applyBorder="1" applyAlignment="1" applyProtection="1">
      <alignment horizontal="left"/>
      <protection hidden="1"/>
    </xf>
    <xf numFmtId="0" fontId="0" fillId="2" borderId="22" xfId="0" applyFill="1" applyBorder="1" applyProtection="1">
      <protection hidden="1"/>
    </xf>
    <xf numFmtId="1" fontId="0" fillId="6" borderId="9" xfId="0" applyNumberFormat="1" applyFill="1" applyBorder="1" applyProtection="1">
      <protection hidden="1"/>
    </xf>
    <xf numFmtId="1" fontId="0" fillId="7" borderId="9" xfId="0" applyNumberFormat="1" applyFill="1" applyBorder="1" applyProtection="1">
      <protection hidden="1"/>
    </xf>
    <xf numFmtId="0" fontId="0" fillId="11" borderId="23" xfId="0" applyFill="1" applyBorder="1" applyAlignment="1" applyProtection="1">
      <alignment horizontal="right"/>
      <protection hidden="1"/>
    </xf>
    <xf numFmtId="1" fontId="0" fillId="11" borderId="23" xfId="0" applyNumberFormat="1" applyFill="1" applyBorder="1" applyProtection="1">
      <protection hidden="1"/>
    </xf>
    <xf numFmtId="0" fontId="18" fillId="2" borderId="6" xfId="0" applyFont="1" applyFill="1" applyBorder="1" applyProtection="1">
      <protection hidden="1"/>
    </xf>
    <xf numFmtId="0" fontId="11" fillId="2" borderId="7" xfId="0" applyFont="1" applyFill="1" applyBorder="1" applyProtection="1">
      <protection hidden="1"/>
    </xf>
    <xf numFmtId="0" fontId="11" fillId="2" borderId="8" xfId="0" applyFont="1" applyFill="1" applyBorder="1" applyProtection="1">
      <protection hidden="1"/>
    </xf>
    <xf numFmtId="0" fontId="0" fillId="0" borderId="4" xfId="0" applyBorder="1" applyProtection="1">
      <protection hidden="1"/>
    </xf>
    <xf numFmtId="4" fontId="0" fillId="0" borderId="0" xfId="0" applyNumberFormat="1" applyProtection="1">
      <protection hidden="1"/>
    </xf>
    <xf numFmtId="3" fontId="20" fillId="0" borderId="0" xfId="0" applyNumberFormat="1" applyFont="1" applyProtection="1">
      <protection hidden="1"/>
    </xf>
    <xf numFmtId="3" fontId="4" fillId="0" borderId="0" xfId="0" applyNumberFormat="1" applyFont="1" applyProtection="1">
      <protection hidden="1"/>
    </xf>
    <xf numFmtId="3" fontId="2" fillId="0" borderId="0" xfId="0" applyNumberFormat="1" applyFont="1" applyProtection="1">
      <protection hidden="1"/>
    </xf>
    <xf numFmtId="3" fontId="4" fillId="4" borderId="0" xfId="0" applyNumberFormat="1" applyFont="1" applyFill="1" applyProtection="1">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1" xfId="0" applyBorder="1" applyProtection="1">
      <protection hidden="1"/>
    </xf>
    <xf numFmtId="0" fontId="0" fillId="0" borderId="2" xfId="0" applyBorder="1" applyProtection="1">
      <protection hidden="1"/>
    </xf>
    <xf numFmtId="4" fontId="0" fillId="0" borderId="2" xfId="0" applyNumberFormat="1" applyBorder="1" applyProtection="1">
      <protection hidden="1"/>
    </xf>
    <xf numFmtId="3" fontId="20" fillId="0" borderId="2" xfId="0" applyNumberFormat="1" applyFont="1" applyBorder="1" applyProtection="1">
      <protection hidden="1"/>
    </xf>
    <xf numFmtId="3" fontId="4" fillId="0" borderId="2" xfId="0" applyNumberFormat="1" applyFont="1" applyBorder="1" applyProtection="1">
      <protection hidden="1"/>
    </xf>
    <xf numFmtId="3" fontId="2" fillId="0" borderId="2" xfId="0" applyNumberFormat="1" applyFont="1" applyBorder="1" applyProtection="1">
      <protection hidden="1"/>
    </xf>
    <xf numFmtId="3" fontId="4" fillId="4" borderId="2" xfId="0" applyNumberFormat="1" applyFont="1" applyFill="1" applyBorder="1" applyProtection="1">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2" fontId="0" fillId="0" borderId="0" xfId="0" applyNumberFormat="1" applyProtection="1">
      <protection hidden="1"/>
    </xf>
    <xf numFmtId="2" fontId="0" fillId="0" borderId="2" xfId="0" applyNumberFormat="1" applyBorder="1" applyProtection="1">
      <protection hidden="1"/>
    </xf>
    <xf numFmtId="4" fontId="11" fillId="2" borderId="7" xfId="0" applyNumberFormat="1" applyFont="1" applyFill="1" applyBorder="1" applyProtection="1">
      <protection hidden="1"/>
    </xf>
    <xf numFmtId="3" fontId="10" fillId="2" borderId="7" xfId="0" applyNumberFormat="1" applyFont="1" applyFill="1" applyBorder="1" applyProtection="1">
      <protection hidden="1"/>
    </xf>
    <xf numFmtId="164" fontId="2" fillId="3" borderId="19" xfId="0" applyNumberFormat="1" applyFont="1" applyFill="1" applyBorder="1" applyAlignment="1" applyProtection="1">
      <alignment horizontal="left"/>
      <protection locked="0"/>
    </xf>
    <xf numFmtId="3" fontId="2" fillId="3" borderId="23" xfId="0" applyNumberFormat="1" applyFont="1" applyFill="1" applyBorder="1" applyAlignment="1" applyProtection="1">
      <alignment horizontal="left"/>
      <protection locked="0"/>
    </xf>
    <xf numFmtId="14" fontId="0" fillId="16" borderId="15" xfId="0" applyNumberFormat="1" applyFill="1" applyBorder="1"/>
    <xf numFmtId="0" fontId="11" fillId="17" borderId="0" xfId="0" applyFont="1" applyFill="1" applyProtection="1">
      <protection hidden="1"/>
    </xf>
    <xf numFmtId="0" fontId="0" fillId="17" borderId="0" xfId="0" applyFill="1" applyProtection="1">
      <protection hidden="1"/>
    </xf>
    <xf numFmtId="0" fontId="10" fillId="17" borderId="0" xfId="0" applyFont="1" applyFill="1" applyProtection="1">
      <protection hidden="1"/>
    </xf>
    <xf numFmtId="49" fontId="13" fillId="17" borderId="25" xfId="0" applyNumberFormat="1" applyFont="1" applyFill="1" applyBorder="1" applyProtection="1">
      <protection hidden="1"/>
    </xf>
    <xf numFmtId="0" fontId="11" fillId="18" borderId="0" xfId="0" applyFont="1" applyFill="1" applyProtection="1">
      <protection hidden="1"/>
    </xf>
    <xf numFmtId="0" fontId="0" fillId="18" borderId="0" xfId="0" applyFill="1" applyProtection="1">
      <protection hidden="1"/>
    </xf>
    <xf numFmtId="0" fontId="10" fillId="18" borderId="0" xfId="0" applyFont="1" applyFill="1" applyProtection="1">
      <protection hidden="1"/>
    </xf>
    <xf numFmtId="14" fontId="3" fillId="19" borderId="15" xfId="0" applyNumberFormat="1" applyFont="1" applyFill="1" applyBorder="1"/>
    <xf numFmtId="0" fontId="3" fillId="0" borderId="0" xfId="0" applyFont="1"/>
    <xf numFmtId="14" fontId="0" fillId="0" borderId="15" xfId="0" applyNumberFormat="1" applyBorder="1" applyAlignment="1">
      <alignment horizontal="right"/>
    </xf>
    <xf numFmtId="0" fontId="3" fillId="0" borderId="0" xfId="0" applyFont="1" applyAlignment="1">
      <alignment horizontal="left"/>
    </xf>
    <xf numFmtId="49" fontId="13" fillId="18" borderId="25" xfId="0" applyNumberFormat="1" applyFont="1" applyFill="1" applyBorder="1"/>
    <xf numFmtId="0" fontId="11" fillId="20" borderId="0" xfId="0" applyFont="1" applyFill="1" applyProtection="1">
      <protection hidden="1"/>
    </xf>
    <xf numFmtId="0" fontId="0" fillId="20" borderId="0" xfId="0" applyFill="1" applyProtection="1">
      <protection hidden="1"/>
    </xf>
    <xf numFmtId="0" fontId="10" fillId="20" borderId="0" xfId="0" applyFont="1" applyFill="1" applyProtection="1">
      <protection hidden="1"/>
    </xf>
    <xf numFmtId="49" fontId="13" fillId="20" borderId="25" xfId="0" applyNumberFormat="1" applyFont="1" applyFill="1" applyBorder="1"/>
    <xf numFmtId="0" fontId="3" fillId="2" borderId="0" xfId="0" applyFont="1" applyFill="1" applyProtection="1">
      <protection hidden="1"/>
    </xf>
    <xf numFmtId="0" fontId="3" fillId="10" borderId="0" xfId="0" applyFont="1" applyFill="1" applyAlignment="1">
      <alignment horizontal="center" wrapText="1"/>
    </xf>
    <xf numFmtId="0" fontId="3" fillId="8" borderId="16" xfId="0" applyFont="1" applyFill="1" applyBorder="1" applyAlignment="1">
      <alignment horizontal="center" wrapText="1"/>
    </xf>
    <xf numFmtId="14" fontId="3" fillId="21" borderId="13" xfId="0" applyNumberFormat="1" applyFont="1" applyFill="1" applyBorder="1"/>
    <xf numFmtId="14" fontId="0" fillId="0" borderId="20" xfId="0" applyNumberFormat="1" applyBorder="1" applyAlignment="1">
      <alignment horizontal="left"/>
    </xf>
    <xf numFmtId="0" fontId="3" fillId="0" borderId="15" xfId="0" applyFont="1" applyBorder="1"/>
    <xf numFmtId="0" fontId="0" fillId="0" borderId="21" xfId="0" applyBorder="1"/>
    <xf numFmtId="2" fontId="3" fillId="0" borderId="15" xfId="0" applyNumberFormat="1" applyFont="1" applyBorder="1"/>
    <xf numFmtId="0" fontId="1" fillId="0" borderId="15" xfId="0" applyFont="1" applyBorder="1"/>
    <xf numFmtId="14" fontId="3" fillId="21" borderId="15" xfId="0" applyNumberFormat="1" applyFont="1" applyFill="1" applyBorder="1"/>
    <xf numFmtId="0" fontId="3" fillId="0" borderId="15" xfId="0" applyFont="1" applyBorder="1" applyAlignment="1">
      <alignment horizontal="center"/>
    </xf>
    <xf numFmtId="0" fontId="0" fillId="22" borderId="15" xfId="0" applyFill="1" applyBorder="1" applyAlignment="1">
      <alignment horizontal="left"/>
    </xf>
    <xf numFmtId="0" fontId="3" fillId="0" borderId="15" xfId="0" applyFont="1" applyBorder="1" applyAlignment="1">
      <alignment horizontal="left"/>
    </xf>
    <xf numFmtId="0" fontId="23" fillId="0" borderId="0" xfId="1"/>
    <xf numFmtId="2" fontId="0" fillId="0" borderId="15" xfId="0" applyNumberFormat="1" applyBorder="1" applyAlignment="1">
      <alignment horizontal="center"/>
    </xf>
    <xf numFmtId="0" fontId="24" fillId="0" borderId="0" xfId="0" applyFont="1"/>
    <xf numFmtId="0" fontId="3" fillId="7" borderId="0" xfId="2" applyFill="1" applyAlignment="1">
      <alignment horizontal="right" wrapText="1"/>
    </xf>
    <xf numFmtId="0" fontId="3" fillId="7" borderId="0" xfId="2" applyFill="1" applyAlignment="1">
      <alignment horizontal="left" wrapText="1"/>
    </xf>
    <xf numFmtId="0" fontId="3" fillId="7" borderId="0" xfId="2" applyFill="1" applyAlignment="1">
      <alignment wrapText="1"/>
    </xf>
    <xf numFmtId="0" fontId="3" fillId="7" borderId="0" xfId="2" applyFill="1" applyAlignment="1">
      <alignment horizontal="center" wrapText="1"/>
    </xf>
    <xf numFmtId="0" fontId="3" fillId="7" borderId="16" xfId="2" applyFill="1" applyBorder="1" applyAlignment="1">
      <alignment wrapText="1"/>
    </xf>
    <xf numFmtId="0" fontId="3" fillId="4" borderId="12" xfId="2" applyFill="1" applyBorder="1" applyAlignment="1">
      <alignment horizontal="right" wrapText="1"/>
    </xf>
    <xf numFmtId="0" fontId="3" fillId="8" borderId="0" xfId="2" applyFill="1" applyAlignment="1">
      <alignment horizontal="right" wrapText="1"/>
    </xf>
    <xf numFmtId="0" fontId="3" fillId="8" borderId="16" xfId="2" applyFill="1" applyBorder="1" applyAlignment="1">
      <alignment horizontal="right" wrapText="1"/>
    </xf>
    <xf numFmtId="0" fontId="3" fillId="6" borderId="0" xfId="2" applyFill="1" applyAlignment="1">
      <alignment horizontal="right" wrapText="1"/>
    </xf>
    <xf numFmtId="0" fontId="3" fillId="9" borderId="17" xfId="2" applyFill="1" applyBorder="1" applyAlignment="1">
      <alignment horizontal="right" wrapText="1"/>
    </xf>
    <xf numFmtId="0" fontId="3" fillId="9" borderId="0" xfId="2" applyFill="1" applyAlignment="1">
      <alignment horizontal="right" wrapText="1"/>
    </xf>
    <xf numFmtId="0" fontId="3" fillId="10" borderId="0" xfId="2" applyFill="1" applyAlignment="1">
      <alignment horizontal="right" wrapText="1"/>
    </xf>
    <xf numFmtId="0" fontId="3" fillId="23" borderId="0" xfId="3" applyFont="1" applyFill="1" applyAlignment="1">
      <alignment horizontal="right" wrapText="1"/>
    </xf>
    <xf numFmtId="2" fontId="3" fillId="23" borderId="0" xfId="3" applyNumberFormat="1" applyFont="1" applyFill="1" applyAlignment="1">
      <alignment horizontal="right" wrapText="1"/>
    </xf>
    <xf numFmtId="0" fontId="3" fillId="11" borderId="12" xfId="2" applyFill="1" applyBorder="1" applyAlignment="1">
      <alignment horizontal="right" wrapText="1"/>
    </xf>
    <xf numFmtId="0" fontId="3" fillId="12" borderId="0" xfId="2" applyFill="1" applyAlignment="1">
      <alignment horizontal="center" wrapText="1"/>
    </xf>
    <xf numFmtId="0" fontId="3" fillId="12" borderId="16" xfId="2" applyFill="1" applyBorder="1" applyAlignment="1">
      <alignment horizontal="center" wrapText="1"/>
    </xf>
    <xf numFmtId="0" fontId="3" fillId="13" borderId="0" xfId="2" applyFill="1" applyAlignment="1">
      <alignment horizontal="right" wrapText="1"/>
    </xf>
    <xf numFmtId="0" fontId="3" fillId="13" borderId="16" xfId="2" applyFill="1" applyBorder="1" applyAlignment="1">
      <alignment horizontal="center" wrapText="1"/>
    </xf>
    <xf numFmtId="0" fontId="3" fillId="13" borderId="0" xfId="3" applyFont="1" applyFill="1" applyAlignment="1">
      <alignment horizontal="center" wrapText="1"/>
    </xf>
    <xf numFmtId="0" fontId="3" fillId="14" borderId="0" xfId="2" applyFill="1" applyAlignment="1">
      <alignment horizontal="center" wrapText="1"/>
    </xf>
    <xf numFmtId="0" fontId="3" fillId="14" borderId="16" xfId="2" applyFill="1" applyBorder="1" applyAlignment="1">
      <alignment horizontal="right" wrapText="1"/>
    </xf>
    <xf numFmtId="0" fontId="3" fillId="10" borderId="0" xfId="2" applyFill="1" applyAlignment="1">
      <alignment horizontal="center" wrapText="1"/>
    </xf>
    <xf numFmtId="0" fontId="3" fillId="8" borderId="0" xfId="2" applyFill="1" applyAlignment="1">
      <alignment horizontal="center" wrapText="1"/>
    </xf>
    <xf numFmtId="0" fontId="3" fillId="8" borderId="16" xfId="2" applyFill="1" applyBorder="1" applyAlignment="1">
      <alignment horizontal="center" wrapText="1"/>
    </xf>
    <xf numFmtId="0" fontId="3" fillId="0" borderId="0" xfId="2"/>
    <xf numFmtId="0" fontId="11" fillId="2" borderId="18" xfId="2" applyFont="1" applyFill="1" applyBorder="1" applyProtection="1">
      <protection hidden="1"/>
    </xf>
    <xf numFmtId="0" fontId="11" fillId="2" borderId="10" xfId="2" applyFont="1" applyFill="1" applyBorder="1" applyProtection="1">
      <protection hidden="1"/>
    </xf>
    <xf numFmtId="164" fontId="10" fillId="3" borderId="19" xfId="2" applyNumberFormat="1" applyFont="1" applyFill="1" applyBorder="1" applyAlignment="1" applyProtection="1">
      <alignment horizontal="left"/>
      <protection locked="0"/>
    </xf>
    <xf numFmtId="0" fontId="11" fillId="2" borderId="20" xfId="2" applyFont="1" applyFill="1" applyBorder="1" applyProtection="1">
      <protection hidden="1"/>
    </xf>
    <xf numFmtId="0" fontId="11" fillId="2" borderId="21" xfId="2" applyFont="1" applyFill="1" applyBorder="1" applyAlignment="1" applyProtection="1">
      <alignment horizontal="left"/>
      <protection hidden="1"/>
    </xf>
    <xf numFmtId="0" fontId="11" fillId="6" borderId="10" xfId="2" applyFont="1" applyFill="1" applyBorder="1" applyProtection="1">
      <protection hidden="1"/>
    </xf>
    <xf numFmtId="0" fontId="11" fillId="7" borderId="10" xfId="2" applyFont="1" applyFill="1" applyBorder="1" applyProtection="1">
      <protection hidden="1"/>
    </xf>
    <xf numFmtId="0" fontId="11" fillId="11" borderId="19" xfId="2" applyFont="1" applyFill="1" applyBorder="1" applyProtection="1">
      <protection hidden="1"/>
    </xf>
    <xf numFmtId="0" fontId="11" fillId="2" borderId="22" xfId="2" applyFont="1" applyFill="1" applyBorder="1" applyProtection="1">
      <protection hidden="1"/>
    </xf>
    <xf numFmtId="0" fontId="11" fillId="2" borderId="9" xfId="2" applyFont="1" applyFill="1" applyBorder="1" applyProtection="1">
      <protection hidden="1"/>
    </xf>
    <xf numFmtId="3" fontId="10" fillId="3" borderId="23" xfId="2" applyNumberFormat="1" applyFont="1" applyFill="1" applyBorder="1" applyAlignment="1" applyProtection="1">
      <alignment horizontal="left"/>
      <protection locked="0"/>
    </xf>
    <xf numFmtId="1" fontId="11" fillId="2" borderId="21" xfId="2" applyNumberFormat="1" applyFont="1" applyFill="1" applyBorder="1" applyAlignment="1" applyProtection="1">
      <alignment horizontal="left"/>
      <protection hidden="1"/>
    </xf>
    <xf numFmtId="1" fontId="11" fillId="6" borderId="9" xfId="2" applyNumberFormat="1" applyFont="1" applyFill="1" applyBorder="1" applyProtection="1">
      <protection hidden="1"/>
    </xf>
    <xf numFmtId="1" fontId="11" fillId="7" borderId="9" xfId="2" applyNumberFormat="1" applyFont="1" applyFill="1" applyBorder="1" applyProtection="1">
      <protection hidden="1"/>
    </xf>
    <xf numFmtId="0" fontId="11" fillId="11" borderId="23" xfId="2" applyFont="1" applyFill="1" applyBorder="1" applyAlignment="1" applyProtection="1">
      <alignment horizontal="right"/>
      <protection hidden="1"/>
    </xf>
    <xf numFmtId="1" fontId="11" fillId="11" borderId="23" xfId="2" applyNumberFormat="1" applyFont="1" applyFill="1" applyBorder="1" applyProtection="1">
      <protection hidden="1"/>
    </xf>
    <xf numFmtId="0" fontId="11" fillId="0" borderId="4" xfId="2" applyFont="1" applyBorder="1" applyProtection="1">
      <protection hidden="1"/>
    </xf>
    <xf numFmtId="0" fontId="11" fillId="0" borderId="0" xfId="2" applyFont="1" applyProtection="1">
      <protection hidden="1"/>
    </xf>
    <xf numFmtId="4" fontId="11" fillId="0" borderId="0" xfId="2" applyNumberFormat="1" applyFont="1" applyProtection="1">
      <protection hidden="1"/>
    </xf>
    <xf numFmtId="3" fontId="10" fillId="0" borderId="0" xfId="2" applyNumberFormat="1" applyFont="1" applyProtection="1">
      <protection hidden="1"/>
    </xf>
    <xf numFmtId="0" fontId="11" fillId="0" borderId="12" xfId="2" applyFont="1" applyBorder="1" applyProtection="1">
      <protection hidden="1"/>
    </xf>
    <xf numFmtId="0" fontId="11" fillId="0" borderId="0" xfId="2" applyFont="1" applyAlignment="1" applyProtection="1">
      <alignment horizontal="center"/>
      <protection hidden="1"/>
    </xf>
    <xf numFmtId="0" fontId="11" fillId="0" borderId="5" xfId="2" applyFont="1" applyBorder="1" applyAlignment="1" applyProtection="1">
      <alignment horizontal="center"/>
      <protection hidden="1"/>
    </xf>
    <xf numFmtId="0" fontId="11" fillId="0" borderId="1" xfId="2" applyFont="1" applyBorder="1" applyProtection="1">
      <protection hidden="1"/>
    </xf>
    <xf numFmtId="0" fontId="11" fillId="0" borderId="2" xfId="2" applyFont="1" applyBorder="1" applyProtection="1">
      <protection hidden="1"/>
    </xf>
    <xf numFmtId="4" fontId="11" fillId="0" borderId="2" xfId="2" applyNumberFormat="1" applyFont="1" applyBorder="1" applyProtection="1">
      <protection hidden="1"/>
    </xf>
    <xf numFmtId="3" fontId="10" fillId="0" borderId="2" xfId="2" applyNumberFormat="1" applyFont="1" applyBorder="1" applyProtection="1">
      <protection hidden="1"/>
    </xf>
    <xf numFmtId="0" fontId="11" fillId="0" borderId="26" xfId="2" applyFont="1" applyBorder="1" applyProtection="1">
      <protection hidden="1"/>
    </xf>
    <xf numFmtId="0" fontId="11" fillId="0" borderId="2" xfId="2" applyFont="1" applyBorder="1" applyAlignment="1" applyProtection="1">
      <alignment horizontal="center"/>
      <protection hidden="1"/>
    </xf>
    <xf numFmtId="0" fontId="11" fillId="0" borderId="3" xfId="2" applyFont="1" applyBorder="1" applyAlignment="1" applyProtection="1">
      <alignment horizontal="center"/>
      <protection hidden="1"/>
    </xf>
    <xf numFmtId="2" fontId="11" fillId="0" borderId="0" xfId="2" applyNumberFormat="1" applyFont="1" applyProtection="1">
      <protection hidden="1"/>
    </xf>
    <xf numFmtId="2" fontId="11" fillId="0" borderId="2" xfId="2" applyNumberFormat="1" applyFont="1" applyBorder="1" applyProtection="1">
      <protection hidden="1"/>
    </xf>
    <xf numFmtId="49" fontId="13" fillId="25" borderId="25" xfId="0" applyNumberFormat="1" applyFont="1" applyFill="1" applyBorder="1"/>
    <xf numFmtId="0" fontId="11" fillId="25" borderId="0" xfId="2" applyFont="1" applyFill="1" applyProtection="1">
      <protection hidden="1"/>
    </xf>
    <xf numFmtId="0" fontId="10" fillId="25" borderId="0" xfId="2" applyFont="1" applyFill="1" applyProtection="1">
      <protection hidden="1"/>
    </xf>
    <xf numFmtId="0" fontId="27" fillId="0" borderId="15" xfId="0" applyFont="1" applyBorder="1" applyAlignment="1">
      <alignment vertical="center"/>
    </xf>
    <xf numFmtId="14" fontId="27" fillId="0" borderId="15" xfId="0" applyNumberFormat="1" applyFont="1" applyBorder="1" applyAlignment="1">
      <alignment vertical="center"/>
    </xf>
    <xf numFmtId="14" fontId="27" fillId="0" borderId="15" xfId="0" applyNumberFormat="1" applyFont="1" applyBorder="1" applyAlignment="1">
      <alignment horizontal="left" vertical="center"/>
    </xf>
    <xf numFmtId="0" fontId="27" fillId="0" borderId="15" xfId="0" applyFont="1" applyBorder="1" applyAlignment="1">
      <alignment horizontal="center" vertical="center"/>
    </xf>
    <xf numFmtId="2" fontId="27" fillId="0" borderId="15" xfId="0" applyNumberFormat="1" applyFont="1" applyBorder="1" applyAlignment="1">
      <alignment vertical="center"/>
    </xf>
    <xf numFmtId="1" fontId="27" fillId="0" borderId="15" xfId="0" applyNumberFormat="1" applyFont="1" applyBorder="1" applyAlignment="1">
      <alignment vertical="center"/>
    </xf>
    <xf numFmtId="0" fontId="27" fillId="0" borderId="15" xfId="0" applyFont="1" applyBorder="1" applyAlignment="1">
      <alignment horizontal="right" vertical="center"/>
    </xf>
    <xf numFmtId="2" fontId="27" fillId="0" borderId="15" xfId="0" applyNumberFormat="1" applyFont="1" applyBorder="1" applyAlignment="1">
      <alignment horizontal="center" vertical="center"/>
    </xf>
    <xf numFmtId="14" fontId="27" fillId="0" borderId="15" xfId="0" applyNumberFormat="1" applyFont="1" applyBorder="1" applyAlignment="1">
      <alignment horizontal="center" vertical="center"/>
    </xf>
    <xf numFmtId="0" fontId="27" fillId="0" borderId="15" xfId="0" applyFont="1" applyBorder="1" applyAlignment="1">
      <alignment horizontal="left" vertical="center"/>
    </xf>
    <xf numFmtId="0" fontId="23" fillId="0" borderId="0" xfId="1" applyFill="1" applyBorder="1" applyAlignment="1">
      <alignment vertical="center"/>
    </xf>
    <xf numFmtId="0" fontId="27" fillId="0" borderId="0" xfId="0" applyFont="1" applyAlignment="1">
      <alignment horizontal="left" vertical="center"/>
    </xf>
    <xf numFmtId="0" fontId="23" fillId="0" borderId="15" xfId="1" applyBorder="1"/>
    <xf numFmtId="0" fontId="23" fillId="0" borderId="0" xfId="1" applyBorder="1"/>
    <xf numFmtId="14" fontId="27" fillId="0" borderId="15" xfId="0" applyNumberFormat="1" applyFont="1" applyBorder="1" applyAlignment="1">
      <alignment horizontal="right" vertical="center"/>
    </xf>
    <xf numFmtId="0" fontId="23" fillId="0" borderId="0" xfId="1" applyBorder="1" applyAlignment="1">
      <alignment vertical="center"/>
    </xf>
    <xf numFmtId="0" fontId="27" fillId="0" borderId="0" xfId="0" applyFont="1" applyAlignment="1">
      <alignment vertical="center"/>
    </xf>
    <xf numFmtId="0" fontId="18" fillId="2" borderId="6" xfId="2" applyFont="1" applyFill="1" applyBorder="1" applyProtection="1">
      <protection hidden="1"/>
    </xf>
    <xf numFmtId="0" fontId="11" fillId="2" borderId="7" xfId="2" applyFont="1" applyFill="1" applyBorder="1" applyProtection="1">
      <protection hidden="1"/>
    </xf>
    <xf numFmtId="0" fontId="11" fillId="2" borderId="8" xfId="2" applyFont="1" applyFill="1" applyBorder="1" applyProtection="1">
      <protection hidden="1"/>
    </xf>
    <xf numFmtId="0" fontId="18" fillId="4" borderId="28" xfId="2" applyFont="1" applyFill="1" applyBorder="1" applyAlignment="1" applyProtection="1">
      <alignment wrapText="1"/>
      <protection hidden="1"/>
    </xf>
    <xf numFmtId="0" fontId="18" fillId="4" borderId="29" xfId="2" applyFont="1" applyFill="1" applyBorder="1" applyAlignment="1" applyProtection="1">
      <alignment wrapText="1"/>
      <protection hidden="1"/>
    </xf>
    <xf numFmtId="0" fontId="18" fillId="4" borderId="15" xfId="2" applyFont="1" applyFill="1" applyBorder="1" applyAlignment="1" applyProtection="1">
      <alignment wrapText="1"/>
      <protection hidden="1"/>
    </xf>
    <xf numFmtId="0" fontId="10" fillId="4" borderId="15" xfId="2" applyFont="1" applyFill="1" applyBorder="1" applyAlignment="1" applyProtection="1">
      <alignment wrapText="1"/>
      <protection hidden="1"/>
    </xf>
    <xf numFmtId="0" fontId="11" fillId="4" borderId="15" xfId="2" applyFont="1" applyFill="1" applyBorder="1" applyAlignment="1" applyProtection="1">
      <alignment horizontal="center" wrapText="1"/>
      <protection hidden="1"/>
    </xf>
    <xf numFmtId="0" fontId="10" fillId="4" borderId="15" xfId="2" applyFont="1" applyFill="1" applyBorder="1" applyAlignment="1" applyProtection="1">
      <alignment horizontal="center" wrapText="1"/>
      <protection hidden="1"/>
    </xf>
    <xf numFmtId="0" fontId="11" fillId="4" borderId="30" xfId="2" applyFont="1" applyFill="1" applyBorder="1" applyAlignment="1" applyProtection="1">
      <alignment horizontal="center" wrapText="1"/>
      <protection hidden="1"/>
    </xf>
    <xf numFmtId="4" fontId="11" fillId="2" borderId="7" xfId="2" applyNumberFormat="1" applyFont="1" applyFill="1" applyBorder="1" applyProtection="1">
      <protection hidden="1"/>
    </xf>
    <xf numFmtId="3" fontId="10" fillId="2" borderId="7" xfId="2" applyNumberFormat="1" applyFont="1" applyFill="1" applyBorder="1" applyProtection="1">
      <protection hidden="1"/>
    </xf>
    <xf numFmtId="0" fontId="11" fillId="4" borderId="21" xfId="2" applyFont="1" applyFill="1" applyBorder="1" applyAlignment="1" applyProtection="1">
      <alignment horizontal="center" wrapText="1"/>
      <protection hidden="1"/>
    </xf>
    <xf numFmtId="0" fontId="10" fillId="24" borderId="15" xfId="2" applyFont="1" applyFill="1" applyBorder="1" applyAlignment="1" applyProtection="1">
      <alignment wrapText="1"/>
      <protection hidden="1"/>
    </xf>
    <xf numFmtId="0" fontId="11" fillId="24" borderId="15" xfId="2" applyFont="1" applyFill="1" applyBorder="1" applyAlignment="1" applyProtection="1">
      <alignment horizontal="center" wrapText="1"/>
      <protection hidden="1"/>
    </xf>
    <xf numFmtId="0" fontId="10" fillId="24" borderId="15" xfId="2" applyFont="1" applyFill="1" applyBorder="1" applyAlignment="1" applyProtection="1">
      <alignment horizontal="center" wrapText="1"/>
      <protection hidden="1"/>
    </xf>
    <xf numFmtId="3" fontId="11" fillId="0" borderId="0" xfId="2" applyNumberFormat="1" applyFont="1" applyProtection="1">
      <protection hidden="1"/>
    </xf>
    <xf numFmtId="3" fontId="11" fillId="0" borderId="2" xfId="2" applyNumberFormat="1" applyFont="1" applyBorder="1" applyProtection="1">
      <protection hidden="1"/>
    </xf>
    <xf numFmtId="0" fontId="18" fillId="4" borderId="28" xfId="0" applyFont="1" applyFill="1" applyBorder="1" applyAlignment="1" applyProtection="1">
      <alignment wrapText="1"/>
      <protection hidden="1"/>
    </xf>
    <xf numFmtId="0" fontId="18" fillId="4" borderId="29" xfId="0" applyFont="1" applyFill="1" applyBorder="1" applyAlignment="1" applyProtection="1">
      <alignment wrapText="1"/>
      <protection hidden="1"/>
    </xf>
    <xf numFmtId="0" fontId="18" fillId="4" borderId="15" xfId="0" applyFont="1" applyFill="1" applyBorder="1" applyAlignment="1" applyProtection="1">
      <alignment wrapText="1"/>
      <protection hidden="1"/>
    </xf>
    <xf numFmtId="0" fontId="18" fillId="4" borderId="21" xfId="0" applyFont="1" applyFill="1" applyBorder="1" applyAlignment="1" applyProtection="1">
      <alignment wrapText="1"/>
      <protection hidden="1"/>
    </xf>
    <xf numFmtId="0" fontId="10" fillId="4" borderId="15" xfId="0" applyFont="1" applyFill="1" applyBorder="1" applyAlignment="1" applyProtection="1">
      <alignment wrapText="1"/>
      <protection hidden="1"/>
    </xf>
    <xf numFmtId="0" fontId="11" fillId="4" borderId="15" xfId="0" applyFont="1" applyFill="1" applyBorder="1" applyAlignment="1" applyProtection="1">
      <alignment horizontal="center" wrapText="1"/>
      <protection hidden="1"/>
    </xf>
    <xf numFmtId="0" fontId="10" fillId="4" borderId="15" xfId="0" applyFont="1" applyFill="1" applyBorder="1" applyAlignment="1" applyProtection="1">
      <alignment horizontal="center" wrapText="1"/>
      <protection hidden="1"/>
    </xf>
    <xf numFmtId="0" fontId="11" fillId="4" borderId="30" xfId="0" applyFont="1" applyFill="1" applyBorder="1" applyAlignment="1" applyProtection="1">
      <alignment horizontal="center" wrapText="1"/>
      <protection hidden="1"/>
    </xf>
    <xf numFmtId="0" fontId="11" fillId="4" borderId="21" xfId="0" applyFont="1" applyFill="1" applyBorder="1" applyAlignment="1" applyProtection="1">
      <alignment horizontal="center" wrapText="1"/>
      <protection hidden="1"/>
    </xf>
    <xf numFmtId="0" fontId="10" fillId="24" borderId="15" xfId="0" applyFont="1" applyFill="1" applyBorder="1" applyAlignment="1" applyProtection="1">
      <alignment wrapText="1"/>
      <protection hidden="1"/>
    </xf>
    <xf numFmtId="0" fontId="11" fillId="24" borderId="15" xfId="0" applyFont="1" applyFill="1" applyBorder="1" applyAlignment="1" applyProtection="1">
      <alignment wrapText="1"/>
      <protection hidden="1"/>
    </xf>
    <xf numFmtId="0" fontId="10" fillId="24" borderId="15" xfId="0" applyFont="1" applyFill="1" applyBorder="1" applyAlignment="1" applyProtection="1">
      <alignment horizontal="center" wrapText="1"/>
      <protection hidden="1"/>
    </xf>
    <xf numFmtId="0" fontId="18" fillId="4" borderId="15" xfId="2" applyFont="1" applyFill="1" applyBorder="1" applyAlignment="1" applyProtection="1">
      <alignment horizontal="left" wrapText="1"/>
      <protection hidden="1"/>
    </xf>
    <xf numFmtId="3" fontId="11" fillId="0" borderId="17" xfId="2" applyNumberFormat="1" applyFont="1" applyBorder="1" applyProtection="1">
      <protection hidden="1"/>
    </xf>
    <xf numFmtId="3" fontId="11" fillId="0" borderId="27" xfId="2" applyNumberFormat="1" applyFont="1" applyBorder="1" applyProtection="1">
      <protection hidden="1"/>
    </xf>
    <xf numFmtId="3" fontId="10" fillId="26" borderId="0" xfId="2" applyNumberFormat="1" applyFont="1" applyFill="1" applyProtection="1">
      <protection hidden="1"/>
    </xf>
    <xf numFmtId="3" fontId="10" fillId="26" borderId="2" xfId="2" applyNumberFormat="1" applyFont="1" applyFill="1" applyBorder="1" applyProtection="1">
      <protection hidden="1"/>
    </xf>
    <xf numFmtId="0" fontId="7" fillId="0" borderId="14" xfId="0" applyFont="1" applyBorder="1"/>
    <xf numFmtId="0" fontId="1" fillId="0" borderId="11" xfId="0" applyFont="1" applyBorder="1"/>
    <xf numFmtId="49" fontId="13" fillId="27" borderId="25" xfId="0" applyNumberFormat="1" applyFont="1" applyFill="1" applyBorder="1"/>
    <xf numFmtId="2" fontId="28" fillId="0" borderId="15" xfId="0" applyNumberFormat="1" applyFont="1" applyBorder="1" applyAlignment="1">
      <alignment vertical="center"/>
    </xf>
    <xf numFmtId="2" fontId="28" fillId="0" borderId="15" xfId="0" applyNumberFormat="1" applyFont="1" applyBorder="1" applyAlignment="1">
      <alignment horizontal="center" vertical="center"/>
    </xf>
    <xf numFmtId="0" fontId="23" fillId="0" borderId="15" xfId="1" applyFill="1" applyBorder="1"/>
    <xf numFmtId="0" fontId="23" fillId="0" borderId="15" xfId="1" applyFill="1" applyBorder="1" applyAlignment="1">
      <alignment vertical="center"/>
    </xf>
    <xf numFmtId="0" fontId="3" fillId="13" borderId="0" xfId="0" applyFont="1" applyFill="1" applyAlignment="1">
      <alignment horizontal="center" vertical="center" wrapText="1"/>
    </xf>
    <xf numFmtId="0" fontId="23" fillId="0" borderId="0" xfId="1" applyFill="1" applyBorder="1"/>
    <xf numFmtId="0" fontId="11" fillId="27" borderId="0" xfId="2" applyFont="1" applyFill="1" applyProtection="1">
      <protection hidden="1"/>
    </xf>
    <xf numFmtId="0" fontId="0" fillId="27" borderId="0" xfId="0" applyFill="1"/>
    <xf numFmtId="0" fontId="27" fillId="0" borderId="12" xfId="0" applyFont="1" applyBorder="1" applyAlignment="1">
      <alignment vertical="center"/>
    </xf>
    <xf numFmtId="0" fontId="27" fillId="0" borderId="13" xfId="0" applyFont="1" applyBorder="1" applyAlignment="1">
      <alignment vertical="center"/>
    </xf>
    <xf numFmtId="0" fontId="0" fillId="28" borderId="0" xfId="0" applyFill="1"/>
    <xf numFmtId="0" fontId="29" fillId="28" borderId="0" xfId="0" applyFont="1" applyFill="1"/>
    <xf numFmtId="0" fontId="11" fillId="28" borderId="0" xfId="2" applyFont="1" applyFill="1" applyProtection="1">
      <protection hidden="1"/>
    </xf>
    <xf numFmtId="49" fontId="30" fillId="28" borderId="25" xfId="0" applyNumberFormat="1" applyFont="1" applyFill="1" applyBorder="1"/>
    <xf numFmtId="0" fontId="27" fillId="28" borderId="0" xfId="0" applyFont="1" applyFill="1"/>
    <xf numFmtId="0" fontId="27" fillId="0" borderId="0" xfId="0" applyFont="1" applyAlignment="1">
      <alignment horizontal="center" vertical="center"/>
    </xf>
    <xf numFmtId="0" fontId="29" fillId="29" borderId="0" xfId="0" applyFont="1" applyFill="1"/>
    <xf numFmtId="0" fontId="0" fillId="29" borderId="0" xfId="0" applyFill="1"/>
    <xf numFmtId="0" fontId="11" fillId="29" borderId="0" xfId="2" applyFont="1" applyFill="1" applyProtection="1">
      <protection hidden="1"/>
    </xf>
    <xf numFmtId="49" fontId="30" fillId="29" borderId="25" xfId="0" applyNumberFormat="1" applyFont="1" applyFill="1" applyBorder="1"/>
    <xf numFmtId="14" fontId="27" fillId="19" borderId="15" xfId="0" applyNumberFormat="1" applyFont="1" applyFill="1" applyBorder="1" applyAlignment="1">
      <alignment vertical="center"/>
    </xf>
    <xf numFmtId="0" fontId="28" fillId="0" borderId="15" xfId="0" applyFont="1" applyBorder="1" applyAlignment="1">
      <alignment horizontal="center" vertical="center"/>
    </xf>
  </cellXfs>
  <cellStyles count="4">
    <cellStyle name="Hyperlink" xfId="1" builtinId="8"/>
    <cellStyle name="Normal" xfId="0" builtinId="0"/>
    <cellStyle name="Normal 2" xfId="2" xr:uid="{43D7E513-C6C9-0541-9EFF-FBB8D74BF046}"/>
    <cellStyle name="Normal 2 2" xfId="3" xr:uid="{C4BBCFD2-93A1-7C44-A81F-187959131E0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368300</xdr:colOff>
      <xdr:row>0</xdr:row>
      <xdr:rowOff>114300</xdr:rowOff>
    </xdr:from>
    <xdr:to>
      <xdr:col>14</xdr:col>
      <xdr:colOff>774700</xdr:colOff>
      <xdr:row>6</xdr:row>
      <xdr:rowOff>12700</xdr:rowOff>
    </xdr:to>
    <xdr:pic>
      <xdr:nvPicPr>
        <xdr:cNvPr id="2" name="Picture 1" descr="Alviss-Consulting-Logo-Inline Resized for web.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10261600" y="114300"/>
          <a:ext cx="2057400" cy="939800"/>
        </a:xfrm>
        <a:prstGeom prst="rect">
          <a:avLst/>
        </a:prstGeom>
        <a:noFill/>
        <a:ln w="9525">
          <a:noFill/>
          <a:miter lim="800000"/>
          <a:headEnd/>
          <a:tailEnd/>
        </a:ln>
      </xdr:spPr>
    </xdr:pic>
    <xdr:clientData/>
  </xdr:twoCellAnchor>
  <xdr:twoCellAnchor editAs="oneCell">
    <xdr:from>
      <xdr:col>4</xdr:col>
      <xdr:colOff>812800</xdr:colOff>
      <xdr:row>0</xdr:row>
      <xdr:rowOff>152400</xdr:rowOff>
    </xdr:from>
    <xdr:to>
      <xdr:col>9</xdr:col>
      <xdr:colOff>1093159</xdr:colOff>
      <xdr:row>5</xdr:row>
      <xdr:rowOff>73973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94200" y="152400"/>
          <a:ext cx="4864100" cy="7851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hyperlink" Target="https://www.energymadeeasy.gov.au/plan?id=ACT107300MRE2&amp;utm_source=ActewAGL&amp;utm_campaign=bpi-retailer&amp;utm_medium=retailer&amp;postcode=2600" TargetMode="External"/><Relationship Id="rId1" Type="http://schemas.openxmlformats.org/officeDocument/2006/relationships/hyperlink" Target="https://www.energymadeeasy.gov.au/plan?id=RED21811MRE&amp;postcode=2603"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nergymadeeasy.gov.au/plan?id=ENE19291MRE&amp;utm_source=EnergyAustralia&amp;utm_campaign=bpi-retailer&amp;utm_medium=retailer&amp;postcode=2603" TargetMode="External"/><Relationship Id="rId7" Type="http://schemas.openxmlformats.org/officeDocument/2006/relationships/hyperlink" Target="https://www.energymadeeasy.gov.au/plan?id=ACT62937SRE4&amp;utm_source=ActewAGL&amp;utm_campaign=bpi-retailer&amp;utm_medium=retailer&amp;postcode=2600" TargetMode="External"/><Relationship Id="rId2" Type="http://schemas.openxmlformats.org/officeDocument/2006/relationships/hyperlink" Target="https://www.energymadeeasy.gov.au/plan?id=ENE19231MRE&amp;utm_source=EnergyAustralia&amp;utm_campaign=bpi-retailer&amp;utm_medium=retailer&amp;postcode=2603" TargetMode="External"/><Relationship Id="rId1" Type="http://schemas.openxmlformats.org/officeDocument/2006/relationships/hyperlink" Target="https://www.energymadeeasy.gov.au/plan?id=ENE19215MRE&amp;utm_source=EnergyAustralia&amp;utm_campaign=bpi-retailer&amp;utm_medium=retailer&amp;postcode=2603" TargetMode="External"/><Relationship Id="rId6" Type="http://schemas.openxmlformats.org/officeDocument/2006/relationships/hyperlink" Target="https://www.energymadeeasy.gov.au/plan?id=RED21835MRE&amp;postcode=2603" TargetMode="External"/><Relationship Id="rId5" Type="http://schemas.openxmlformats.org/officeDocument/2006/relationships/hyperlink" Target="https://www.energymadeeasy.gov.au/plan?id=RED21810MRE&amp;postcode=2603" TargetMode="External"/><Relationship Id="rId4" Type="http://schemas.openxmlformats.org/officeDocument/2006/relationships/hyperlink" Target="https://www.energymadeeasy.gov.au/plan?id=RED21811MRE&amp;postcode=2603"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energymadeeasy.gov.au/offer/942353/print" TargetMode="External"/><Relationship Id="rId2" Type="http://schemas.openxmlformats.org/officeDocument/2006/relationships/hyperlink" Target="https://www.energymadeeasy.gov.au/offer/942152/print" TargetMode="External"/><Relationship Id="rId1" Type="http://schemas.openxmlformats.org/officeDocument/2006/relationships/hyperlink" Target="https://www.energymadeeasy.gov.au/offer/942151/print" TargetMode="External"/></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42"/>
  <sheetViews>
    <sheetView showGridLines="0" zoomScale="106" workbookViewId="0">
      <selection activeCell="A15" sqref="A15:A33"/>
    </sheetView>
  </sheetViews>
  <sheetFormatPr baseColWidth="10" defaultRowHeight="13" x14ac:dyDescent="0.15"/>
  <cols>
    <col min="4" max="4" width="14.5" customWidth="1"/>
    <col min="6" max="6" width="8.1640625" customWidth="1"/>
    <col min="7" max="7" width="10.83203125" customWidth="1"/>
    <col min="8" max="8" width="14.6640625" customWidth="1"/>
    <col min="9" max="9" width="15.6640625" customWidth="1"/>
    <col min="10" max="10" width="18.5" customWidth="1"/>
    <col min="15" max="15" width="17" customWidth="1"/>
    <col min="16" max="16" width="26.1640625" customWidth="1"/>
    <col min="17" max="17" width="25.5" customWidth="1"/>
  </cols>
  <sheetData>
    <row r="1" spans="1:26" ht="14" x14ac:dyDescent="0.15">
      <c r="A1" s="1" t="s">
        <v>165</v>
      </c>
      <c r="B1" s="2"/>
      <c r="C1" s="2"/>
      <c r="D1" s="2"/>
      <c r="E1" s="3"/>
      <c r="F1" s="4"/>
      <c r="G1" s="4"/>
      <c r="H1" s="4"/>
      <c r="I1" s="4"/>
      <c r="J1" s="4"/>
      <c r="K1" s="4"/>
      <c r="L1" s="4"/>
      <c r="M1" s="4"/>
      <c r="N1" s="4"/>
      <c r="O1" s="4"/>
      <c r="P1" s="4"/>
      <c r="Q1" s="4"/>
      <c r="R1" s="4"/>
      <c r="S1" s="4"/>
      <c r="T1" s="4"/>
      <c r="U1" s="4"/>
      <c r="V1" s="4"/>
      <c r="W1" s="4"/>
      <c r="X1" s="4"/>
      <c r="Y1" s="4"/>
      <c r="Z1" s="4"/>
    </row>
    <row r="2" spans="1:26" ht="14" x14ac:dyDescent="0.15">
      <c r="A2" s="1" t="s">
        <v>162</v>
      </c>
      <c r="B2" s="2"/>
      <c r="C2" s="2"/>
      <c r="D2" s="2"/>
      <c r="E2" s="2"/>
      <c r="F2" s="4"/>
      <c r="G2" s="4"/>
      <c r="H2" s="4"/>
      <c r="I2" s="4"/>
      <c r="J2" s="4"/>
      <c r="K2" s="4"/>
      <c r="L2" s="4"/>
      <c r="M2" s="4"/>
      <c r="N2" s="4"/>
      <c r="O2" s="4"/>
      <c r="P2" s="4"/>
      <c r="Q2" s="4"/>
      <c r="R2" s="4"/>
      <c r="S2" s="4"/>
      <c r="T2" s="4"/>
      <c r="U2" s="4"/>
      <c r="V2" s="4"/>
      <c r="W2" s="4"/>
      <c r="X2" s="4"/>
      <c r="Y2" s="4"/>
      <c r="Z2" s="4"/>
    </row>
    <row r="3" spans="1:26" ht="14" x14ac:dyDescent="0.15">
      <c r="A3" s="5" t="s">
        <v>289</v>
      </c>
      <c r="B3" s="6"/>
      <c r="C3" s="6"/>
      <c r="D3" s="6"/>
      <c r="E3" s="6"/>
      <c r="F3" s="4"/>
      <c r="G3" s="4"/>
      <c r="H3" s="4"/>
      <c r="I3" s="4"/>
      <c r="J3" s="4"/>
      <c r="K3" s="4"/>
      <c r="L3" s="4"/>
      <c r="M3" s="4"/>
      <c r="N3" s="4"/>
      <c r="O3" s="4"/>
      <c r="P3" s="4"/>
      <c r="Q3" s="4"/>
      <c r="R3" s="4"/>
      <c r="S3" s="4"/>
      <c r="T3" s="4"/>
      <c r="U3" s="4"/>
      <c r="V3" s="4"/>
      <c r="W3" s="4"/>
      <c r="X3" s="4"/>
      <c r="Y3" s="4"/>
      <c r="Z3" s="4"/>
    </row>
    <row r="4" spans="1:26" x14ac:dyDescent="0.15">
      <c r="A4" s="2"/>
      <c r="B4" s="2"/>
      <c r="C4" s="2"/>
      <c r="D4" s="2"/>
      <c r="E4" s="2"/>
      <c r="F4" s="4"/>
      <c r="G4" s="4"/>
      <c r="H4" s="4"/>
      <c r="I4" s="4"/>
      <c r="J4" s="4"/>
      <c r="K4" s="4"/>
      <c r="L4" s="4"/>
      <c r="M4" s="4"/>
      <c r="N4" s="4"/>
      <c r="O4" s="4"/>
      <c r="P4" s="4"/>
      <c r="Q4" s="4"/>
      <c r="R4" s="4"/>
      <c r="S4" s="4"/>
      <c r="T4" s="4"/>
      <c r="U4" s="4"/>
      <c r="V4" s="4"/>
      <c r="W4" s="4"/>
      <c r="X4" s="4"/>
      <c r="Y4" s="4"/>
      <c r="Z4" s="4"/>
    </row>
    <row r="5" spans="1:26" x14ac:dyDescent="0.15">
      <c r="A5" s="4"/>
      <c r="B5" s="4"/>
      <c r="C5" s="4"/>
      <c r="D5" s="4"/>
      <c r="E5" s="4"/>
      <c r="F5" s="4"/>
      <c r="G5" s="4"/>
      <c r="H5" s="4"/>
      <c r="I5" s="4"/>
      <c r="J5" s="4"/>
      <c r="K5" s="4"/>
      <c r="L5" s="4"/>
      <c r="M5" s="4"/>
      <c r="N5" s="4"/>
      <c r="O5" s="4"/>
      <c r="P5" s="4"/>
      <c r="Q5" s="4"/>
      <c r="R5" s="4"/>
      <c r="S5" s="4"/>
      <c r="T5" s="4"/>
      <c r="U5" s="4"/>
      <c r="V5" s="4"/>
      <c r="W5" s="4"/>
      <c r="X5" s="4"/>
      <c r="Y5" s="4"/>
      <c r="Z5" s="4"/>
    </row>
    <row r="6" spans="1:26" ht="14" x14ac:dyDescent="0.15">
      <c r="A6" s="7" t="s">
        <v>2</v>
      </c>
      <c r="B6" s="8"/>
      <c r="C6" s="8"/>
      <c r="D6" s="8"/>
      <c r="E6" s="8"/>
      <c r="F6" s="4"/>
      <c r="G6" s="4"/>
      <c r="H6" s="4"/>
      <c r="I6" s="4"/>
      <c r="J6" s="4"/>
      <c r="K6" s="4"/>
      <c r="L6" s="4"/>
      <c r="M6" s="4"/>
      <c r="N6" s="4"/>
      <c r="O6" s="4"/>
      <c r="P6" s="4"/>
      <c r="Q6" s="4"/>
      <c r="R6" s="4"/>
      <c r="S6" s="4"/>
      <c r="T6" s="4"/>
      <c r="U6" s="4"/>
      <c r="V6" s="4"/>
      <c r="W6" s="4"/>
      <c r="X6" s="4"/>
      <c r="Y6" s="4"/>
      <c r="Z6" s="4"/>
    </row>
    <row r="7" spans="1:26" ht="14" x14ac:dyDescent="0.15">
      <c r="A7" s="8" t="s">
        <v>40</v>
      </c>
      <c r="B7" s="8"/>
      <c r="C7" s="8"/>
      <c r="D7" s="8"/>
      <c r="E7" s="8"/>
      <c r="F7" s="4"/>
      <c r="G7" s="4"/>
      <c r="H7" s="4"/>
      <c r="I7" s="4"/>
      <c r="J7" s="4"/>
      <c r="K7" s="4"/>
      <c r="L7" s="4"/>
      <c r="M7" s="4"/>
      <c r="N7" s="4"/>
      <c r="O7" s="4"/>
      <c r="P7" s="4"/>
      <c r="Q7" s="4"/>
      <c r="R7" s="4"/>
      <c r="S7" s="4"/>
      <c r="T7" s="4"/>
      <c r="U7" s="4"/>
      <c r="V7" s="4"/>
      <c r="W7" s="4"/>
      <c r="X7" s="4"/>
      <c r="Y7" s="4"/>
      <c r="Z7" s="4"/>
    </row>
    <row r="8" spans="1:26" ht="14" x14ac:dyDescent="0.15">
      <c r="A8" s="8" t="s">
        <v>293</v>
      </c>
      <c r="B8" s="8"/>
      <c r="C8" s="8"/>
      <c r="D8" s="8"/>
      <c r="E8" s="8"/>
      <c r="F8" s="4"/>
      <c r="G8" s="4"/>
      <c r="H8" s="4"/>
      <c r="I8" s="4"/>
      <c r="J8" s="4"/>
      <c r="K8" s="4"/>
      <c r="L8" s="4"/>
      <c r="M8" s="4"/>
      <c r="N8" s="4"/>
      <c r="O8" s="4"/>
      <c r="P8" s="4"/>
      <c r="Q8" s="4"/>
      <c r="R8" s="4"/>
      <c r="S8" s="4"/>
      <c r="T8" s="4"/>
      <c r="U8" s="4"/>
      <c r="V8" s="4"/>
      <c r="W8" s="4"/>
      <c r="X8" s="4"/>
      <c r="Y8" s="4"/>
      <c r="Z8" s="4"/>
    </row>
    <row r="9" spans="1:26" ht="15" thickBot="1" x14ac:dyDescent="0.2">
      <c r="A9" s="8" t="s">
        <v>66</v>
      </c>
      <c r="B9" s="8"/>
      <c r="C9" s="8"/>
      <c r="D9" s="8"/>
      <c r="E9" s="8"/>
      <c r="F9" s="4"/>
      <c r="G9" s="4"/>
      <c r="H9" s="4"/>
      <c r="I9" s="4"/>
      <c r="J9" s="4"/>
      <c r="K9" s="4"/>
      <c r="L9" s="4"/>
      <c r="M9" s="4"/>
      <c r="N9" s="4"/>
      <c r="O9" s="4"/>
      <c r="P9" s="4"/>
      <c r="Q9" s="4"/>
      <c r="R9" s="4"/>
      <c r="S9" s="4"/>
      <c r="T9" s="4"/>
      <c r="U9" s="4"/>
      <c r="V9" s="4"/>
      <c r="W9" s="4"/>
      <c r="X9" s="4"/>
      <c r="Y9" s="4"/>
      <c r="Z9" s="4"/>
    </row>
    <row r="10" spans="1:26" ht="14" x14ac:dyDescent="0.15">
      <c r="A10" s="8" t="s">
        <v>13</v>
      </c>
      <c r="B10" s="8"/>
      <c r="C10" s="8"/>
      <c r="D10" s="8"/>
      <c r="E10" s="8"/>
      <c r="F10" s="4"/>
      <c r="G10" s="4"/>
      <c r="H10" s="4"/>
      <c r="I10" s="4"/>
      <c r="J10" s="4"/>
      <c r="K10" s="9" t="s">
        <v>0</v>
      </c>
      <c r="L10" s="10"/>
      <c r="M10" s="10"/>
      <c r="N10" s="10"/>
      <c r="O10" s="10"/>
      <c r="P10" s="11"/>
      <c r="Q10" s="12"/>
      <c r="R10" s="4"/>
      <c r="S10" s="4"/>
      <c r="T10" s="4"/>
      <c r="U10" s="4"/>
      <c r="V10" s="4"/>
      <c r="W10" s="4"/>
      <c r="X10" s="4"/>
      <c r="Y10" s="4"/>
      <c r="Z10" s="4"/>
    </row>
    <row r="11" spans="1:26" ht="14" x14ac:dyDescent="0.15">
      <c r="A11" s="8"/>
      <c r="B11" s="8"/>
      <c r="C11" s="8"/>
      <c r="D11" s="8"/>
      <c r="E11" s="8"/>
      <c r="F11" s="4"/>
      <c r="G11" s="4"/>
      <c r="H11" s="85"/>
      <c r="I11" s="85"/>
      <c r="J11" s="4"/>
      <c r="K11" s="13" t="s">
        <v>193</v>
      </c>
      <c r="L11" s="12"/>
      <c r="M11" s="12"/>
      <c r="N11" s="12"/>
      <c r="O11" s="12"/>
      <c r="P11" s="14"/>
      <c r="Q11" s="12"/>
      <c r="R11" s="4"/>
      <c r="S11" s="4"/>
      <c r="T11" s="4"/>
      <c r="U11" s="4"/>
      <c r="V11" s="4"/>
      <c r="W11" s="4"/>
      <c r="X11" s="4"/>
      <c r="Y11" s="4"/>
      <c r="Z11" s="4"/>
    </row>
    <row r="12" spans="1:26" ht="14" x14ac:dyDescent="0.15">
      <c r="A12" s="51" t="s">
        <v>191</v>
      </c>
      <c r="B12" s="8"/>
      <c r="C12" s="8"/>
      <c r="D12" s="8"/>
      <c r="E12" s="8"/>
      <c r="F12" s="4"/>
      <c r="G12" s="4"/>
      <c r="H12" s="4"/>
      <c r="I12" s="4"/>
      <c r="J12" s="4"/>
      <c r="K12" s="13" t="s">
        <v>192</v>
      </c>
      <c r="L12" s="12"/>
      <c r="M12" s="12"/>
      <c r="N12" s="12"/>
      <c r="O12" s="12"/>
      <c r="P12" s="14"/>
      <c r="Q12" s="12"/>
      <c r="R12" s="4"/>
      <c r="S12" s="4"/>
      <c r="T12" s="4"/>
      <c r="U12" s="4"/>
      <c r="V12" s="4"/>
      <c r="W12" s="4"/>
      <c r="X12" s="4"/>
      <c r="Y12" s="4"/>
      <c r="Z12" s="4"/>
    </row>
    <row r="13" spans="1:26" ht="14" x14ac:dyDescent="0.15">
      <c r="A13" s="52" t="s">
        <v>213</v>
      </c>
      <c r="B13" s="8"/>
      <c r="C13" s="8"/>
      <c r="D13" s="8"/>
      <c r="E13" s="8"/>
      <c r="F13" s="4"/>
      <c r="G13" s="4"/>
      <c r="H13" s="4"/>
      <c r="I13" s="4"/>
      <c r="J13" s="4"/>
      <c r="K13" s="13" t="s">
        <v>214</v>
      </c>
      <c r="L13" s="12"/>
      <c r="M13" s="12"/>
      <c r="N13" s="12"/>
      <c r="O13" s="12"/>
      <c r="P13" s="14"/>
      <c r="Q13" s="12"/>
      <c r="R13" s="4"/>
      <c r="S13" s="4"/>
      <c r="T13" s="4"/>
      <c r="U13" s="4"/>
      <c r="V13" s="4"/>
      <c r="W13" s="4"/>
      <c r="X13" s="4"/>
      <c r="Y13" s="4"/>
      <c r="Z13" s="4"/>
    </row>
    <row r="14" spans="1:26" ht="15" thickBot="1" x14ac:dyDescent="0.2">
      <c r="A14" s="47"/>
      <c r="B14" s="8"/>
      <c r="C14" s="8"/>
      <c r="D14" s="8"/>
      <c r="E14" s="8"/>
      <c r="F14" s="4"/>
      <c r="G14" s="4"/>
      <c r="H14" s="4"/>
      <c r="J14" s="4"/>
      <c r="K14" s="15" t="s">
        <v>167</v>
      </c>
      <c r="L14" s="16"/>
      <c r="M14" s="16"/>
      <c r="N14" s="16"/>
      <c r="O14" s="16"/>
      <c r="P14" s="17"/>
      <c r="Q14" s="12"/>
      <c r="R14" s="4"/>
      <c r="S14" s="4"/>
      <c r="T14" s="4"/>
      <c r="U14" s="4"/>
      <c r="V14" s="4"/>
      <c r="W14" s="4"/>
      <c r="X14" s="4"/>
      <c r="Y14" s="4"/>
      <c r="Z14" s="4"/>
    </row>
    <row r="15" spans="1:26" ht="14" x14ac:dyDescent="0.15">
      <c r="A15" s="51" t="s">
        <v>92</v>
      </c>
      <c r="B15" s="8"/>
      <c r="C15" s="8"/>
      <c r="D15" s="8"/>
      <c r="E15" s="8"/>
      <c r="F15" s="4"/>
      <c r="G15" s="4"/>
      <c r="H15" s="4"/>
      <c r="I15" s="284" t="s">
        <v>215</v>
      </c>
      <c r="J15" s="4"/>
      <c r="K15" s="4"/>
      <c r="L15" s="4"/>
      <c r="M15" s="4"/>
      <c r="N15" s="4"/>
      <c r="O15" s="4"/>
      <c r="P15" s="4"/>
      <c r="Q15" s="4"/>
      <c r="R15" s="4"/>
      <c r="S15" s="4"/>
      <c r="T15" s="4"/>
      <c r="U15" s="4"/>
      <c r="V15" s="4"/>
      <c r="W15" s="4"/>
      <c r="X15" s="4"/>
      <c r="Y15" s="4"/>
      <c r="Z15" s="4"/>
    </row>
    <row r="16" spans="1:26" ht="15" thickBot="1" x14ac:dyDescent="0.2">
      <c r="A16" s="47" t="s">
        <v>447</v>
      </c>
      <c r="B16" s="8"/>
      <c r="C16" s="8"/>
      <c r="D16" s="8"/>
      <c r="E16" s="8"/>
      <c r="F16" s="4"/>
      <c r="G16" s="4"/>
      <c r="H16" s="4"/>
      <c r="I16" s="294" t="s">
        <v>314</v>
      </c>
      <c r="J16" s="4"/>
      <c r="K16" s="4"/>
      <c r="L16" s="4"/>
      <c r="M16" s="4"/>
      <c r="N16" s="4"/>
      <c r="O16" s="4"/>
      <c r="P16" s="4"/>
      <c r="Q16" s="4"/>
      <c r="R16" s="4"/>
      <c r="S16" s="4"/>
      <c r="T16" s="4"/>
      <c r="U16" s="4"/>
      <c r="V16" s="4"/>
      <c r="W16" s="4"/>
      <c r="X16" s="4"/>
      <c r="Y16" s="4"/>
      <c r="Z16" s="4"/>
    </row>
    <row r="17" spans="1:26" ht="14" x14ac:dyDescent="0.15">
      <c r="A17" s="47" t="s">
        <v>448</v>
      </c>
      <c r="B17" s="8"/>
      <c r="C17" s="8"/>
      <c r="D17" s="8"/>
      <c r="E17" s="8"/>
      <c r="F17" s="4"/>
      <c r="G17" s="4"/>
      <c r="H17" s="4"/>
      <c r="I17" s="294" t="s">
        <v>321</v>
      </c>
      <c r="J17" s="4"/>
      <c r="K17" s="9" t="s">
        <v>93</v>
      </c>
      <c r="L17" s="10"/>
      <c r="M17" s="10"/>
      <c r="N17" s="10"/>
      <c r="O17" s="18"/>
      <c r="P17" s="18"/>
      <c r="Q17" s="19"/>
      <c r="R17" s="4"/>
      <c r="S17" s="4"/>
      <c r="T17" s="4"/>
      <c r="U17" s="4"/>
      <c r="V17" s="4"/>
      <c r="W17" s="4"/>
      <c r="X17" s="4"/>
      <c r="Y17" s="4"/>
      <c r="Z17" s="4"/>
    </row>
    <row r="18" spans="1:26" ht="14" x14ac:dyDescent="0.15">
      <c r="A18" s="47" t="s">
        <v>449</v>
      </c>
      <c r="B18" s="8"/>
      <c r="C18" s="8"/>
      <c r="D18" s="8"/>
      <c r="E18" s="8"/>
      <c r="F18" s="4"/>
      <c r="G18" s="4"/>
      <c r="I18" s="294" t="s">
        <v>325</v>
      </c>
      <c r="J18" s="4"/>
      <c r="K18" s="13" t="s">
        <v>64</v>
      </c>
      <c r="L18" s="12"/>
      <c r="M18" s="12"/>
      <c r="N18" s="12"/>
      <c r="O18" s="12"/>
      <c r="P18" s="12"/>
      <c r="Q18" s="14"/>
      <c r="R18" s="4"/>
      <c r="S18" s="4"/>
      <c r="T18" s="4"/>
      <c r="U18" s="4"/>
      <c r="V18" s="4"/>
      <c r="W18" s="4"/>
      <c r="X18" s="4"/>
      <c r="Y18" s="4"/>
      <c r="Z18" s="4"/>
    </row>
    <row r="19" spans="1:26" ht="14" x14ac:dyDescent="0.15">
      <c r="A19" s="47" t="s">
        <v>450</v>
      </c>
      <c r="B19" s="8"/>
      <c r="C19" s="8"/>
      <c r="D19" s="8"/>
      <c r="E19" s="8"/>
      <c r="F19" s="4"/>
      <c r="G19" s="4"/>
      <c r="H19" s="4"/>
      <c r="I19" s="294" t="s">
        <v>353</v>
      </c>
      <c r="J19" s="4"/>
      <c r="K19" s="13" t="s">
        <v>195</v>
      </c>
      <c r="L19" s="12"/>
      <c r="M19" s="12"/>
      <c r="N19" s="12"/>
      <c r="O19" s="12"/>
      <c r="P19" s="12"/>
      <c r="Q19" s="14"/>
      <c r="R19" s="4"/>
      <c r="S19" s="4"/>
      <c r="T19" s="4"/>
      <c r="U19" s="4"/>
      <c r="V19" s="4"/>
      <c r="W19" s="4"/>
      <c r="X19" s="4"/>
      <c r="Y19" s="4"/>
      <c r="Z19" s="4"/>
    </row>
    <row r="20" spans="1:26" ht="14" x14ac:dyDescent="0.15">
      <c r="A20" s="47" t="s">
        <v>451</v>
      </c>
      <c r="B20" s="8"/>
      <c r="C20" s="8"/>
      <c r="D20" s="8"/>
      <c r="E20" s="8"/>
      <c r="F20" s="4"/>
      <c r="G20" s="4"/>
      <c r="I20" s="294" t="s">
        <v>364</v>
      </c>
      <c r="J20" s="4"/>
      <c r="K20" s="13" t="s">
        <v>218</v>
      </c>
      <c r="L20" s="12"/>
      <c r="M20" s="12"/>
      <c r="N20" s="12"/>
      <c r="O20" s="12"/>
      <c r="P20" s="12"/>
      <c r="Q20" s="14"/>
      <c r="R20" s="4"/>
      <c r="S20" s="4"/>
      <c r="T20" s="4"/>
      <c r="U20" s="4"/>
      <c r="V20" s="4"/>
      <c r="W20" s="4"/>
      <c r="X20" s="4"/>
      <c r="Y20" s="4"/>
      <c r="Z20" s="4"/>
    </row>
    <row r="21" spans="1:26" ht="14" x14ac:dyDescent="0.15">
      <c r="A21" s="47" t="s">
        <v>452</v>
      </c>
      <c r="B21" s="8"/>
      <c r="C21" s="8"/>
      <c r="D21" s="20"/>
      <c r="E21" s="20"/>
      <c r="F21" s="4"/>
      <c r="G21" s="4"/>
      <c r="H21" s="4"/>
      <c r="I21" s="294" t="s">
        <v>381</v>
      </c>
      <c r="J21" s="4"/>
      <c r="K21" s="13" t="s">
        <v>175</v>
      </c>
      <c r="L21" s="12"/>
      <c r="M21" s="12"/>
      <c r="N21" s="12"/>
      <c r="O21" s="4"/>
      <c r="P21" s="4"/>
      <c r="Q21" s="21"/>
      <c r="R21" s="4"/>
      <c r="S21" s="4"/>
      <c r="T21" s="4"/>
      <c r="U21" s="4"/>
      <c r="V21" s="4"/>
      <c r="W21" s="4"/>
      <c r="X21" s="4"/>
      <c r="Y21" s="4"/>
      <c r="Z21" s="4"/>
    </row>
    <row r="22" spans="1:26" ht="14" x14ac:dyDescent="0.15">
      <c r="A22" s="47" t="s">
        <v>421</v>
      </c>
      <c r="B22" s="8"/>
      <c r="C22" s="8"/>
      <c r="D22" s="8"/>
      <c r="E22" s="8"/>
      <c r="F22" s="4"/>
      <c r="G22" s="4"/>
      <c r="H22" s="4"/>
      <c r="I22" s="294" t="s">
        <v>404</v>
      </c>
      <c r="J22" s="4"/>
      <c r="K22" s="13" t="s">
        <v>166</v>
      </c>
      <c r="L22" s="12"/>
      <c r="M22" s="12"/>
      <c r="N22" s="12"/>
      <c r="O22" s="4"/>
      <c r="P22" s="4"/>
      <c r="Q22" s="21"/>
      <c r="R22" s="4"/>
      <c r="S22" s="4"/>
      <c r="T22" s="4"/>
      <c r="U22" s="4"/>
      <c r="V22" s="4"/>
      <c r="W22" s="4"/>
      <c r="X22" s="4"/>
      <c r="Y22" s="4"/>
      <c r="Z22" s="4"/>
    </row>
    <row r="23" spans="1:26" ht="14" x14ac:dyDescent="0.15">
      <c r="A23" s="47" t="s">
        <v>422</v>
      </c>
      <c r="B23" s="8"/>
      <c r="C23" s="8"/>
      <c r="D23" s="8"/>
      <c r="E23" s="8"/>
      <c r="F23" s="4"/>
      <c r="G23" s="4"/>
      <c r="H23" s="4"/>
      <c r="I23" s="295" t="s">
        <v>408</v>
      </c>
      <c r="J23" s="4"/>
      <c r="K23" s="13" t="s">
        <v>122</v>
      </c>
      <c r="L23" s="12"/>
      <c r="M23" s="12"/>
      <c r="N23" s="12"/>
      <c r="O23" s="4"/>
      <c r="P23" s="4"/>
      <c r="Q23" s="21"/>
      <c r="R23" s="4"/>
      <c r="S23" s="4"/>
      <c r="T23" s="4"/>
      <c r="U23" s="4"/>
      <c r="V23" s="4"/>
      <c r="W23" s="4"/>
      <c r="X23" s="4"/>
      <c r="Y23" s="4"/>
      <c r="Z23" s="4"/>
    </row>
    <row r="24" spans="1:26" ht="14" x14ac:dyDescent="0.15">
      <c r="A24" s="47" t="s">
        <v>423</v>
      </c>
      <c r="B24" s="4"/>
      <c r="C24" s="4"/>
      <c r="D24" s="4"/>
      <c r="E24" s="4"/>
      <c r="F24" s="4"/>
      <c r="G24" s="4"/>
      <c r="J24" s="4"/>
      <c r="K24" s="13" t="s">
        <v>123</v>
      </c>
      <c r="L24" s="12"/>
      <c r="M24" s="12"/>
      <c r="N24" s="12"/>
      <c r="Q24" s="22"/>
      <c r="R24" s="4"/>
      <c r="S24" s="4"/>
      <c r="T24" s="4"/>
      <c r="U24" s="4"/>
      <c r="V24" s="4"/>
      <c r="W24" s="4"/>
      <c r="X24" s="4"/>
      <c r="Y24" s="4"/>
      <c r="Z24" s="4"/>
    </row>
    <row r="25" spans="1:26" ht="15" thickBot="1" x14ac:dyDescent="0.2">
      <c r="A25" s="47" t="s">
        <v>424</v>
      </c>
      <c r="B25" s="8"/>
      <c r="C25" s="8"/>
      <c r="D25" s="8"/>
      <c r="E25" s="8"/>
      <c r="F25" s="4"/>
      <c r="G25" s="4"/>
      <c r="H25" s="4"/>
      <c r="J25" s="4"/>
      <c r="K25" s="15" t="s">
        <v>124</v>
      </c>
      <c r="L25" s="16"/>
      <c r="M25" s="16"/>
      <c r="N25" s="16"/>
      <c r="O25" s="23"/>
      <c r="P25" s="23"/>
      <c r="Q25" s="24"/>
      <c r="R25" s="4"/>
      <c r="S25" s="4"/>
      <c r="V25" s="4"/>
      <c r="W25" s="4"/>
      <c r="X25" s="4"/>
      <c r="Y25" s="4"/>
      <c r="Z25" s="4"/>
    </row>
    <row r="26" spans="1:26" ht="14" x14ac:dyDescent="0.15">
      <c r="A26" s="47" t="s">
        <v>425</v>
      </c>
      <c r="B26" s="4"/>
      <c r="C26" s="4"/>
      <c r="D26" s="4"/>
      <c r="E26" s="4"/>
      <c r="F26" s="4"/>
      <c r="G26" s="4"/>
      <c r="H26" s="4"/>
      <c r="I26" s="283" t="s">
        <v>198</v>
      </c>
      <c r="J26" s="4"/>
      <c r="K26" s="4"/>
      <c r="L26" s="4"/>
      <c r="M26" s="4"/>
      <c r="N26" s="4"/>
      <c r="O26" s="4"/>
      <c r="P26" s="4"/>
      <c r="Q26" s="4"/>
      <c r="R26" s="4"/>
      <c r="S26" s="4"/>
      <c r="T26" s="4"/>
      <c r="U26" s="4"/>
      <c r="V26" s="4"/>
      <c r="W26" s="4"/>
      <c r="X26" s="4"/>
      <c r="Y26" s="4"/>
      <c r="Z26" s="4"/>
    </row>
    <row r="27" spans="1:26" ht="14" x14ac:dyDescent="0.15">
      <c r="A27" s="47" t="s">
        <v>426</v>
      </c>
      <c r="B27" s="4"/>
      <c r="C27" s="4"/>
      <c r="D27" s="4"/>
      <c r="E27" s="4"/>
      <c r="F27" s="4"/>
      <c r="G27" s="4"/>
      <c r="H27" s="4"/>
      <c r="I27" s="305" t="s">
        <v>444</v>
      </c>
      <c r="J27" s="4"/>
      <c r="K27" s="4"/>
      <c r="L27" s="4"/>
      <c r="M27" s="4"/>
      <c r="N27" s="4"/>
      <c r="O27" s="4"/>
      <c r="P27" s="4"/>
      <c r="Q27" s="4"/>
      <c r="R27" s="4"/>
      <c r="S27" s="4"/>
      <c r="T27" s="4"/>
      <c r="U27" s="4"/>
      <c r="V27" s="4"/>
      <c r="W27" s="4"/>
      <c r="X27" s="4"/>
      <c r="Y27" s="4"/>
      <c r="Z27" s="4"/>
    </row>
    <row r="28" spans="1:26" ht="14" x14ac:dyDescent="0.15">
      <c r="A28" s="47" t="s">
        <v>427</v>
      </c>
      <c r="B28" s="4"/>
      <c r="F28" s="4"/>
      <c r="G28" s="4"/>
      <c r="H28" s="4"/>
      <c r="I28" s="299" t="s">
        <v>431</v>
      </c>
      <c r="J28" s="4"/>
      <c r="K28" s="4"/>
      <c r="L28" s="4"/>
      <c r="M28" s="4"/>
      <c r="N28" s="4"/>
      <c r="O28" s="4"/>
      <c r="P28" s="4"/>
      <c r="Q28" s="4"/>
      <c r="R28" s="4"/>
      <c r="S28" s="4"/>
      <c r="T28" s="4"/>
      <c r="U28" s="4"/>
      <c r="V28" s="4"/>
      <c r="W28" s="4"/>
      <c r="X28" s="4"/>
      <c r="Y28" s="4"/>
      <c r="Z28" s="4"/>
    </row>
    <row r="29" spans="1:26" ht="14" x14ac:dyDescent="0.15">
      <c r="A29" s="47" t="s">
        <v>428</v>
      </c>
      <c r="B29" s="4"/>
      <c r="F29" s="4"/>
      <c r="G29" s="4"/>
      <c r="H29" s="4"/>
      <c r="I29" s="285" t="s">
        <v>396</v>
      </c>
      <c r="J29" s="4"/>
      <c r="K29" s="4"/>
      <c r="L29" s="4"/>
      <c r="M29" s="4"/>
      <c r="N29" s="4"/>
      <c r="O29" s="4"/>
      <c r="P29" s="4"/>
      <c r="Q29" s="4"/>
      <c r="R29" s="4"/>
      <c r="S29" s="4"/>
      <c r="T29" s="4"/>
      <c r="U29" s="4"/>
      <c r="V29" s="4"/>
      <c r="W29" s="4"/>
      <c r="X29" s="4"/>
      <c r="Y29" s="4"/>
      <c r="Z29" s="4"/>
    </row>
    <row r="30" spans="1:26" ht="14" x14ac:dyDescent="0.15">
      <c r="A30" s="47" t="s">
        <v>429</v>
      </c>
      <c r="B30" s="4"/>
      <c r="C30" s="4"/>
      <c r="D30" s="4"/>
      <c r="E30" s="4"/>
      <c r="F30" s="4"/>
      <c r="G30" s="4"/>
      <c r="H30" s="4"/>
      <c r="I30" s="228" t="s">
        <v>363</v>
      </c>
      <c r="J30" s="4"/>
      <c r="K30" s="4"/>
      <c r="L30" s="4"/>
      <c r="M30" s="4"/>
      <c r="N30" s="4"/>
      <c r="O30" s="4"/>
      <c r="P30" s="4"/>
      <c r="Q30" s="4"/>
      <c r="R30" s="4"/>
      <c r="S30" s="4"/>
      <c r="T30" s="4"/>
      <c r="U30" s="4"/>
      <c r="V30" s="4"/>
      <c r="W30" s="4"/>
      <c r="X30" s="4"/>
      <c r="Y30" s="4"/>
      <c r="Z30" s="4"/>
    </row>
    <row r="31" spans="1:26" ht="14" x14ac:dyDescent="0.15">
      <c r="A31" s="47" t="s">
        <v>432</v>
      </c>
      <c r="B31" s="8"/>
      <c r="C31" s="8"/>
      <c r="D31" s="8"/>
      <c r="E31" s="8"/>
      <c r="F31" s="4"/>
      <c r="G31" s="4"/>
      <c r="H31" s="4"/>
      <c r="I31" s="153" t="s">
        <v>302</v>
      </c>
      <c r="J31" s="4"/>
      <c r="K31" s="4"/>
      <c r="L31" s="4"/>
      <c r="M31" s="4"/>
      <c r="N31" s="4"/>
      <c r="O31" s="4"/>
      <c r="P31" s="4"/>
      <c r="Q31" s="4"/>
      <c r="R31" s="4"/>
      <c r="S31" s="4"/>
      <c r="T31" s="4"/>
      <c r="U31" s="4"/>
      <c r="V31" s="4"/>
      <c r="W31" s="4"/>
      <c r="X31" s="4"/>
      <c r="Y31" s="4"/>
      <c r="Z31" s="4"/>
    </row>
    <row r="32" spans="1:26" ht="14" x14ac:dyDescent="0.15">
      <c r="A32" s="47" t="s">
        <v>453</v>
      </c>
      <c r="G32" s="4"/>
      <c r="H32" s="4"/>
      <c r="I32" s="149" t="s">
        <v>292</v>
      </c>
      <c r="J32" s="4"/>
      <c r="K32" s="4"/>
      <c r="L32" s="4"/>
      <c r="M32" s="4"/>
      <c r="N32" s="4"/>
      <c r="O32" s="4"/>
      <c r="P32" s="4"/>
      <c r="Q32" s="4"/>
      <c r="R32" s="4"/>
      <c r="S32" s="4"/>
      <c r="T32" s="4"/>
      <c r="U32" s="4"/>
      <c r="V32" s="4"/>
      <c r="W32" s="4"/>
      <c r="X32" s="4"/>
      <c r="Y32" s="4"/>
      <c r="Z32" s="4"/>
    </row>
    <row r="33" spans="1:26" ht="14" x14ac:dyDescent="0.15">
      <c r="A33" s="47" t="s">
        <v>290</v>
      </c>
      <c r="B33" s="8"/>
      <c r="C33" s="8"/>
      <c r="D33" s="8"/>
      <c r="E33" s="8"/>
      <c r="F33" s="4"/>
      <c r="G33" s="4"/>
      <c r="H33" s="4"/>
      <c r="I33" s="141" t="s">
        <v>291</v>
      </c>
      <c r="J33" s="4"/>
      <c r="K33" s="4"/>
      <c r="L33" s="4"/>
      <c r="M33" s="4"/>
      <c r="N33" s="4"/>
      <c r="O33" s="4"/>
      <c r="P33" s="4"/>
      <c r="Q33" s="4"/>
      <c r="R33" s="4"/>
      <c r="S33" s="4"/>
      <c r="T33" s="4"/>
      <c r="U33" s="4"/>
      <c r="V33" s="4"/>
      <c r="W33" s="4"/>
      <c r="X33" s="4"/>
      <c r="Y33" s="4"/>
      <c r="Z33" s="4"/>
    </row>
    <row r="34" spans="1:26" ht="15" thickBot="1" x14ac:dyDescent="0.2">
      <c r="A34" s="7"/>
      <c r="B34" s="8"/>
      <c r="C34" s="8"/>
      <c r="D34" s="8"/>
      <c r="E34" s="8"/>
      <c r="F34" s="4"/>
      <c r="G34" s="4"/>
      <c r="H34" s="4"/>
      <c r="I34" s="86" t="s">
        <v>197</v>
      </c>
      <c r="J34" s="4"/>
      <c r="K34" s="4"/>
      <c r="L34" s="4"/>
      <c r="M34" s="4"/>
      <c r="N34" s="4"/>
      <c r="O34" s="4"/>
      <c r="P34" s="4"/>
      <c r="Q34" s="4"/>
      <c r="R34" s="4"/>
      <c r="S34" s="4"/>
      <c r="T34" s="4"/>
      <c r="U34" s="4"/>
      <c r="V34" s="4"/>
      <c r="W34" s="4"/>
      <c r="X34" s="4"/>
      <c r="Y34" s="4"/>
      <c r="Z34" s="4"/>
    </row>
    <row r="35" spans="1:26" ht="14" x14ac:dyDescent="0.15">
      <c r="A35" s="7" t="s">
        <v>65</v>
      </c>
      <c r="B35" s="8"/>
      <c r="C35" s="8"/>
      <c r="D35" s="8"/>
      <c r="E35" s="8"/>
      <c r="F35" s="4"/>
      <c r="G35" s="4"/>
      <c r="H35" s="4"/>
      <c r="I35" s="4"/>
      <c r="J35" s="4"/>
      <c r="K35" s="4"/>
      <c r="L35" s="4"/>
      <c r="M35" s="4"/>
      <c r="N35" s="4"/>
      <c r="O35" s="4"/>
      <c r="P35" s="4"/>
      <c r="Q35" s="4"/>
      <c r="R35" s="4"/>
      <c r="S35" s="4"/>
      <c r="T35" s="4"/>
      <c r="U35" s="4"/>
      <c r="V35" s="4"/>
      <c r="W35" s="4"/>
      <c r="X35" s="4"/>
      <c r="Y35" s="4"/>
      <c r="Z35" s="4"/>
    </row>
    <row r="36" spans="1:26" x14ac:dyDescent="0.15">
      <c r="A36" s="154" t="s">
        <v>445</v>
      </c>
      <c r="B36" s="52"/>
      <c r="C36" s="52"/>
      <c r="D36" s="52"/>
      <c r="E36" s="52"/>
      <c r="F36" s="4"/>
      <c r="G36" s="4"/>
      <c r="H36" s="4"/>
      <c r="I36" s="4"/>
      <c r="J36" s="4"/>
      <c r="K36" s="4"/>
      <c r="L36" s="4"/>
      <c r="M36" s="4"/>
      <c r="N36" s="4"/>
      <c r="O36" s="4"/>
      <c r="P36" s="4"/>
      <c r="Q36" s="4"/>
      <c r="R36" s="4"/>
      <c r="S36" s="4"/>
      <c r="T36" s="4"/>
      <c r="U36" s="4"/>
      <c r="V36" s="4"/>
      <c r="W36" s="4"/>
      <c r="X36" s="4"/>
      <c r="Y36" s="4"/>
      <c r="Z36" s="4"/>
    </row>
    <row r="37" spans="1:26" x14ac:dyDescent="0.15">
      <c r="A37" s="154" t="s">
        <v>446</v>
      </c>
      <c r="B37" s="52"/>
      <c r="C37" s="52"/>
      <c r="D37" s="52"/>
      <c r="E37" s="52"/>
      <c r="F37" s="4"/>
      <c r="G37" s="4"/>
      <c r="H37" s="4"/>
      <c r="I37" s="4"/>
      <c r="J37" s="4"/>
      <c r="K37" s="4"/>
      <c r="L37" s="4"/>
      <c r="M37" s="4"/>
      <c r="N37" s="4"/>
      <c r="O37" s="4"/>
      <c r="P37" s="4"/>
      <c r="Q37" s="4"/>
      <c r="R37" s="4"/>
      <c r="S37" s="4"/>
      <c r="T37" s="4"/>
      <c r="U37" s="4"/>
      <c r="V37" s="4"/>
      <c r="W37" s="4"/>
      <c r="X37" s="4"/>
      <c r="Y37" s="4"/>
      <c r="Z37" s="4"/>
    </row>
    <row r="38" spans="1:26" x14ac:dyDescent="0.15">
      <c r="A38" s="52" t="s">
        <v>159</v>
      </c>
      <c r="B38" s="52"/>
      <c r="C38" s="52"/>
      <c r="D38" s="52"/>
      <c r="E38" s="52"/>
      <c r="F38" s="4"/>
      <c r="G38" s="4"/>
      <c r="H38" s="4"/>
      <c r="I38" s="4"/>
      <c r="J38" s="4"/>
      <c r="K38" s="4"/>
      <c r="L38" s="4"/>
      <c r="M38" s="4"/>
      <c r="N38" s="4"/>
      <c r="O38" s="4"/>
      <c r="P38" s="4"/>
      <c r="Q38" s="4"/>
      <c r="R38" s="4"/>
      <c r="S38" s="4"/>
      <c r="T38" s="4"/>
      <c r="U38" s="4"/>
      <c r="V38" s="4"/>
      <c r="W38" s="4"/>
      <c r="X38" s="4"/>
      <c r="Y38" s="4"/>
      <c r="Z38" s="4"/>
    </row>
    <row r="39" spans="1:26" x14ac:dyDescent="0.15">
      <c r="A39" s="52" t="s">
        <v>160</v>
      </c>
      <c r="B39" s="52"/>
      <c r="C39" s="52"/>
      <c r="D39" s="52"/>
      <c r="E39" s="52"/>
      <c r="F39" s="4"/>
      <c r="G39" s="4"/>
      <c r="H39" s="4"/>
      <c r="I39" s="4"/>
      <c r="J39" s="4"/>
      <c r="K39" s="4"/>
      <c r="L39" s="4"/>
      <c r="M39" s="4"/>
      <c r="N39" s="4"/>
      <c r="O39" s="4"/>
      <c r="P39" s="4"/>
      <c r="Q39" s="4"/>
      <c r="R39" s="4"/>
      <c r="S39" s="4"/>
      <c r="T39" s="4"/>
      <c r="U39" s="4"/>
      <c r="V39" s="4"/>
      <c r="W39" s="4"/>
      <c r="X39" s="4"/>
      <c r="Y39" s="4"/>
      <c r="Z39" s="4"/>
    </row>
    <row r="40" spans="1:26" x14ac:dyDescent="0.15">
      <c r="A40" s="52" t="s">
        <v>161</v>
      </c>
      <c r="B40" s="38"/>
      <c r="C40" s="38"/>
      <c r="D40" s="38"/>
      <c r="E40" s="87"/>
      <c r="F40" s="4"/>
      <c r="G40" s="4"/>
      <c r="H40" s="4"/>
      <c r="I40" s="4"/>
      <c r="J40" s="4"/>
      <c r="K40" s="4"/>
      <c r="L40" s="4"/>
      <c r="M40" s="4"/>
      <c r="N40" s="4"/>
      <c r="O40" s="4"/>
      <c r="P40" s="4"/>
      <c r="Q40" s="4"/>
      <c r="R40" s="4"/>
      <c r="S40" s="4"/>
      <c r="T40" s="4"/>
      <c r="U40" s="4"/>
      <c r="V40" s="4"/>
      <c r="W40" s="4"/>
      <c r="X40" s="4"/>
      <c r="Y40" s="4"/>
      <c r="Z40" s="4"/>
    </row>
    <row r="41" spans="1:26" x14ac:dyDescent="0.15">
      <c r="A41" s="52" t="s">
        <v>241</v>
      </c>
      <c r="B41" s="52"/>
      <c r="C41" s="52"/>
      <c r="D41" s="52"/>
      <c r="E41" s="52"/>
      <c r="F41" s="4"/>
      <c r="G41" s="4"/>
      <c r="H41" s="4"/>
      <c r="I41" s="4"/>
      <c r="J41" s="4"/>
      <c r="K41" s="4"/>
      <c r="L41" s="4"/>
      <c r="M41" s="4"/>
      <c r="N41" s="4"/>
      <c r="O41" s="4"/>
      <c r="P41" s="4"/>
      <c r="Q41" s="4"/>
      <c r="R41" s="4"/>
      <c r="S41" s="4"/>
      <c r="T41" s="4"/>
      <c r="U41" s="4"/>
      <c r="V41" s="4"/>
      <c r="W41" s="4"/>
      <c r="X41" s="4"/>
      <c r="Y41" s="4"/>
      <c r="Z41" s="4"/>
    </row>
    <row r="42" spans="1:26" ht="16" x14ac:dyDescent="0.2">
      <c r="A42" s="88" t="s">
        <v>187</v>
      </c>
      <c r="B42" s="52"/>
      <c r="C42" s="52"/>
      <c r="D42" s="52"/>
      <c r="E42" s="52"/>
      <c r="F42" s="4"/>
      <c r="G42" s="4"/>
      <c r="H42" s="4"/>
      <c r="I42" s="4"/>
      <c r="J42" s="4"/>
      <c r="K42" s="4"/>
      <c r="L42" s="4"/>
      <c r="M42" s="4"/>
      <c r="N42" s="4"/>
      <c r="O42" s="4"/>
      <c r="P42" s="4"/>
      <c r="Q42" s="4"/>
      <c r="R42" s="4"/>
      <c r="S42" s="4"/>
      <c r="T42" s="4"/>
      <c r="U42" s="4"/>
      <c r="V42" s="4"/>
      <c r="W42" s="4"/>
      <c r="X42" s="4"/>
      <c r="Y42" s="4"/>
      <c r="Z42" s="4"/>
    </row>
    <row r="43" spans="1:26" x14ac:dyDescent="0.1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 x14ac:dyDescent="0.15">
      <c r="A44" s="8" t="s">
        <v>180</v>
      </c>
      <c r="B44" s="4"/>
      <c r="C44" s="4"/>
      <c r="D44" s="4"/>
      <c r="E44" s="4"/>
      <c r="F44" s="4"/>
      <c r="G44" s="4"/>
      <c r="H44" s="4"/>
      <c r="I44" s="4"/>
      <c r="J44" s="4"/>
      <c r="K44" s="4"/>
      <c r="L44" s="4"/>
      <c r="M44" s="4"/>
      <c r="N44" s="4"/>
      <c r="O44" s="4"/>
      <c r="P44" s="4"/>
      <c r="Q44" s="4"/>
      <c r="R44" s="4"/>
      <c r="S44" s="4"/>
      <c r="T44" s="4"/>
      <c r="U44" s="4"/>
      <c r="V44" s="4"/>
      <c r="W44" s="4"/>
      <c r="X44" s="4"/>
      <c r="Y44" s="4"/>
      <c r="Z44" s="4"/>
    </row>
    <row r="45" spans="1:26" ht="14" x14ac:dyDescent="0.15">
      <c r="A45" s="8" t="s">
        <v>1</v>
      </c>
      <c r="B45" s="4"/>
      <c r="C45" s="4"/>
      <c r="D45" s="4"/>
      <c r="E45" s="4"/>
      <c r="F45" s="4"/>
      <c r="G45" s="4"/>
      <c r="H45" s="4"/>
      <c r="I45" s="4"/>
      <c r="J45" s="4"/>
      <c r="K45" s="4"/>
      <c r="L45" s="4"/>
      <c r="M45" s="4"/>
      <c r="N45" s="4"/>
      <c r="O45" s="4"/>
      <c r="P45" s="4"/>
      <c r="Q45" s="4"/>
      <c r="R45" s="4"/>
      <c r="S45" s="4"/>
      <c r="T45" s="4"/>
      <c r="U45" s="4"/>
      <c r="V45" s="4"/>
      <c r="W45" s="4"/>
      <c r="X45" s="4"/>
      <c r="Y45" s="4"/>
      <c r="Z45" s="4"/>
    </row>
    <row r="46" spans="1:26" ht="14" x14ac:dyDescent="0.15">
      <c r="A46" s="8" t="s">
        <v>168</v>
      </c>
      <c r="B46" s="4"/>
      <c r="C46" s="4"/>
      <c r="D46" s="4"/>
      <c r="E46" s="4"/>
      <c r="F46" s="4"/>
      <c r="G46" s="4"/>
      <c r="H46" s="4"/>
      <c r="I46" s="4"/>
      <c r="J46" s="4"/>
      <c r="K46" s="4"/>
      <c r="L46" s="4"/>
      <c r="M46" s="4"/>
      <c r="N46" s="4"/>
      <c r="O46" s="4"/>
      <c r="P46" s="4"/>
      <c r="Q46" s="4"/>
      <c r="R46" s="4"/>
      <c r="S46" s="4"/>
      <c r="T46" s="4"/>
      <c r="U46" s="4"/>
      <c r="V46" s="4"/>
      <c r="W46" s="4"/>
      <c r="X46" s="4"/>
      <c r="Y46" s="4"/>
      <c r="Z46" s="4"/>
    </row>
    <row r="47" spans="1:26" ht="14" x14ac:dyDescent="0.15">
      <c r="A47" s="8" t="s">
        <v>169</v>
      </c>
      <c r="B47" s="4"/>
      <c r="C47" s="4"/>
      <c r="D47" s="4"/>
      <c r="E47" s="4"/>
      <c r="F47" s="4"/>
      <c r="G47" s="4"/>
      <c r="H47" s="4"/>
      <c r="I47" s="4"/>
      <c r="J47" s="4"/>
      <c r="K47" s="4"/>
      <c r="L47" s="4"/>
      <c r="M47" s="4"/>
      <c r="N47" s="4"/>
      <c r="O47" s="4"/>
      <c r="P47" s="4"/>
      <c r="Q47" s="4"/>
      <c r="R47" s="4"/>
      <c r="S47" s="4"/>
      <c r="T47" s="4"/>
      <c r="U47" s="4"/>
      <c r="V47" s="4"/>
      <c r="W47" s="4"/>
      <c r="X47" s="4"/>
      <c r="Y47" s="4"/>
      <c r="Z47" s="4"/>
    </row>
    <row r="48" spans="1:26" ht="14" x14ac:dyDescent="0.15">
      <c r="A48" s="8" t="s">
        <v>194</v>
      </c>
      <c r="B48" s="4"/>
      <c r="C48" s="4"/>
      <c r="D48" s="4"/>
      <c r="E48" s="4"/>
      <c r="F48" s="4"/>
      <c r="G48" s="4"/>
      <c r="H48" s="4"/>
      <c r="I48" s="4"/>
      <c r="J48" s="4"/>
      <c r="K48" s="4"/>
      <c r="L48" s="4"/>
      <c r="M48" s="4"/>
      <c r="N48" s="4"/>
      <c r="O48" s="4"/>
      <c r="P48" s="4"/>
      <c r="Q48" s="4"/>
      <c r="R48" s="4"/>
      <c r="S48" s="4"/>
      <c r="T48" s="4"/>
      <c r="U48" s="4"/>
      <c r="V48" s="4"/>
      <c r="W48" s="4"/>
      <c r="X48" s="4"/>
      <c r="Y48" s="4"/>
      <c r="Z48" s="4"/>
    </row>
    <row r="49" spans="1:26" ht="14" x14ac:dyDescent="0.15">
      <c r="A49" s="8" t="s">
        <v>216</v>
      </c>
      <c r="B49" s="4"/>
      <c r="C49" s="4"/>
      <c r="D49" s="4"/>
      <c r="E49" s="4"/>
      <c r="F49" s="4"/>
      <c r="G49" s="4"/>
      <c r="H49" s="4"/>
      <c r="I49" s="4"/>
      <c r="J49" s="4"/>
      <c r="K49" s="4"/>
      <c r="L49" s="4"/>
      <c r="M49" s="4"/>
      <c r="N49" s="4"/>
      <c r="O49" s="4"/>
      <c r="P49" s="4"/>
      <c r="Q49" s="4"/>
      <c r="R49" s="4"/>
      <c r="S49" s="4"/>
      <c r="T49" s="4"/>
      <c r="U49" s="4"/>
      <c r="V49" s="4"/>
      <c r="W49" s="4"/>
      <c r="X49" s="4"/>
      <c r="Y49" s="4"/>
      <c r="Z49" s="4"/>
    </row>
    <row r="50" spans="1:26" ht="14" x14ac:dyDescent="0.15">
      <c r="A50" s="8"/>
      <c r="B50" s="4"/>
      <c r="C50" s="4"/>
      <c r="D50" s="4"/>
      <c r="E50" s="4"/>
      <c r="F50" s="4"/>
      <c r="G50" s="4"/>
      <c r="H50" s="4"/>
      <c r="I50" s="4"/>
      <c r="J50" s="4"/>
      <c r="K50" s="4"/>
      <c r="L50" s="4"/>
      <c r="M50" s="4"/>
      <c r="N50" s="4"/>
      <c r="O50" s="4"/>
      <c r="P50" s="4"/>
      <c r="Q50" s="4"/>
      <c r="R50" s="4"/>
      <c r="S50" s="4"/>
      <c r="T50" s="4"/>
      <c r="U50" s="4"/>
      <c r="V50" s="4"/>
      <c r="W50" s="4"/>
      <c r="X50" s="4"/>
      <c r="Y50" s="4"/>
      <c r="Z50" s="4"/>
    </row>
    <row r="51" spans="1:26" ht="14" x14ac:dyDescent="0.15">
      <c r="A51" s="8" t="s">
        <v>188</v>
      </c>
      <c r="B51" s="4"/>
      <c r="C51" s="4"/>
      <c r="D51" s="4"/>
      <c r="E51" s="4"/>
      <c r="F51" s="4"/>
      <c r="G51" s="4"/>
      <c r="H51" s="4"/>
      <c r="I51" s="4"/>
      <c r="J51" s="4"/>
      <c r="K51" s="4"/>
      <c r="L51" s="4"/>
      <c r="M51" s="4"/>
      <c r="N51" s="4"/>
      <c r="O51" s="4"/>
      <c r="P51" s="4"/>
      <c r="Q51" s="4"/>
      <c r="R51" s="4"/>
      <c r="S51" s="4"/>
      <c r="T51" s="4"/>
      <c r="U51" s="4"/>
      <c r="V51" s="4"/>
      <c r="W51" s="4"/>
      <c r="X51" s="4"/>
      <c r="Y51" s="4"/>
      <c r="Z51" s="4"/>
    </row>
    <row r="52" spans="1:26" ht="14" x14ac:dyDescent="0.15">
      <c r="A52" s="8" t="s">
        <v>149</v>
      </c>
      <c r="B52" s="4"/>
      <c r="C52" s="4"/>
      <c r="D52" s="4"/>
      <c r="E52" s="4"/>
      <c r="F52" s="4"/>
      <c r="G52" s="4"/>
      <c r="H52" s="4"/>
      <c r="I52" s="4"/>
      <c r="J52" s="4"/>
      <c r="K52" s="4"/>
      <c r="L52" s="4"/>
      <c r="M52" s="4"/>
      <c r="N52" s="4"/>
      <c r="O52" s="4"/>
      <c r="P52" s="4"/>
      <c r="Q52" s="4"/>
      <c r="R52" s="4"/>
      <c r="S52" s="4"/>
      <c r="T52" s="4"/>
      <c r="U52" s="4"/>
      <c r="V52" s="4"/>
      <c r="W52" s="4"/>
      <c r="X52" s="4"/>
      <c r="Y52" s="4"/>
      <c r="Z52" s="4"/>
    </row>
    <row r="53" spans="1:26" ht="14" x14ac:dyDescent="0.15">
      <c r="A53" s="8" t="s">
        <v>217</v>
      </c>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1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1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15">
      <c r="A56" s="89" t="s">
        <v>189</v>
      </c>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15">
      <c r="A57" s="52" t="s">
        <v>227</v>
      </c>
      <c r="B57" s="4"/>
      <c r="C57" s="4"/>
      <c r="D57" s="4"/>
      <c r="E57" s="4"/>
      <c r="F57" s="4"/>
      <c r="G57" s="4"/>
      <c r="H57" s="4"/>
      <c r="I57" s="4"/>
      <c r="J57" s="4"/>
      <c r="K57" s="4"/>
      <c r="L57" s="4"/>
      <c r="M57" s="4"/>
      <c r="N57" s="4"/>
      <c r="O57" s="4"/>
      <c r="P57" s="4"/>
      <c r="Q57" s="4"/>
      <c r="R57" s="4"/>
      <c r="S57" s="4"/>
      <c r="T57" s="4"/>
      <c r="U57" s="4"/>
      <c r="V57" s="4"/>
      <c r="W57" s="4"/>
      <c r="X57" s="4"/>
      <c r="Y57" s="4"/>
      <c r="Z57" s="4"/>
    </row>
    <row r="58" spans="1:26" ht="16" x14ac:dyDescent="0.2">
      <c r="A58" s="90" t="s">
        <v>231</v>
      </c>
      <c r="B58" s="4"/>
      <c r="C58" s="4"/>
      <c r="D58" s="4"/>
      <c r="E58" s="4"/>
      <c r="F58" s="4"/>
      <c r="G58" s="4"/>
      <c r="H58" s="4"/>
      <c r="I58" s="4"/>
      <c r="J58" s="4"/>
      <c r="K58" s="4"/>
      <c r="L58" s="4"/>
      <c r="M58" s="4"/>
      <c r="N58" s="4"/>
      <c r="O58" s="4"/>
      <c r="P58" s="4"/>
      <c r="Q58" s="4"/>
      <c r="R58" s="4"/>
      <c r="S58" s="4"/>
      <c r="T58" s="4"/>
      <c r="U58" s="4"/>
      <c r="V58" s="4"/>
      <c r="W58" s="4"/>
      <c r="X58" s="4"/>
      <c r="Y58" s="4"/>
      <c r="Z58" s="4"/>
    </row>
    <row r="59" spans="1:26" ht="14" x14ac:dyDescent="0.15">
      <c r="A59" s="52" t="s">
        <v>158</v>
      </c>
      <c r="B59" s="4"/>
      <c r="C59" s="4"/>
      <c r="D59" s="4"/>
      <c r="E59" s="8"/>
      <c r="F59" s="4"/>
      <c r="G59" s="4"/>
      <c r="H59" s="4"/>
      <c r="I59" s="4"/>
      <c r="J59" s="4"/>
      <c r="K59" s="4"/>
      <c r="L59" s="4"/>
      <c r="M59" s="4"/>
      <c r="N59" s="4"/>
      <c r="O59" s="4"/>
      <c r="P59" s="4"/>
      <c r="Q59" s="4"/>
      <c r="R59" s="4"/>
      <c r="S59" s="4"/>
      <c r="T59" s="4"/>
      <c r="U59" s="4"/>
      <c r="V59" s="4"/>
      <c r="W59" s="4"/>
      <c r="X59" s="4"/>
      <c r="Y59" s="4"/>
      <c r="Z59" s="4"/>
    </row>
    <row r="60" spans="1:26" ht="16" x14ac:dyDescent="0.2">
      <c r="A60" s="90" t="s">
        <v>230</v>
      </c>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1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1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1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1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1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1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1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1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1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1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1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1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1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1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1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1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1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1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1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1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1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1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1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1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1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1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1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1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1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1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1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1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1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1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1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1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1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1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1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1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1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1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1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1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1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1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1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1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1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1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1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1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1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1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1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1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1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1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1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1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1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1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1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1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1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1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1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1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1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1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1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1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1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1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1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1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1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1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1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1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1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1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1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1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1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1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1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1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1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1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1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1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1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1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1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1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1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1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1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1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1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1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1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1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1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1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1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1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1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1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1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1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1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1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1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1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1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1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1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1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1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1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1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1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1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1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1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1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15">
      <c r="A242" s="4"/>
      <c r="B242" s="4"/>
      <c r="C242" s="4"/>
      <c r="D242" s="4"/>
      <c r="E242" s="4"/>
      <c r="F242" s="4"/>
      <c r="G242" s="4"/>
      <c r="H242" s="4"/>
    </row>
  </sheetData>
  <sheetProtection algorithmName="SHA-512" hashValue="NgHmTpMEDAFY8bkpcQEg6pE2RRckqi8Agje/Fc/zX36AxzJFHU2xdTllz1ZNDaezaGCrP7BuY3wF7g18NTTA9w==" saltValue="a4N1CIxxGuSLROIIiZ+6KA==" spinCount="100000" sheet="1" objects="1" scenarios="1"/>
  <phoneticPr fontId="5"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063C-10EE-034B-87B5-60DD825D1AE8}">
  <sheetPr codeName="Sheet19"/>
  <dimension ref="A1:DD17"/>
  <sheetViews>
    <sheetView zoomScale="150" zoomScaleNormal="150" workbookViewId="0">
      <selection activeCell="A19" sqref="A19:XFD53"/>
    </sheetView>
  </sheetViews>
  <sheetFormatPr baseColWidth="10" defaultColWidth="11.1640625" defaultRowHeight="13" x14ac:dyDescent="0.15"/>
  <cols>
    <col min="1" max="10" width="11.1640625" style="195"/>
    <col min="11" max="11" width="14.33203125" style="195" bestFit="1" customWidth="1"/>
    <col min="12" max="12" width="19" style="195" customWidth="1"/>
    <col min="13" max="40" width="11.1640625" style="195"/>
    <col min="41" max="41" width="18.33203125" style="195" customWidth="1"/>
    <col min="42" max="16384" width="11.1640625" style="195"/>
  </cols>
  <sheetData>
    <row r="1" spans="1:108" ht="84" x14ac:dyDescent="0.15">
      <c r="A1" s="170" t="s">
        <v>137</v>
      </c>
      <c r="B1" s="170" t="s">
        <v>138</v>
      </c>
      <c r="C1" s="171" t="s">
        <v>139</v>
      </c>
      <c r="D1" s="172" t="s">
        <v>140</v>
      </c>
      <c r="E1" s="172" t="s">
        <v>141</v>
      </c>
      <c r="F1" s="172" t="s">
        <v>50</v>
      </c>
      <c r="G1" s="170" t="s">
        <v>51</v>
      </c>
      <c r="H1" s="173" t="s">
        <v>52</v>
      </c>
      <c r="I1" s="173" t="s">
        <v>53</v>
      </c>
      <c r="J1" s="173" t="s">
        <v>146</v>
      </c>
      <c r="K1" s="172" t="s">
        <v>147</v>
      </c>
      <c r="L1" s="174" t="s">
        <v>148</v>
      </c>
      <c r="M1" s="175" t="s">
        <v>201</v>
      </c>
      <c r="N1" s="176" t="s">
        <v>202</v>
      </c>
      <c r="O1" s="176" t="s">
        <v>203</v>
      </c>
      <c r="P1" s="176" t="s">
        <v>204</v>
      </c>
      <c r="Q1" s="176" t="s">
        <v>205</v>
      </c>
      <c r="R1" s="176" t="s">
        <v>157</v>
      </c>
      <c r="S1" s="176" t="s">
        <v>61</v>
      </c>
      <c r="T1" s="176" t="s">
        <v>62</v>
      </c>
      <c r="U1" s="176" t="s">
        <v>103</v>
      </c>
      <c r="V1" s="177" t="s">
        <v>3</v>
      </c>
      <c r="W1" s="178" t="s">
        <v>4</v>
      </c>
      <c r="X1" s="178" t="s">
        <v>5</v>
      </c>
      <c r="Y1" s="178" t="s">
        <v>104</v>
      </c>
      <c r="Z1" s="178" t="s">
        <v>105</v>
      </c>
      <c r="AA1" s="178" t="s">
        <v>106</v>
      </c>
      <c r="AB1" s="178" t="s">
        <v>107</v>
      </c>
      <c r="AC1" s="178" t="s">
        <v>108</v>
      </c>
      <c r="AD1" s="178" t="s">
        <v>95</v>
      </c>
      <c r="AE1" s="179" t="s">
        <v>96</v>
      </c>
      <c r="AF1" s="180" t="s">
        <v>97</v>
      </c>
      <c r="AG1" s="180" t="s">
        <v>98</v>
      </c>
      <c r="AH1" s="181" t="s">
        <v>99</v>
      </c>
      <c r="AI1" s="181" t="s">
        <v>27</v>
      </c>
      <c r="AJ1" s="181" t="s">
        <v>28</v>
      </c>
      <c r="AK1" s="181" t="s">
        <v>21</v>
      </c>
      <c r="AL1" s="182" t="s">
        <v>354</v>
      </c>
      <c r="AM1" s="183" t="s">
        <v>355</v>
      </c>
      <c r="AN1" s="183" t="s">
        <v>356</v>
      </c>
      <c r="AO1" s="184" t="s">
        <v>22</v>
      </c>
      <c r="AP1" s="185" t="s">
        <v>23</v>
      </c>
      <c r="AQ1" s="185" t="s">
        <v>24</v>
      </c>
      <c r="AR1" s="186" t="s">
        <v>25</v>
      </c>
      <c r="AS1" s="187" t="s">
        <v>26</v>
      </c>
      <c r="AT1" s="188" t="s">
        <v>59</v>
      </c>
      <c r="AU1" s="290" t="s">
        <v>412</v>
      </c>
      <c r="AV1" s="290" t="s">
        <v>413</v>
      </c>
      <c r="AW1" s="290" t="s">
        <v>414</v>
      </c>
      <c r="AX1" s="190" t="s">
        <v>60</v>
      </c>
      <c r="AY1" s="191" t="s">
        <v>128</v>
      </c>
      <c r="AZ1" s="192" t="s">
        <v>129</v>
      </c>
      <c r="BA1" s="193" t="s">
        <v>130</v>
      </c>
      <c r="BB1" s="192" t="s">
        <v>131</v>
      </c>
      <c r="BC1" s="193" t="s">
        <v>206</v>
      </c>
      <c r="BD1" s="192" t="s">
        <v>207</v>
      </c>
      <c r="BE1" s="193" t="s">
        <v>208</v>
      </c>
      <c r="BF1" s="192" t="s">
        <v>209</v>
      </c>
      <c r="BG1" s="194" t="s">
        <v>210</v>
      </c>
      <c r="BH1" s="192" t="s">
        <v>303</v>
      </c>
      <c r="BI1" s="194" t="s">
        <v>304</v>
      </c>
      <c r="BJ1" s="192" t="s">
        <v>211</v>
      </c>
      <c r="BK1" s="194" t="s">
        <v>212</v>
      </c>
      <c r="BL1" s="173" t="s">
        <v>176</v>
      </c>
      <c r="BM1" s="173" t="s">
        <v>170</v>
      </c>
      <c r="BN1" s="173" t="s">
        <v>171</v>
      </c>
      <c r="BO1" s="173" t="s">
        <v>172</v>
      </c>
      <c r="BP1" s="173" t="s">
        <v>305</v>
      </c>
      <c r="BQ1" s="173" t="s">
        <v>306</v>
      </c>
      <c r="BR1" s="173" t="s">
        <v>307</v>
      </c>
      <c r="BS1" s="173" t="s">
        <v>308</v>
      </c>
      <c r="BT1" s="171" t="s">
        <v>232</v>
      </c>
      <c r="BU1" s="171" t="s">
        <v>233</v>
      </c>
      <c r="BV1" s="173" t="s">
        <v>7</v>
      </c>
      <c r="BW1" s="173" t="s">
        <v>8</v>
      </c>
      <c r="BX1" s="171"/>
      <c r="BY1" s="171" t="s">
        <v>9</v>
      </c>
      <c r="BZ1" s="173" t="s">
        <v>10</v>
      </c>
    </row>
    <row r="2" spans="1:108" customFormat="1" ht="13" customHeight="1" x14ac:dyDescent="0.15">
      <c r="A2" s="231">
        <v>16482</v>
      </c>
      <c r="B2" s="306">
        <v>43719</v>
      </c>
      <c r="C2" s="233" t="s">
        <v>309</v>
      </c>
      <c r="D2" s="231" t="s">
        <v>310</v>
      </c>
      <c r="E2" s="231"/>
      <c r="F2" s="231" t="s">
        <v>311</v>
      </c>
      <c r="G2" s="232">
        <v>43712</v>
      </c>
      <c r="H2" s="234" t="s">
        <v>312</v>
      </c>
      <c r="I2" s="234" t="s">
        <v>324</v>
      </c>
      <c r="J2" s="234"/>
      <c r="K2" s="231" t="s">
        <v>314</v>
      </c>
      <c r="L2" s="231" t="s">
        <v>454</v>
      </c>
      <c r="M2" s="235">
        <v>92.999999999999986</v>
      </c>
      <c r="N2" s="235">
        <v>24.8</v>
      </c>
      <c r="O2" s="240"/>
      <c r="P2" s="231"/>
      <c r="Q2" s="286"/>
      <c r="R2" s="236"/>
      <c r="S2" s="286"/>
      <c r="T2" s="231"/>
      <c r="U2" s="286"/>
      <c r="V2" s="286"/>
      <c r="W2" s="286"/>
      <c r="X2" s="231"/>
      <c r="Y2" s="235"/>
      <c r="Z2" s="235"/>
      <c r="AA2" s="235"/>
      <c r="AB2" s="235"/>
      <c r="AC2" s="235"/>
      <c r="AD2" s="235"/>
      <c r="AE2" s="286"/>
      <c r="AF2" s="231"/>
      <c r="AG2" s="231"/>
      <c r="AH2" s="286"/>
      <c r="AI2" s="231"/>
      <c r="AJ2" s="231"/>
      <c r="AK2" s="235"/>
      <c r="AL2" s="231"/>
      <c r="AM2" s="235"/>
      <c r="AN2" s="235"/>
      <c r="AO2" s="231" t="s">
        <v>317</v>
      </c>
      <c r="AP2" s="234" t="s">
        <v>313</v>
      </c>
      <c r="AQ2" s="234"/>
      <c r="AR2" s="234"/>
      <c r="AS2" s="237"/>
      <c r="AT2" s="234">
        <v>15</v>
      </c>
      <c r="AU2" s="237">
        <v>1365</v>
      </c>
      <c r="AV2" s="234"/>
      <c r="AW2" s="237">
        <v>11</v>
      </c>
      <c r="AX2" s="234" t="s">
        <v>318</v>
      </c>
      <c r="AY2" s="307"/>
      <c r="AZ2" s="234">
        <v>0</v>
      </c>
      <c r="BA2" s="234">
        <v>0</v>
      </c>
      <c r="BB2" s="234">
        <v>0</v>
      </c>
      <c r="BC2" s="234">
        <v>0</v>
      </c>
      <c r="BD2" s="234">
        <v>0</v>
      </c>
      <c r="BE2" s="234">
        <v>0</v>
      </c>
      <c r="BF2" s="234">
        <v>0</v>
      </c>
      <c r="BG2" s="234">
        <v>0</v>
      </c>
      <c r="BH2" s="234">
        <v>0</v>
      </c>
      <c r="BI2" s="234">
        <v>0</v>
      </c>
      <c r="BJ2" s="234">
        <v>0</v>
      </c>
      <c r="BK2" s="234">
        <v>0</v>
      </c>
      <c r="BL2" s="234"/>
      <c r="BM2" s="234" t="s">
        <v>313</v>
      </c>
      <c r="BN2" s="234">
        <v>12</v>
      </c>
      <c r="BO2" s="234" t="s">
        <v>313</v>
      </c>
      <c r="BP2" s="287"/>
      <c r="BQ2" s="234"/>
      <c r="BR2" s="234"/>
      <c r="BS2" s="234"/>
      <c r="BT2" s="231"/>
      <c r="BU2" s="231"/>
      <c r="BV2" s="234"/>
      <c r="BW2" s="234" t="s">
        <v>319</v>
      </c>
      <c r="BX2" s="234"/>
      <c r="BY2" s="231"/>
      <c r="BZ2" s="247" t="s">
        <v>455</v>
      </c>
    </row>
    <row r="3" spans="1:108" customFormat="1" ht="13" customHeight="1" x14ac:dyDescent="0.15">
      <c r="A3" s="231">
        <v>1100</v>
      </c>
      <c r="B3" s="306">
        <v>43719</v>
      </c>
      <c r="C3" s="233" t="s">
        <v>309</v>
      </c>
      <c r="D3" s="231" t="s">
        <v>310</v>
      </c>
      <c r="E3" s="231"/>
      <c r="F3" s="231" t="s">
        <v>311</v>
      </c>
      <c r="G3" s="232">
        <v>43678</v>
      </c>
      <c r="H3" s="234" t="s">
        <v>312</v>
      </c>
      <c r="I3" s="234" t="s">
        <v>313</v>
      </c>
      <c r="J3" s="234"/>
      <c r="K3" s="231" t="s">
        <v>321</v>
      </c>
      <c r="L3" s="231" t="s">
        <v>458</v>
      </c>
      <c r="M3" s="235">
        <v>92.6</v>
      </c>
      <c r="N3" s="235">
        <v>28.609090909090906</v>
      </c>
      <c r="O3" s="240"/>
      <c r="P3" s="231"/>
      <c r="Q3" s="286"/>
      <c r="R3" s="236"/>
      <c r="S3" s="286"/>
      <c r="T3" s="231"/>
      <c r="U3" s="286"/>
      <c r="V3" s="286"/>
      <c r="W3" s="286"/>
      <c r="X3" s="231"/>
      <c r="Y3" s="235"/>
      <c r="Z3" s="235"/>
      <c r="AA3" s="235"/>
      <c r="AB3" s="235"/>
      <c r="AC3" s="235"/>
      <c r="AD3" s="235"/>
      <c r="AE3" s="286"/>
      <c r="AF3" s="231"/>
      <c r="AG3" s="231"/>
      <c r="AH3" s="286"/>
      <c r="AI3" s="231"/>
      <c r="AJ3" s="231"/>
      <c r="AK3" s="235"/>
      <c r="AL3" s="231"/>
      <c r="AM3" s="235"/>
      <c r="AN3" s="235"/>
      <c r="AO3" s="231" t="s">
        <v>317</v>
      </c>
      <c r="AP3" s="234" t="s">
        <v>313</v>
      </c>
      <c r="AQ3" s="234"/>
      <c r="AR3" s="234"/>
      <c r="AS3" s="237"/>
      <c r="AT3" s="234">
        <v>7.6</v>
      </c>
      <c r="AU3" s="234"/>
      <c r="AV3" s="234"/>
      <c r="AW3" s="234"/>
      <c r="AX3" s="234" t="s">
        <v>318</v>
      </c>
      <c r="AY3" s="307"/>
      <c r="AZ3" s="234">
        <v>11</v>
      </c>
      <c r="BA3" s="234">
        <v>0</v>
      </c>
      <c r="BB3" s="234">
        <v>0</v>
      </c>
      <c r="BC3" s="234">
        <v>0</v>
      </c>
      <c r="BD3" s="234">
        <v>0</v>
      </c>
      <c r="BE3" s="234">
        <v>0</v>
      </c>
      <c r="BF3" s="234">
        <v>0</v>
      </c>
      <c r="BG3" s="234">
        <v>0</v>
      </c>
      <c r="BH3" s="234">
        <v>0</v>
      </c>
      <c r="BI3" s="234">
        <v>0</v>
      </c>
      <c r="BJ3" s="234">
        <v>0</v>
      </c>
      <c r="BK3" s="234">
        <v>0</v>
      </c>
      <c r="BL3" s="234"/>
      <c r="BM3" s="234" t="s">
        <v>313</v>
      </c>
      <c r="BN3" s="234">
        <v>12</v>
      </c>
      <c r="BO3" s="234" t="s">
        <v>313</v>
      </c>
      <c r="BP3" s="287"/>
      <c r="BQ3" s="234"/>
      <c r="BR3" s="234"/>
      <c r="BS3" s="234"/>
      <c r="BT3" s="231"/>
      <c r="BU3" s="240"/>
      <c r="BV3" s="234"/>
      <c r="BW3" s="234" t="s">
        <v>327</v>
      </c>
      <c r="BX3" s="234"/>
      <c r="BY3" s="231"/>
      <c r="BZ3" s="247" t="s">
        <v>459</v>
      </c>
    </row>
    <row r="4" spans="1:108" customFormat="1" ht="13" customHeight="1" x14ac:dyDescent="0.15">
      <c r="A4" s="231">
        <v>10584</v>
      </c>
      <c r="B4" s="306">
        <v>43719</v>
      </c>
      <c r="C4" s="233" t="s">
        <v>309</v>
      </c>
      <c r="D4" s="231" t="s">
        <v>310</v>
      </c>
      <c r="E4" s="231"/>
      <c r="F4" s="231" t="s">
        <v>311</v>
      </c>
      <c r="G4" s="232">
        <v>43677</v>
      </c>
      <c r="H4" s="234" t="s">
        <v>312</v>
      </c>
      <c r="I4" s="234" t="s">
        <v>324</v>
      </c>
      <c r="J4" s="234"/>
      <c r="K4" s="231" t="s">
        <v>325</v>
      </c>
      <c r="L4" s="231" t="s">
        <v>326</v>
      </c>
      <c r="M4" s="235">
        <v>104.25454545454545</v>
      </c>
      <c r="N4" s="235">
        <v>21.718181818181819</v>
      </c>
      <c r="O4" s="240"/>
      <c r="P4" s="231"/>
      <c r="Q4" s="286"/>
      <c r="R4" s="236"/>
      <c r="S4" s="286"/>
      <c r="T4" s="231"/>
      <c r="U4" s="286"/>
      <c r="V4" s="286"/>
      <c r="W4" s="286"/>
      <c r="X4" s="231"/>
      <c r="Y4" s="235"/>
      <c r="Z4" s="235"/>
      <c r="AA4" s="235"/>
      <c r="AB4" s="235"/>
      <c r="AC4" s="235"/>
      <c r="AD4" s="235"/>
      <c r="AE4" s="286"/>
      <c r="AF4" s="231"/>
      <c r="AG4" s="231"/>
      <c r="AH4" s="286"/>
      <c r="AI4" s="231"/>
      <c r="AJ4" s="231"/>
      <c r="AK4" s="286"/>
      <c r="AL4" s="231"/>
      <c r="AM4" s="235"/>
      <c r="AN4" s="235"/>
      <c r="AO4" s="231" t="s">
        <v>317</v>
      </c>
      <c r="AP4" s="234" t="s">
        <v>313</v>
      </c>
      <c r="AQ4" s="234"/>
      <c r="AR4" s="234"/>
      <c r="AS4" s="234"/>
      <c r="AT4" s="234">
        <v>12</v>
      </c>
      <c r="AU4" s="237">
        <v>1274</v>
      </c>
      <c r="AV4" s="234"/>
      <c r="AW4" s="237">
        <v>10</v>
      </c>
      <c r="AX4" s="234" t="s">
        <v>318</v>
      </c>
      <c r="AY4" s="234"/>
      <c r="AZ4" s="234">
        <v>0</v>
      </c>
      <c r="BA4" s="234">
        <v>0</v>
      </c>
      <c r="BB4" s="234">
        <v>0</v>
      </c>
      <c r="BC4" s="234">
        <v>0</v>
      </c>
      <c r="BD4" s="234">
        <v>0</v>
      </c>
      <c r="BE4" s="234">
        <v>0</v>
      </c>
      <c r="BF4" s="234">
        <v>0</v>
      </c>
      <c r="BG4" s="234">
        <v>0</v>
      </c>
      <c r="BH4" s="234">
        <v>0</v>
      </c>
      <c r="BI4" s="234">
        <v>0</v>
      </c>
      <c r="BJ4" s="234">
        <v>0</v>
      </c>
      <c r="BK4" s="234">
        <v>0</v>
      </c>
      <c r="BL4" s="234"/>
      <c r="BM4" s="234" t="s">
        <v>313</v>
      </c>
      <c r="BN4" s="234">
        <v>12</v>
      </c>
      <c r="BO4" s="234" t="s">
        <v>313</v>
      </c>
      <c r="BP4" s="287"/>
      <c r="BQ4" s="234"/>
      <c r="BR4" s="234"/>
      <c r="BS4" s="234"/>
      <c r="BT4" s="240"/>
      <c r="BU4" s="240"/>
      <c r="BV4" s="234"/>
      <c r="BW4" s="234" t="s">
        <v>327</v>
      </c>
      <c r="BX4" s="234"/>
      <c r="BY4" s="240"/>
      <c r="BZ4" t="s">
        <v>462</v>
      </c>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row>
    <row r="5" spans="1:108" customFormat="1" ht="13" customHeight="1" x14ac:dyDescent="0.15">
      <c r="A5" s="231">
        <v>11600</v>
      </c>
      <c r="B5" s="306">
        <v>43719</v>
      </c>
      <c r="C5" s="233" t="s">
        <v>309</v>
      </c>
      <c r="D5" s="231" t="s">
        <v>310</v>
      </c>
      <c r="E5" s="231"/>
      <c r="F5" s="231" t="s">
        <v>311</v>
      </c>
      <c r="G5" s="245">
        <v>43670</v>
      </c>
      <c r="H5" s="234" t="s">
        <v>312</v>
      </c>
      <c r="I5" s="234" t="s">
        <v>313</v>
      </c>
      <c r="J5" s="234"/>
      <c r="K5" s="231" t="s">
        <v>353</v>
      </c>
      <c r="L5" s="231" t="s">
        <v>388</v>
      </c>
      <c r="M5" s="235">
        <v>90.999999999999986</v>
      </c>
      <c r="N5" s="235">
        <v>19.245454545454546</v>
      </c>
      <c r="O5" s="240"/>
      <c r="P5" s="231"/>
      <c r="Q5" s="286"/>
      <c r="R5" s="236"/>
      <c r="S5" s="286"/>
      <c r="T5" s="231"/>
      <c r="U5" s="286"/>
      <c r="V5" s="286"/>
      <c r="W5" s="286"/>
      <c r="X5" s="231"/>
      <c r="Y5" s="235"/>
      <c r="Z5" s="235"/>
      <c r="AA5" s="235"/>
      <c r="AB5" s="235"/>
      <c r="AC5" s="235"/>
      <c r="AD5" s="286"/>
      <c r="AE5" s="286"/>
      <c r="AF5" s="231"/>
      <c r="AG5" s="231"/>
      <c r="AH5" s="286"/>
      <c r="AI5" s="231"/>
      <c r="AJ5" s="231"/>
      <c r="AK5" s="235"/>
      <c r="AL5" s="231"/>
      <c r="AM5" s="235"/>
      <c r="AN5" s="235"/>
      <c r="AO5" s="231" t="s">
        <v>317</v>
      </c>
      <c r="AP5" s="234" t="s">
        <v>313</v>
      </c>
      <c r="AQ5" s="234"/>
      <c r="AR5" s="234"/>
      <c r="AS5" s="237"/>
      <c r="AT5" s="234">
        <v>6</v>
      </c>
      <c r="AU5" s="234"/>
      <c r="AV5" s="234"/>
      <c r="AW5" s="234"/>
      <c r="AX5" s="234" t="s">
        <v>318</v>
      </c>
      <c r="AY5" s="307"/>
      <c r="AZ5" s="234">
        <v>0</v>
      </c>
      <c r="BA5" s="234">
        <v>0</v>
      </c>
      <c r="BB5" s="234">
        <v>0</v>
      </c>
      <c r="BC5" s="234">
        <v>0</v>
      </c>
      <c r="BD5" s="234">
        <v>0</v>
      </c>
      <c r="BE5" s="234">
        <v>0</v>
      </c>
      <c r="BF5" s="234">
        <v>0</v>
      </c>
      <c r="BG5" s="234">
        <v>0</v>
      </c>
      <c r="BH5" s="234">
        <v>0</v>
      </c>
      <c r="BI5" s="234">
        <v>0</v>
      </c>
      <c r="BJ5" s="234">
        <v>0</v>
      </c>
      <c r="BK5" s="234">
        <v>0</v>
      </c>
      <c r="BL5" s="234"/>
      <c r="BM5" s="234" t="s">
        <v>313</v>
      </c>
      <c r="BN5" s="234"/>
      <c r="BO5" s="234" t="s">
        <v>313</v>
      </c>
      <c r="BP5" s="287"/>
      <c r="BQ5" s="234"/>
      <c r="BR5" s="234"/>
      <c r="BS5" s="239"/>
      <c r="BT5" s="240"/>
      <c r="BU5" s="240"/>
      <c r="BV5" s="234"/>
      <c r="BW5" s="234" t="s">
        <v>327</v>
      </c>
      <c r="BX5" s="234"/>
      <c r="BY5" s="240"/>
      <c r="BZ5" s="247" t="s">
        <v>465</v>
      </c>
    </row>
    <row r="6" spans="1:108" customFormat="1" ht="13" customHeight="1" x14ac:dyDescent="0.15">
      <c r="A6" s="231" t="s">
        <v>468</v>
      </c>
      <c r="B6" s="306">
        <v>43719</v>
      </c>
      <c r="C6" s="233" t="s">
        <v>309</v>
      </c>
      <c r="D6" s="231" t="s">
        <v>310</v>
      </c>
      <c r="E6" s="231"/>
      <c r="F6" s="231" t="s">
        <v>311</v>
      </c>
      <c r="G6" s="245">
        <v>43694</v>
      </c>
      <c r="H6" s="234" t="s">
        <v>312</v>
      </c>
      <c r="I6" s="234" t="s">
        <v>313</v>
      </c>
      <c r="J6" s="234"/>
      <c r="K6" s="231" t="s">
        <v>469</v>
      </c>
      <c r="L6" s="231" t="s">
        <v>470</v>
      </c>
      <c r="M6" s="235">
        <v>53.636363636363633</v>
      </c>
      <c r="N6" s="235">
        <v>24.09090909090909</v>
      </c>
      <c r="O6" s="240"/>
      <c r="P6" s="231"/>
      <c r="Q6" s="286"/>
      <c r="R6" s="236"/>
      <c r="S6" s="286"/>
      <c r="T6" s="231"/>
      <c r="U6" s="286"/>
      <c r="V6" s="286"/>
      <c r="W6" s="286"/>
      <c r="X6" s="231"/>
      <c r="Y6" s="235"/>
      <c r="Z6" s="235"/>
      <c r="AA6" s="235"/>
      <c r="AB6" s="235"/>
      <c r="AC6" s="235"/>
      <c r="AD6" s="286"/>
      <c r="AE6" s="286"/>
      <c r="AF6" s="231"/>
      <c r="AG6" s="231"/>
      <c r="AH6" s="286"/>
      <c r="AI6" s="231"/>
      <c r="AJ6" s="231"/>
      <c r="AK6" s="235"/>
      <c r="AL6" s="231"/>
      <c r="AM6" s="235"/>
      <c r="AN6" s="235"/>
      <c r="AO6" s="231" t="s">
        <v>317</v>
      </c>
      <c r="AP6" s="234" t="s">
        <v>313</v>
      </c>
      <c r="AQ6" s="234"/>
      <c r="AR6" s="234"/>
      <c r="AS6" s="237"/>
      <c r="AT6" s="234">
        <v>7.1</v>
      </c>
      <c r="AU6" s="234"/>
      <c r="AV6" s="234"/>
      <c r="AW6" s="234"/>
      <c r="AX6" s="234" t="s">
        <v>318</v>
      </c>
      <c r="AY6" s="307"/>
      <c r="AZ6" s="234">
        <v>0</v>
      </c>
      <c r="BA6" s="234">
        <v>0</v>
      </c>
      <c r="BB6" s="234">
        <v>0</v>
      </c>
      <c r="BC6" s="234">
        <v>0</v>
      </c>
      <c r="BD6" s="234">
        <v>0</v>
      </c>
      <c r="BE6" s="234">
        <v>0</v>
      </c>
      <c r="BF6" s="234">
        <v>0</v>
      </c>
      <c r="BG6" s="234">
        <v>0</v>
      </c>
      <c r="BH6" s="234">
        <v>0</v>
      </c>
      <c r="BI6" s="234">
        <v>0</v>
      </c>
      <c r="BJ6" s="234">
        <v>0</v>
      </c>
      <c r="BK6" s="234">
        <v>0</v>
      </c>
      <c r="BL6" s="234"/>
      <c r="BM6" s="234" t="s">
        <v>313</v>
      </c>
      <c r="BN6" s="234"/>
      <c r="BO6" s="234" t="s">
        <v>313</v>
      </c>
      <c r="BP6" s="238">
        <v>234.43636363636361</v>
      </c>
      <c r="BQ6" s="234"/>
      <c r="BR6" s="234"/>
      <c r="BS6" s="239"/>
      <c r="BT6" s="240"/>
      <c r="BU6" s="240"/>
      <c r="BV6" s="234"/>
      <c r="BW6" s="234" t="s">
        <v>327</v>
      </c>
      <c r="BX6" s="234"/>
      <c r="BY6" s="240"/>
      <c r="BZ6" s="247" t="s">
        <v>471</v>
      </c>
    </row>
    <row r="7" spans="1:108" customFormat="1" ht="13" customHeight="1" x14ac:dyDescent="0.15">
      <c r="A7" s="231" t="s">
        <v>468</v>
      </c>
      <c r="B7" s="306">
        <v>43719</v>
      </c>
      <c r="C7" s="233" t="s">
        <v>309</v>
      </c>
      <c r="D7" s="231" t="s">
        <v>310</v>
      </c>
      <c r="E7" s="231"/>
      <c r="F7" s="231" t="s">
        <v>311</v>
      </c>
      <c r="G7" s="245">
        <v>43683</v>
      </c>
      <c r="H7" s="234" t="s">
        <v>312</v>
      </c>
      <c r="I7" s="234" t="s">
        <v>313</v>
      </c>
      <c r="J7" s="234"/>
      <c r="K7" s="231" t="s">
        <v>472</v>
      </c>
      <c r="L7" s="231" t="s">
        <v>473</v>
      </c>
      <c r="M7" s="235">
        <v>89.681818181818173</v>
      </c>
      <c r="N7" s="235">
        <v>25.081818181818178</v>
      </c>
      <c r="O7" s="240"/>
      <c r="P7" s="231"/>
      <c r="Q7" s="286"/>
      <c r="R7" s="236"/>
      <c r="S7" s="286"/>
      <c r="T7" s="231"/>
      <c r="U7" s="286"/>
      <c r="V7" s="286"/>
      <c r="W7" s="286"/>
      <c r="X7" s="231"/>
      <c r="Y7" s="235"/>
      <c r="Z7" s="235"/>
      <c r="AA7" s="235"/>
      <c r="AB7" s="235"/>
      <c r="AC7" s="235"/>
      <c r="AD7" s="286"/>
      <c r="AE7" s="286"/>
      <c r="AF7" s="231"/>
      <c r="AG7" s="231"/>
      <c r="AH7" s="286"/>
      <c r="AI7" s="231"/>
      <c r="AJ7" s="231"/>
      <c r="AK7" s="235"/>
      <c r="AL7" s="231"/>
      <c r="AM7" s="235"/>
      <c r="AN7" s="235"/>
      <c r="AO7" s="231" t="s">
        <v>317</v>
      </c>
      <c r="AP7" s="234" t="s">
        <v>313</v>
      </c>
      <c r="AQ7" s="234"/>
      <c r="AR7" s="234"/>
      <c r="AS7" s="237"/>
      <c r="AT7" s="234">
        <v>4.4000000000000004</v>
      </c>
      <c r="AU7" s="234"/>
      <c r="AV7" s="234"/>
      <c r="AW7" s="234"/>
      <c r="AX7" s="234" t="s">
        <v>318</v>
      </c>
      <c r="AY7" s="307"/>
      <c r="AZ7" s="234">
        <v>0</v>
      </c>
      <c r="BA7" s="234">
        <v>0</v>
      </c>
      <c r="BB7" s="234">
        <v>0</v>
      </c>
      <c r="BC7" s="234">
        <v>0</v>
      </c>
      <c r="BD7" s="234">
        <v>0</v>
      </c>
      <c r="BE7" s="234">
        <v>0</v>
      </c>
      <c r="BF7" s="234">
        <v>0</v>
      </c>
      <c r="BG7" s="234">
        <v>0</v>
      </c>
      <c r="BH7" s="234">
        <v>0</v>
      </c>
      <c r="BI7" s="234">
        <v>0</v>
      </c>
      <c r="BJ7" s="234">
        <v>0</v>
      </c>
      <c r="BK7" s="234">
        <v>0</v>
      </c>
      <c r="BL7" s="234"/>
      <c r="BM7" s="234" t="s">
        <v>313</v>
      </c>
      <c r="BN7" s="234"/>
      <c r="BO7" s="234" t="s">
        <v>313</v>
      </c>
      <c r="BP7" s="287"/>
      <c r="BQ7" s="234"/>
      <c r="BR7" s="234"/>
      <c r="BS7" s="239"/>
      <c r="BT7" s="240"/>
      <c r="BU7" s="240"/>
      <c r="BV7" s="234"/>
      <c r="BW7" s="234" t="s">
        <v>327</v>
      </c>
      <c r="BX7" s="234">
        <v>1</v>
      </c>
      <c r="BY7" s="240"/>
      <c r="BZ7" s="247" t="s">
        <v>474</v>
      </c>
    </row>
    <row r="8" spans="1:108" customFormat="1" ht="13" customHeight="1" x14ac:dyDescent="0.15">
      <c r="A8" s="231">
        <v>447</v>
      </c>
      <c r="B8" s="306">
        <v>43719</v>
      </c>
      <c r="C8" s="233" t="s">
        <v>309</v>
      </c>
      <c r="D8" s="231" t="s">
        <v>310</v>
      </c>
      <c r="E8" s="231"/>
      <c r="F8" s="231" t="s">
        <v>345</v>
      </c>
      <c r="G8" s="232">
        <v>43712</v>
      </c>
      <c r="H8" s="234" t="s">
        <v>312</v>
      </c>
      <c r="I8" s="234" t="s">
        <v>324</v>
      </c>
      <c r="J8" s="234"/>
      <c r="K8" s="231" t="s">
        <v>314</v>
      </c>
      <c r="L8" s="231" t="s">
        <v>454</v>
      </c>
      <c r="M8" s="235">
        <v>92.999999999999986</v>
      </c>
      <c r="N8" s="235">
        <v>24.8</v>
      </c>
      <c r="O8" s="240"/>
      <c r="P8" s="231"/>
      <c r="Q8" s="286"/>
      <c r="R8" s="236"/>
      <c r="S8" s="286"/>
      <c r="T8" s="231"/>
      <c r="U8" s="286"/>
      <c r="V8" s="286"/>
      <c r="W8" s="286"/>
      <c r="X8" s="231"/>
      <c r="Y8" s="235"/>
      <c r="Z8" s="235"/>
      <c r="AA8" s="235"/>
      <c r="AB8" s="235"/>
      <c r="AC8" s="235"/>
      <c r="AD8" s="235"/>
      <c r="AE8" s="235">
        <v>15.736363636363635</v>
      </c>
      <c r="AF8" s="231"/>
      <c r="AG8" s="231"/>
      <c r="AH8" s="286"/>
      <c r="AI8" s="231"/>
      <c r="AJ8" s="231"/>
      <c r="AK8" s="235"/>
      <c r="AL8" s="231"/>
      <c r="AM8" s="235"/>
      <c r="AN8" s="235"/>
      <c r="AO8" s="231" t="s">
        <v>346</v>
      </c>
      <c r="AP8" s="234" t="s">
        <v>313</v>
      </c>
      <c r="AQ8" s="234"/>
      <c r="AR8" s="234"/>
      <c r="AS8" s="237"/>
      <c r="AT8" s="234">
        <v>15</v>
      </c>
      <c r="AU8" s="237">
        <v>1365</v>
      </c>
      <c r="AV8" s="234"/>
      <c r="AW8" s="237">
        <v>11</v>
      </c>
      <c r="AX8" s="234" t="s">
        <v>318</v>
      </c>
      <c r="AY8" s="234"/>
      <c r="AZ8" s="234">
        <v>0</v>
      </c>
      <c r="BA8" s="234">
        <v>0</v>
      </c>
      <c r="BB8" s="234">
        <v>0</v>
      </c>
      <c r="BC8" s="234">
        <v>0</v>
      </c>
      <c r="BD8" s="234">
        <v>0</v>
      </c>
      <c r="BE8" s="234">
        <v>0</v>
      </c>
      <c r="BF8" s="234">
        <v>0</v>
      </c>
      <c r="BG8" s="234">
        <v>0</v>
      </c>
      <c r="BH8" s="234">
        <v>0</v>
      </c>
      <c r="BI8" s="234">
        <v>0</v>
      </c>
      <c r="BJ8" s="234">
        <v>0</v>
      </c>
      <c r="BK8" s="234">
        <v>0</v>
      </c>
      <c r="BL8" s="234"/>
      <c r="BM8" s="234" t="s">
        <v>410</v>
      </c>
      <c r="BN8" s="234">
        <v>12</v>
      </c>
      <c r="BO8" s="234" t="s">
        <v>313</v>
      </c>
      <c r="BP8" s="287"/>
      <c r="BQ8" s="234"/>
      <c r="BR8" s="234"/>
      <c r="BS8" s="234"/>
      <c r="BT8" s="231"/>
      <c r="BU8" s="231"/>
      <c r="BV8" s="234"/>
      <c r="BW8" s="234" t="s">
        <v>319</v>
      </c>
      <c r="BX8" s="234"/>
      <c r="BY8" s="231"/>
      <c r="BZ8" s="247" t="s">
        <v>456</v>
      </c>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row>
    <row r="9" spans="1:108" customFormat="1" ht="13" customHeight="1" x14ac:dyDescent="0.15">
      <c r="A9" s="231">
        <v>1101</v>
      </c>
      <c r="B9" s="306">
        <v>43719</v>
      </c>
      <c r="C9" s="233" t="s">
        <v>309</v>
      </c>
      <c r="D9" s="231" t="s">
        <v>310</v>
      </c>
      <c r="E9" s="231"/>
      <c r="F9" s="231" t="s">
        <v>345</v>
      </c>
      <c r="G9" s="232">
        <v>43678</v>
      </c>
      <c r="H9" s="234" t="s">
        <v>312</v>
      </c>
      <c r="I9" s="234" t="s">
        <v>313</v>
      </c>
      <c r="J9" s="234"/>
      <c r="K9" s="231" t="s">
        <v>321</v>
      </c>
      <c r="L9" s="231" t="s">
        <v>458</v>
      </c>
      <c r="M9" s="235">
        <v>92.6</v>
      </c>
      <c r="N9" s="235">
        <v>28.609090909090906</v>
      </c>
      <c r="O9" s="240"/>
      <c r="P9" s="231"/>
      <c r="Q9" s="286"/>
      <c r="R9" s="236"/>
      <c r="S9" s="286"/>
      <c r="T9" s="231"/>
      <c r="U9" s="286"/>
      <c r="V9" s="286"/>
      <c r="W9" s="286"/>
      <c r="X9" s="231"/>
      <c r="Y9" s="235"/>
      <c r="Z9" s="235"/>
      <c r="AA9" s="235"/>
      <c r="AB9" s="235"/>
      <c r="AC9" s="235"/>
      <c r="AD9" s="235"/>
      <c r="AE9" s="235">
        <v>16.190909090909088</v>
      </c>
      <c r="AF9" s="231"/>
      <c r="AG9" s="231"/>
      <c r="AH9" s="286"/>
      <c r="AI9" s="231"/>
      <c r="AJ9" s="231"/>
      <c r="AK9" s="235"/>
      <c r="AL9" s="231"/>
      <c r="AM9" s="235"/>
      <c r="AN9" s="235"/>
      <c r="AO9" s="231" t="s">
        <v>346</v>
      </c>
      <c r="AP9" s="234" t="s">
        <v>313</v>
      </c>
      <c r="AQ9" s="234"/>
      <c r="AR9" s="234"/>
      <c r="AS9" s="237"/>
      <c r="AT9" s="234">
        <v>7.6</v>
      </c>
      <c r="AU9" s="234"/>
      <c r="AV9" s="234"/>
      <c r="AW9" s="234"/>
      <c r="AX9" s="234" t="s">
        <v>318</v>
      </c>
      <c r="AY9" s="307"/>
      <c r="AZ9" s="234">
        <v>11</v>
      </c>
      <c r="BA9" s="234">
        <v>0</v>
      </c>
      <c r="BB9" s="234">
        <v>0</v>
      </c>
      <c r="BC9" s="234">
        <v>0</v>
      </c>
      <c r="BD9" s="234">
        <v>0</v>
      </c>
      <c r="BE9" s="234">
        <v>0</v>
      </c>
      <c r="BF9" s="234">
        <v>0</v>
      </c>
      <c r="BG9" s="234">
        <v>0</v>
      </c>
      <c r="BH9" s="234">
        <v>0</v>
      </c>
      <c r="BI9" s="234">
        <v>0</v>
      </c>
      <c r="BJ9" s="234">
        <v>0</v>
      </c>
      <c r="BK9" s="234">
        <v>0</v>
      </c>
      <c r="BL9" s="234"/>
      <c r="BM9" s="234" t="s">
        <v>313</v>
      </c>
      <c r="BN9" s="234">
        <v>12</v>
      </c>
      <c r="BO9" s="234" t="s">
        <v>313</v>
      </c>
      <c r="BP9" s="287"/>
      <c r="BQ9" s="234"/>
      <c r="BR9" s="234"/>
      <c r="BS9" s="234"/>
      <c r="BT9" s="231"/>
      <c r="BU9" s="240"/>
      <c r="BV9" s="234"/>
      <c r="BW9" s="234" t="s">
        <v>319</v>
      </c>
      <c r="BX9" s="234"/>
      <c r="BY9" s="231"/>
      <c r="BZ9" s="231" t="s">
        <v>460</v>
      </c>
    </row>
    <row r="10" spans="1:108" customFormat="1" ht="13" customHeight="1" x14ac:dyDescent="0.15">
      <c r="A10" s="231">
        <v>12707</v>
      </c>
      <c r="B10" s="306">
        <v>43719</v>
      </c>
      <c r="C10" s="233" t="s">
        <v>309</v>
      </c>
      <c r="D10" s="231" t="s">
        <v>310</v>
      </c>
      <c r="E10" s="231"/>
      <c r="F10" s="231" t="s">
        <v>345</v>
      </c>
      <c r="G10" s="232">
        <v>43677</v>
      </c>
      <c r="H10" s="234" t="s">
        <v>312</v>
      </c>
      <c r="I10" s="234" t="s">
        <v>324</v>
      </c>
      <c r="J10" s="234"/>
      <c r="K10" s="231" t="s">
        <v>325</v>
      </c>
      <c r="L10" s="231" t="s">
        <v>326</v>
      </c>
      <c r="M10" s="235">
        <v>104.25454545454545</v>
      </c>
      <c r="N10" s="235">
        <v>21.718181818181819</v>
      </c>
      <c r="O10" s="240"/>
      <c r="P10" s="231"/>
      <c r="Q10" s="286"/>
      <c r="R10" s="236"/>
      <c r="S10" s="286"/>
      <c r="T10" s="231"/>
      <c r="U10" s="286"/>
      <c r="V10" s="286"/>
      <c r="W10" s="286"/>
      <c r="X10" s="231"/>
      <c r="Y10" s="235"/>
      <c r="Z10" s="235"/>
      <c r="AA10" s="235"/>
      <c r="AB10" s="235"/>
      <c r="AC10" s="235"/>
      <c r="AD10" s="235"/>
      <c r="AE10" s="235">
        <v>16.59090909090909</v>
      </c>
      <c r="AF10" s="231"/>
      <c r="AG10" s="231"/>
      <c r="AH10" s="286"/>
      <c r="AI10" s="231"/>
      <c r="AJ10" s="231"/>
      <c r="AK10" s="286"/>
      <c r="AL10" s="231"/>
      <c r="AM10" s="235"/>
      <c r="AN10" s="235"/>
      <c r="AO10" s="231" t="s">
        <v>377</v>
      </c>
      <c r="AP10" s="234" t="s">
        <v>313</v>
      </c>
      <c r="AQ10" s="234"/>
      <c r="AR10" s="234"/>
      <c r="AS10" s="234"/>
      <c r="AT10" s="234">
        <v>12</v>
      </c>
      <c r="AU10" s="237">
        <v>1274</v>
      </c>
      <c r="AV10" s="234"/>
      <c r="AW10" s="237">
        <v>10</v>
      </c>
      <c r="AX10" s="234" t="s">
        <v>318</v>
      </c>
      <c r="AY10" s="234"/>
      <c r="AZ10" s="234">
        <v>0</v>
      </c>
      <c r="BA10" s="234">
        <v>0</v>
      </c>
      <c r="BB10" s="234">
        <v>0</v>
      </c>
      <c r="BC10" s="234">
        <v>0</v>
      </c>
      <c r="BD10" s="234">
        <v>0</v>
      </c>
      <c r="BE10" s="234">
        <v>0</v>
      </c>
      <c r="BF10" s="234">
        <v>0</v>
      </c>
      <c r="BG10" s="234">
        <v>0</v>
      </c>
      <c r="BH10" s="234">
        <v>0</v>
      </c>
      <c r="BI10" s="234">
        <v>0</v>
      </c>
      <c r="BJ10" s="234">
        <v>0</v>
      </c>
      <c r="BK10" s="234">
        <v>0</v>
      </c>
      <c r="BL10" s="234"/>
      <c r="BM10" s="234" t="s">
        <v>313</v>
      </c>
      <c r="BN10" s="234">
        <v>12</v>
      </c>
      <c r="BO10" s="234" t="s">
        <v>313</v>
      </c>
      <c r="BP10" s="287"/>
      <c r="BQ10" s="234"/>
      <c r="BR10" s="234"/>
      <c r="BS10" s="234"/>
      <c r="BT10" s="240"/>
      <c r="BU10" s="240"/>
      <c r="BV10" s="234"/>
      <c r="BW10" s="234" t="s">
        <v>327</v>
      </c>
      <c r="BX10" s="234"/>
      <c r="BY10" s="240"/>
      <c r="BZ10" s="78" t="s">
        <v>463</v>
      </c>
    </row>
    <row r="11" spans="1:108" customFormat="1" ht="13" customHeight="1" x14ac:dyDescent="0.15">
      <c r="A11" s="231">
        <v>11602</v>
      </c>
      <c r="B11" s="306">
        <v>43719</v>
      </c>
      <c r="C11" s="233" t="s">
        <v>309</v>
      </c>
      <c r="D11" s="231" t="s">
        <v>310</v>
      </c>
      <c r="E11" s="231"/>
      <c r="F11" s="231" t="s">
        <v>345</v>
      </c>
      <c r="G11" s="245">
        <v>43670</v>
      </c>
      <c r="H11" s="234" t="s">
        <v>312</v>
      </c>
      <c r="I11" s="234" t="s">
        <v>313</v>
      </c>
      <c r="J11" s="234"/>
      <c r="K11" s="231" t="s">
        <v>353</v>
      </c>
      <c r="L11" s="231" t="s">
        <v>388</v>
      </c>
      <c r="M11" s="235">
        <v>90.999999999999986</v>
      </c>
      <c r="N11" s="235">
        <v>19.245454545454546</v>
      </c>
      <c r="O11" s="240"/>
      <c r="P11" s="231"/>
      <c r="Q11" s="286"/>
      <c r="R11" s="236"/>
      <c r="S11" s="286"/>
      <c r="T11" s="231"/>
      <c r="U11" s="286"/>
      <c r="V11" s="286"/>
      <c r="W11" s="286"/>
      <c r="X11" s="231"/>
      <c r="Y11" s="235"/>
      <c r="Z11" s="235"/>
      <c r="AA11" s="235"/>
      <c r="AB11" s="235"/>
      <c r="AC11" s="235"/>
      <c r="AD11" s="286"/>
      <c r="AE11" s="235">
        <v>13</v>
      </c>
      <c r="AF11" s="231"/>
      <c r="AG11" s="231"/>
      <c r="AH11" s="286"/>
      <c r="AI11" s="231"/>
      <c r="AJ11" s="231"/>
      <c r="AK11" s="235"/>
      <c r="AL11" s="231"/>
      <c r="AM11" s="235"/>
      <c r="AN11" s="235"/>
      <c r="AO11" s="231" t="s">
        <v>346</v>
      </c>
      <c r="AP11" s="234" t="s">
        <v>313</v>
      </c>
      <c r="AQ11" s="234"/>
      <c r="AR11" s="234"/>
      <c r="AS11" s="237"/>
      <c r="AT11" s="234">
        <v>6</v>
      </c>
      <c r="AU11" s="234"/>
      <c r="AV11" s="234"/>
      <c r="AW11" s="234"/>
      <c r="AX11" s="234" t="s">
        <v>318</v>
      </c>
      <c r="AY11" s="307"/>
      <c r="AZ11" s="234">
        <v>0</v>
      </c>
      <c r="BA11" s="234">
        <v>0</v>
      </c>
      <c r="BB11" s="234">
        <v>0</v>
      </c>
      <c r="BC11" s="234">
        <v>0</v>
      </c>
      <c r="BD11" s="234">
        <v>0</v>
      </c>
      <c r="BE11" s="234">
        <v>0</v>
      </c>
      <c r="BF11" s="234">
        <v>0</v>
      </c>
      <c r="BG11" s="234">
        <v>0</v>
      </c>
      <c r="BH11" s="234">
        <v>0</v>
      </c>
      <c r="BI11" s="234">
        <v>0</v>
      </c>
      <c r="BJ11" s="234">
        <v>0</v>
      </c>
      <c r="BK11" s="234">
        <v>0</v>
      </c>
      <c r="BL11" s="234"/>
      <c r="BM11" s="234" t="s">
        <v>313</v>
      </c>
      <c r="BN11" s="234"/>
      <c r="BO11" s="234" t="s">
        <v>313</v>
      </c>
      <c r="BP11" s="287"/>
      <c r="BQ11" s="234"/>
      <c r="BR11" s="234"/>
      <c r="BS11" s="239"/>
      <c r="BT11" s="240"/>
      <c r="BU11" s="240"/>
      <c r="BV11" s="234"/>
      <c r="BW11" s="234" t="s">
        <v>327</v>
      </c>
      <c r="BX11" s="234"/>
      <c r="BY11" s="240"/>
      <c r="BZ11" s="231" t="s">
        <v>466</v>
      </c>
    </row>
    <row r="12" spans="1:108" customFormat="1" ht="13" customHeight="1" x14ac:dyDescent="0.15">
      <c r="A12" s="231">
        <v>449</v>
      </c>
      <c r="B12" s="306">
        <v>43719</v>
      </c>
      <c r="C12" s="233" t="s">
        <v>309</v>
      </c>
      <c r="D12" s="231" t="s">
        <v>310</v>
      </c>
      <c r="E12" s="231"/>
      <c r="F12" s="231" t="s">
        <v>349</v>
      </c>
      <c r="G12" s="232">
        <v>43712</v>
      </c>
      <c r="H12" s="234" t="s">
        <v>312</v>
      </c>
      <c r="I12" s="234" t="s">
        <v>324</v>
      </c>
      <c r="J12" s="234"/>
      <c r="K12" s="231" t="s">
        <v>314</v>
      </c>
      <c r="L12" s="231" t="s">
        <v>454</v>
      </c>
      <c r="M12" s="235">
        <v>92.999999999999986</v>
      </c>
      <c r="N12" s="235">
        <v>32.999999999999993</v>
      </c>
      <c r="O12" s="240"/>
      <c r="P12" s="231"/>
      <c r="Q12" s="286"/>
      <c r="R12" s="236"/>
      <c r="S12" s="286"/>
      <c r="T12" s="231"/>
      <c r="U12" s="286"/>
      <c r="V12" s="286"/>
      <c r="W12" s="235">
        <v>19.599999999999998</v>
      </c>
      <c r="X12" s="231"/>
      <c r="Y12" s="235"/>
      <c r="Z12" s="235"/>
      <c r="AA12" s="235"/>
      <c r="AB12" s="235"/>
      <c r="AC12" s="235"/>
      <c r="AD12" s="235"/>
      <c r="AE12" s="286"/>
      <c r="AF12" s="231"/>
      <c r="AG12" s="231"/>
      <c r="AH12" s="235">
        <v>22.799999999999997</v>
      </c>
      <c r="AI12" s="231"/>
      <c r="AJ12" s="231"/>
      <c r="AK12" s="235"/>
      <c r="AL12" s="231"/>
      <c r="AM12" s="235"/>
      <c r="AN12" s="235"/>
      <c r="AO12" s="231" t="s">
        <v>350</v>
      </c>
      <c r="AP12" s="234" t="s">
        <v>313</v>
      </c>
      <c r="AQ12" s="234"/>
      <c r="AR12" s="234"/>
      <c r="AS12" s="237"/>
      <c r="AT12" s="234">
        <v>15</v>
      </c>
      <c r="AU12" s="237">
        <v>1365</v>
      </c>
      <c r="AV12" s="234"/>
      <c r="AW12" s="237">
        <v>11</v>
      </c>
      <c r="AX12" s="234" t="s">
        <v>318</v>
      </c>
      <c r="AY12" s="234"/>
      <c r="AZ12" s="234">
        <v>0</v>
      </c>
      <c r="BA12" s="234">
        <v>0</v>
      </c>
      <c r="BB12" s="234">
        <v>0</v>
      </c>
      <c r="BC12" s="234">
        <v>0</v>
      </c>
      <c r="BD12" s="234">
        <v>0</v>
      </c>
      <c r="BE12" s="234">
        <v>0</v>
      </c>
      <c r="BF12" s="234">
        <v>0</v>
      </c>
      <c r="BG12" s="234">
        <v>0</v>
      </c>
      <c r="BH12" s="234">
        <v>0</v>
      </c>
      <c r="BI12" s="234">
        <v>0</v>
      </c>
      <c r="BJ12" s="234">
        <v>0</v>
      </c>
      <c r="BK12" s="234">
        <v>0</v>
      </c>
      <c r="BL12" s="234"/>
      <c r="BM12" s="234" t="s">
        <v>410</v>
      </c>
      <c r="BN12" s="234">
        <v>12</v>
      </c>
      <c r="BO12" s="234" t="s">
        <v>313</v>
      </c>
      <c r="BP12" s="287"/>
      <c r="BQ12" s="234"/>
      <c r="BR12" s="234"/>
      <c r="BS12" s="234"/>
      <c r="BT12" s="231"/>
      <c r="BU12" s="231"/>
      <c r="BV12" s="234"/>
      <c r="BW12" s="234" t="s">
        <v>319</v>
      </c>
      <c r="BX12" s="234"/>
      <c r="BY12" s="231"/>
      <c r="BZ12" s="231" t="s">
        <v>457</v>
      </c>
    </row>
    <row r="13" spans="1:108" customFormat="1" ht="13" customHeight="1" x14ac:dyDescent="0.15">
      <c r="A13" s="231">
        <v>1103</v>
      </c>
      <c r="B13" s="306">
        <v>43719</v>
      </c>
      <c r="C13" s="233" t="s">
        <v>309</v>
      </c>
      <c r="D13" s="231" t="s">
        <v>310</v>
      </c>
      <c r="E13" s="231"/>
      <c r="F13" s="231" t="s">
        <v>349</v>
      </c>
      <c r="G13" s="232">
        <v>43678</v>
      </c>
      <c r="H13" s="234" t="s">
        <v>312</v>
      </c>
      <c r="I13" s="234" t="s">
        <v>313</v>
      </c>
      <c r="J13" s="234"/>
      <c r="K13" s="231" t="s">
        <v>321</v>
      </c>
      <c r="L13" s="231" t="s">
        <v>458</v>
      </c>
      <c r="M13" s="235">
        <v>85.999999999999986</v>
      </c>
      <c r="N13" s="235">
        <v>33.509090909090908</v>
      </c>
      <c r="O13" s="240"/>
      <c r="P13" s="231"/>
      <c r="Q13" s="286"/>
      <c r="R13" s="236"/>
      <c r="S13" s="286"/>
      <c r="T13" s="231"/>
      <c r="U13" s="286"/>
      <c r="V13" s="286"/>
      <c r="W13" s="235">
        <v>18.399999999999999</v>
      </c>
      <c r="X13" s="231"/>
      <c r="Y13" s="235"/>
      <c r="Z13" s="235"/>
      <c r="AA13" s="235"/>
      <c r="AB13" s="235"/>
      <c r="AC13" s="235"/>
      <c r="AD13" s="235"/>
      <c r="AE13" s="286"/>
      <c r="AF13" s="231"/>
      <c r="AG13" s="231"/>
      <c r="AH13" s="235">
        <v>24.27272727272727</v>
      </c>
      <c r="AI13" s="231"/>
      <c r="AJ13" s="231"/>
      <c r="AK13" s="235"/>
      <c r="AL13" s="231"/>
      <c r="AM13" s="235"/>
      <c r="AN13" s="235"/>
      <c r="AO13" s="231" t="s">
        <v>350</v>
      </c>
      <c r="AP13" s="234" t="s">
        <v>313</v>
      </c>
      <c r="AQ13" s="234"/>
      <c r="AR13" s="234"/>
      <c r="AS13" s="237"/>
      <c r="AT13" s="234">
        <v>7.6</v>
      </c>
      <c r="AU13" s="234"/>
      <c r="AV13" s="234"/>
      <c r="AW13" s="234"/>
      <c r="AX13" s="234" t="s">
        <v>318</v>
      </c>
      <c r="AY13" s="307"/>
      <c r="AZ13" s="234">
        <v>11</v>
      </c>
      <c r="BA13" s="234">
        <v>0</v>
      </c>
      <c r="BB13" s="234">
        <v>0</v>
      </c>
      <c r="BC13" s="234">
        <v>0</v>
      </c>
      <c r="BD13" s="234">
        <v>0</v>
      </c>
      <c r="BE13" s="234">
        <v>0</v>
      </c>
      <c r="BF13" s="234">
        <v>0</v>
      </c>
      <c r="BG13" s="234">
        <v>0</v>
      </c>
      <c r="BH13" s="234">
        <v>0</v>
      </c>
      <c r="BI13" s="234">
        <v>0</v>
      </c>
      <c r="BJ13" s="234">
        <v>0</v>
      </c>
      <c r="BK13" s="234">
        <v>0</v>
      </c>
      <c r="BL13" s="234"/>
      <c r="BM13" s="234" t="s">
        <v>313</v>
      </c>
      <c r="BN13" s="234">
        <v>12</v>
      </c>
      <c r="BO13" s="234" t="s">
        <v>313</v>
      </c>
      <c r="BP13" s="287"/>
      <c r="BQ13" s="234"/>
      <c r="BR13" s="234"/>
      <c r="BS13" s="234"/>
      <c r="BT13" s="231"/>
      <c r="BU13" s="240"/>
      <c r="BV13" s="234"/>
      <c r="BW13" s="234" t="s">
        <v>319</v>
      </c>
      <c r="BX13" s="234"/>
      <c r="BY13" s="231"/>
      <c r="BZ13" s="247" t="s">
        <v>461</v>
      </c>
      <c r="CA13" s="247"/>
    </row>
    <row r="14" spans="1:108" customFormat="1" ht="13" customHeight="1" x14ac:dyDescent="0.15">
      <c r="A14" s="231">
        <v>10588</v>
      </c>
      <c r="B14" s="306">
        <v>43719</v>
      </c>
      <c r="C14" s="233" t="s">
        <v>309</v>
      </c>
      <c r="D14" s="231" t="s">
        <v>310</v>
      </c>
      <c r="E14" s="231"/>
      <c r="F14" s="231" t="s">
        <v>349</v>
      </c>
      <c r="G14" s="232">
        <v>43677</v>
      </c>
      <c r="H14" s="234" t="s">
        <v>312</v>
      </c>
      <c r="I14" s="234" t="s">
        <v>324</v>
      </c>
      <c r="J14" s="234"/>
      <c r="K14" s="231" t="s">
        <v>325</v>
      </c>
      <c r="L14" s="231" t="s">
        <v>326</v>
      </c>
      <c r="M14" s="235">
        <v>104.25454545454545</v>
      </c>
      <c r="N14" s="235">
        <v>34.654545454545449</v>
      </c>
      <c r="O14" s="240"/>
      <c r="P14" s="231"/>
      <c r="Q14" s="286"/>
      <c r="R14" s="236"/>
      <c r="S14" s="286"/>
      <c r="T14" s="231"/>
      <c r="U14" s="286"/>
      <c r="V14" s="286"/>
      <c r="W14" s="235">
        <v>19.2</v>
      </c>
      <c r="X14" s="231"/>
      <c r="Y14" s="235"/>
      <c r="Z14" s="235"/>
      <c r="AA14" s="235"/>
      <c r="AB14" s="235"/>
      <c r="AC14" s="235"/>
      <c r="AD14" s="235"/>
      <c r="AE14" s="286"/>
      <c r="AF14" s="231"/>
      <c r="AG14" s="231"/>
      <c r="AH14" s="235">
        <v>24.4</v>
      </c>
      <c r="AI14" s="231"/>
      <c r="AJ14" s="231"/>
      <c r="AK14" s="286"/>
      <c r="AL14" s="231"/>
      <c r="AM14" s="235"/>
      <c r="AN14" s="235"/>
      <c r="AO14" s="231" t="s">
        <v>350</v>
      </c>
      <c r="AP14" s="234" t="s">
        <v>313</v>
      </c>
      <c r="AQ14" s="234"/>
      <c r="AR14" s="234"/>
      <c r="AS14" s="234"/>
      <c r="AT14" s="234">
        <v>12</v>
      </c>
      <c r="AU14" s="237">
        <v>1274</v>
      </c>
      <c r="AV14" s="234"/>
      <c r="AW14" s="237">
        <v>10</v>
      </c>
      <c r="AX14" s="234" t="s">
        <v>318</v>
      </c>
      <c r="AY14" s="234"/>
      <c r="AZ14" s="234">
        <v>0</v>
      </c>
      <c r="BA14" s="234">
        <v>0</v>
      </c>
      <c r="BB14" s="234">
        <v>0</v>
      </c>
      <c r="BC14" s="234">
        <v>0</v>
      </c>
      <c r="BD14" s="234">
        <v>0</v>
      </c>
      <c r="BE14" s="234">
        <v>0</v>
      </c>
      <c r="BF14" s="234">
        <v>0</v>
      </c>
      <c r="BG14" s="234">
        <v>0</v>
      </c>
      <c r="BH14" s="234">
        <v>0</v>
      </c>
      <c r="BI14" s="234">
        <v>0</v>
      </c>
      <c r="BJ14" s="234">
        <v>0</v>
      </c>
      <c r="BK14" s="234">
        <v>0</v>
      </c>
      <c r="BL14" s="234"/>
      <c r="BM14" s="234" t="s">
        <v>313</v>
      </c>
      <c r="BN14" s="234">
        <v>12</v>
      </c>
      <c r="BO14" s="234" t="s">
        <v>313</v>
      </c>
      <c r="BP14" s="287"/>
      <c r="BQ14" s="234"/>
      <c r="BR14" s="234"/>
      <c r="BS14" s="234"/>
      <c r="BT14" s="240"/>
      <c r="BU14" s="240"/>
      <c r="BV14" s="234"/>
      <c r="BW14" s="234" t="s">
        <v>327</v>
      </c>
      <c r="BX14" s="234"/>
      <c r="BY14" s="240"/>
      <c r="BZ14" t="s">
        <v>464</v>
      </c>
    </row>
    <row r="15" spans="1:108" customFormat="1" ht="13" customHeight="1" x14ac:dyDescent="0.15">
      <c r="A15" s="231">
        <v>11604</v>
      </c>
      <c r="B15" s="306">
        <v>43719</v>
      </c>
      <c r="C15" s="233" t="s">
        <v>309</v>
      </c>
      <c r="D15" s="231" t="s">
        <v>310</v>
      </c>
      <c r="E15" s="231"/>
      <c r="F15" s="231" t="s">
        <v>349</v>
      </c>
      <c r="G15" s="245">
        <v>43670</v>
      </c>
      <c r="H15" s="234" t="s">
        <v>312</v>
      </c>
      <c r="I15" s="234" t="s">
        <v>313</v>
      </c>
      <c r="J15" s="234"/>
      <c r="K15" s="231" t="s">
        <v>353</v>
      </c>
      <c r="L15" s="231" t="s">
        <v>388</v>
      </c>
      <c r="M15" s="235">
        <v>90.999999999999986</v>
      </c>
      <c r="N15" s="235">
        <v>26.2</v>
      </c>
      <c r="O15" s="240"/>
      <c r="P15" s="231"/>
      <c r="Q15" s="286"/>
      <c r="R15" s="236"/>
      <c r="S15" s="286"/>
      <c r="T15" s="231"/>
      <c r="U15" s="286"/>
      <c r="V15" s="286"/>
      <c r="W15" s="235">
        <v>14.499999999999998</v>
      </c>
      <c r="X15" s="231"/>
      <c r="Y15" s="235"/>
      <c r="Z15" s="235"/>
      <c r="AA15" s="235"/>
      <c r="AB15" s="235"/>
      <c r="AC15" s="235"/>
      <c r="AD15" s="286"/>
      <c r="AE15" s="286"/>
      <c r="AF15" s="231"/>
      <c r="AG15" s="231"/>
      <c r="AH15" s="235">
        <v>17.799999999999997</v>
      </c>
      <c r="AI15" s="231"/>
      <c r="AJ15" s="231"/>
      <c r="AK15" s="235"/>
      <c r="AL15" s="231"/>
      <c r="AM15" s="235"/>
      <c r="AN15" s="235"/>
      <c r="AO15" s="231" t="s">
        <v>350</v>
      </c>
      <c r="AP15" s="234" t="s">
        <v>313</v>
      </c>
      <c r="AQ15" s="234"/>
      <c r="AR15" s="234"/>
      <c r="AS15" s="237"/>
      <c r="AT15" s="234">
        <v>6</v>
      </c>
      <c r="AU15" s="234"/>
      <c r="AV15" s="234"/>
      <c r="AW15" s="234"/>
      <c r="AX15" s="234" t="s">
        <v>318</v>
      </c>
      <c r="AY15" s="307"/>
      <c r="AZ15" s="234">
        <v>0</v>
      </c>
      <c r="BA15" s="234">
        <v>0</v>
      </c>
      <c r="BB15" s="234">
        <v>0</v>
      </c>
      <c r="BC15" s="234">
        <v>0</v>
      </c>
      <c r="BD15" s="234">
        <v>0</v>
      </c>
      <c r="BE15" s="234">
        <v>0</v>
      </c>
      <c r="BF15" s="234">
        <v>0</v>
      </c>
      <c r="BG15" s="234">
        <v>0</v>
      </c>
      <c r="BH15" s="234">
        <v>0</v>
      </c>
      <c r="BI15" s="234">
        <v>0</v>
      </c>
      <c r="BJ15" s="234">
        <v>0</v>
      </c>
      <c r="BK15" s="234">
        <v>0</v>
      </c>
      <c r="BL15" s="234"/>
      <c r="BM15" s="234" t="s">
        <v>313</v>
      </c>
      <c r="BN15" s="234"/>
      <c r="BO15" s="234" t="s">
        <v>313</v>
      </c>
      <c r="BP15" s="287"/>
      <c r="BQ15" s="234"/>
      <c r="BR15" s="234"/>
      <c r="BS15" s="239"/>
      <c r="BT15" s="240"/>
      <c r="BU15" s="240"/>
      <c r="BV15" s="234"/>
      <c r="BW15" s="234" t="s">
        <v>327</v>
      </c>
      <c r="BX15" s="234"/>
      <c r="BY15" s="240"/>
      <c r="BZ15" s="247" t="s">
        <v>467</v>
      </c>
    </row>
    <row r="16" spans="1:108" customFormat="1" ht="13" customHeight="1" x14ac:dyDescent="0.15">
      <c r="A16" s="231" t="s">
        <v>468</v>
      </c>
      <c r="B16" s="306">
        <v>43719</v>
      </c>
      <c r="C16" s="233" t="s">
        <v>309</v>
      </c>
      <c r="D16" s="231" t="s">
        <v>310</v>
      </c>
      <c r="E16" s="231"/>
      <c r="F16" s="231" t="s">
        <v>349</v>
      </c>
      <c r="G16" s="245">
        <v>43694</v>
      </c>
      <c r="H16" s="234" t="s">
        <v>312</v>
      </c>
      <c r="I16" s="234" t="s">
        <v>313</v>
      </c>
      <c r="J16" s="234"/>
      <c r="K16" s="231" t="s">
        <v>469</v>
      </c>
      <c r="L16" s="231" t="s">
        <v>470</v>
      </c>
      <c r="M16" s="235">
        <v>53.636363636363633</v>
      </c>
      <c r="N16" s="235">
        <v>29.999999999999996</v>
      </c>
      <c r="O16" s="240"/>
      <c r="P16" s="231"/>
      <c r="Q16" s="286"/>
      <c r="R16" s="236"/>
      <c r="S16" s="286"/>
      <c r="T16" s="231"/>
      <c r="U16" s="286"/>
      <c r="V16" s="286"/>
      <c r="W16" s="235">
        <v>20.454545454545453</v>
      </c>
      <c r="X16" s="231"/>
      <c r="Y16" s="235"/>
      <c r="Z16" s="235"/>
      <c r="AA16" s="235"/>
      <c r="AB16" s="235"/>
      <c r="AC16" s="235"/>
      <c r="AD16" s="286"/>
      <c r="AE16" s="286"/>
      <c r="AF16" s="231"/>
      <c r="AG16" s="231"/>
      <c r="AH16" s="235">
        <v>22.727272727272727</v>
      </c>
      <c r="AI16" s="231"/>
      <c r="AJ16" s="231"/>
      <c r="AK16" s="235"/>
      <c r="AL16" s="231"/>
      <c r="AM16" s="235"/>
      <c r="AN16" s="235"/>
      <c r="AO16" s="231" t="s">
        <v>350</v>
      </c>
      <c r="AP16" s="234" t="s">
        <v>313</v>
      </c>
      <c r="AQ16" s="234"/>
      <c r="AR16" s="234"/>
      <c r="AS16" s="237"/>
      <c r="AT16" s="234">
        <v>7.1</v>
      </c>
      <c r="AU16" s="234"/>
      <c r="AV16" s="234"/>
      <c r="AW16" s="234"/>
      <c r="AX16" s="234" t="s">
        <v>318</v>
      </c>
      <c r="AY16" s="307"/>
      <c r="AZ16" s="234">
        <v>0</v>
      </c>
      <c r="BA16" s="234">
        <v>0</v>
      </c>
      <c r="BB16" s="234">
        <v>0</v>
      </c>
      <c r="BC16" s="234">
        <v>0</v>
      </c>
      <c r="BD16" s="234">
        <v>0</v>
      </c>
      <c r="BE16" s="234">
        <v>0</v>
      </c>
      <c r="BF16" s="234">
        <v>0</v>
      </c>
      <c r="BG16" s="234">
        <v>0</v>
      </c>
      <c r="BH16" s="234">
        <v>0</v>
      </c>
      <c r="BI16" s="234">
        <v>0</v>
      </c>
      <c r="BJ16" s="234">
        <v>0</v>
      </c>
      <c r="BK16" s="234">
        <v>0</v>
      </c>
      <c r="BL16" s="234"/>
      <c r="BM16" s="234" t="s">
        <v>313</v>
      </c>
      <c r="BN16" s="234"/>
      <c r="BO16" s="234" t="s">
        <v>313</v>
      </c>
      <c r="BP16" s="238">
        <v>234.43636363636361</v>
      </c>
      <c r="BQ16" s="234"/>
      <c r="BR16" s="234"/>
      <c r="BS16" s="239"/>
      <c r="BT16" s="240"/>
      <c r="BU16" s="240"/>
      <c r="BV16" s="234"/>
      <c r="BW16" s="234" t="s">
        <v>327</v>
      </c>
      <c r="BX16" s="234"/>
      <c r="BY16" s="240"/>
      <c r="BZ16" s="247" t="s">
        <v>475</v>
      </c>
    </row>
    <row r="17" spans="1:78" customFormat="1" ht="13" customHeight="1" x14ac:dyDescent="0.15">
      <c r="A17" s="231" t="s">
        <v>468</v>
      </c>
      <c r="B17" s="306">
        <v>43719</v>
      </c>
      <c r="C17" s="233" t="s">
        <v>309</v>
      </c>
      <c r="D17" s="231" t="s">
        <v>310</v>
      </c>
      <c r="E17" s="231"/>
      <c r="F17" s="231" t="s">
        <v>349</v>
      </c>
      <c r="G17" s="245">
        <v>43683</v>
      </c>
      <c r="H17" s="234" t="s">
        <v>312</v>
      </c>
      <c r="I17" s="234" t="s">
        <v>313</v>
      </c>
      <c r="J17" s="234"/>
      <c r="K17" s="231" t="s">
        <v>472</v>
      </c>
      <c r="L17" s="231" t="s">
        <v>473</v>
      </c>
      <c r="M17" s="235">
        <v>89.581818181818178</v>
      </c>
      <c r="N17" s="235">
        <v>33.81818181818182</v>
      </c>
      <c r="O17" s="240"/>
      <c r="P17" s="231"/>
      <c r="Q17" s="286"/>
      <c r="R17" s="236"/>
      <c r="S17" s="286"/>
      <c r="T17" s="231"/>
      <c r="U17" s="286"/>
      <c r="V17" s="286"/>
      <c r="W17" s="235">
        <v>16.90909090909091</v>
      </c>
      <c r="X17" s="231"/>
      <c r="Y17" s="235"/>
      <c r="Z17" s="235"/>
      <c r="AA17" s="235"/>
      <c r="AB17" s="235"/>
      <c r="AC17" s="235"/>
      <c r="AD17" s="286"/>
      <c r="AE17" s="286"/>
      <c r="AF17" s="231"/>
      <c r="AG17" s="231"/>
      <c r="AH17" s="235">
        <v>24.890909090909087</v>
      </c>
      <c r="AI17" s="231"/>
      <c r="AJ17" s="231"/>
      <c r="AK17" s="235"/>
      <c r="AL17" s="231"/>
      <c r="AM17" s="235"/>
      <c r="AN17" s="235"/>
      <c r="AO17" s="231" t="s">
        <v>350</v>
      </c>
      <c r="AP17" s="234" t="s">
        <v>313</v>
      </c>
      <c r="AQ17" s="234"/>
      <c r="AR17" s="234"/>
      <c r="AS17" s="237"/>
      <c r="AT17" s="234">
        <v>4.4000000000000004</v>
      </c>
      <c r="AU17" s="234"/>
      <c r="AV17" s="234"/>
      <c r="AW17" s="234"/>
      <c r="AX17" s="234" t="s">
        <v>318</v>
      </c>
      <c r="AY17" s="307"/>
      <c r="AZ17" s="234">
        <v>0</v>
      </c>
      <c r="BA17" s="234">
        <v>0</v>
      </c>
      <c r="BB17" s="234">
        <v>0</v>
      </c>
      <c r="BC17" s="234">
        <v>0</v>
      </c>
      <c r="BD17" s="234">
        <v>0</v>
      </c>
      <c r="BE17" s="234">
        <v>0</v>
      </c>
      <c r="BF17" s="234">
        <v>0</v>
      </c>
      <c r="BG17" s="234">
        <v>0</v>
      </c>
      <c r="BH17" s="234">
        <v>0</v>
      </c>
      <c r="BI17" s="234">
        <v>0</v>
      </c>
      <c r="BJ17" s="234">
        <v>0</v>
      </c>
      <c r="BK17" s="234">
        <v>0</v>
      </c>
      <c r="BL17" s="234"/>
      <c r="BM17" s="234" t="s">
        <v>313</v>
      </c>
      <c r="BN17" s="234"/>
      <c r="BO17" s="234" t="s">
        <v>313</v>
      </c>
      <c r="BP17" s="287"/>
      <c r="BQ17" s="234"/>
      <c r="BR17" s="234"/>
      <c r="BS17" s="239"/>
      <c r="BT17" s="240"/>
      <c r="BU17" s="240"/>
      <c r="BV17" s="234"/>
      <c r="BW17" s="234" t="s">
        <v>327</v>
      </c>
      <c r="BX17" s="234">
        <v>1</v>
      </c>
      <c r="BY17" s="240"/>
      <c r="BZ17" s="247" t="s">
        <v>476</v>
      </c>
    </row>
  </sheetData>
  <sheetProtection algorithmName="SHA-512" hashValue="Ijz4eWZYu0u3urKrPHzsvHjh98ubWhfU8f6Gm0krw4t71KqCQ7xJa0ypR5VULKseJcafC8ydCvVWT7JckrJNqw==" saltValue="iJwq0+jVXcuup31NS4Enmw==" spinCount="100000" sheet="1" objects="1" scenarios="1"/>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C34FF-8B5C-B546-958B-6E5B0FFC562E}">
  <sheetPr codeName="Sheet16"/>
  <dimension ref="A1:DE14"/>
  <sheetViews>
    <sheetView zoomScale="150" zoomScaleNormal="150" workbookViewId="0">
      <pane xSplit="12" ySplit="1" topLeftCell="AT2" activePane="bottomRight" state="frozen"/>
      <selection activeCell="A19" sqref="A19:XFD53"/>
      <selection pane="topRight" activeCell="A19" sqref="A19:XFD53"/>
      <selection pane="bottomLeft" activeCell="A19" sqref="A19:XFD53"/>
      <selection pane="bottomRight" activeCell="A19" sqref="A19:XFD53"/>
    </sheetView>
  </sheetViews>
  <sheetFormatPr baseColWidth="10" defaultColWidth="11.1640625" defaultRowHeight="13" x14ac:dyDescent="0.15"/>
  <cols>
    <col min="1" max="10" width="11.1640625" style="195"/>
    <col min="11" max="11" width="14.33203125" style="195" bestFit="1" customWidth="1"/>
    <col min="12" max="12" width="19" style="195" customWidth="1"/>
    <col min="13" max="40" width="11.1640625" style="195"/>
    <col min="41" max="41" width="18.33203125" style="195" customWidth="1"/>
    <col min="42" max="16384" width="11.1640625" style="195"/>
  </cols>
  <sheetData>
    <row r="1" spans="1:109" ht="84" x14ac:dyDescent="0.15">
      <c r="A1" s="170" t="s">
        <v>137</v>
      </c>
      <c r="B1" s="170" t="s">
        <v>138</v>
      </c>
      <c r="C1" s="171" t="s">
        <v>139</v>
      </c>
      <c r="D1" s="172" t="s">
        <v>140</v>
      </c>
      <c r="E1" s="172" t="s">
        <v>141</v>
      </c>
      <c r="F1" s="172" t="s">
        <v>50</v>
      </c>
      <c r="G1" s="170" t="s">
        <v>51</v>
      </c>
      <c r="H1" s="173" t="s">
        <v>52</v>
      </c>
      <c r="I1" s="173" t="s">
        <v>53</v>
      </c>
      <c r="J1" s="173" t="s">
        <v>146</v>
      </c>
      <c r="K1" s="172" t="s">
        <v>147</v>
      </c>
      <c r="L1" s="174" t="s">
        <v>148</v>
      </c>
      <c r="M1" s="175" t="s">
        <v>201</v>
      </c>
      <c r="N1" s="176" t="s">
        <v>202</v>
      </c>
      <c r="O1" s="176" t="s">
        <v>203</v>
      </c>
      <c r="P1" s="176" t="s">
        <v>204</v>
      </c>
      <c r="Q1" s="176" t="s">
        <v>205</v>
      </c>
      <c r="R1" s="176" t="s">
        <v>157</v>
      </c>
      <c r="S1" s="176" t="s">
        <v>61</v>
      </c>
      <c r="T1" s="176" t="s">
        <v>62</v>
      </c>
      <c r="U1" s="176" t="s">
        <v>103</v>
      </c>
      <c r="V1" s="177" t="s">
        <v>3</v>
      </c>
      <c r="W1" s="178" t="s">
        <v>4</v>
      </c>
      <c r="X1" s="178" t="s">
        <v>5</v>
      </c>
      <c r="Y1" s="178" t="s">
        <v>104</v>
      </c>
      <c r="Z1" s="178" t="s">
        <v>105</v>
      </c>
      <c r="AA1" s="178" t="s">
        <v>106</v>
      </c>
      <c r="AB1" s="178" t="s">
        <v>107</v>
      </c>
      <c r="AC1" s="178" t="s">
        <v>108</v>
      </c>
      <c r="AD1" s="178" t="s">
        <v>95</v>
      </c>
      <c r="AE1" s="179" t="s">
        <v>96</v>
      </c>
      <c r="AF1" s="180" t="s">
        <v>97</v>
      </c>
      <c r="AG1" s="180" t="s">
        <v>98</v>
      </c>
      <c r="AH1" s="181" t="s">
        <v>99</v>
      </c>
      <c r="AI1" s="181" t="s">
        <v>27</v>
      </c>
      <c r="AJ1" s="181" t="s">
        <v>28</v>
      </c>
      <c r="AK1" s="181" t="s">
        <v>21</v>
      </c>
      <c r="AL1" s="182" t="s">
        <v>354</v>
      </c>
      <c r="AM1" s="183" t="s">
        <v>355</v>
      </c>
      <c r="AN1" s="183" t="s">
        <v>356</v>
      </c>
      <c r="AO1" s="184" t="s">
        <v>22</v>
      </c>
      <c r="AP1" s="185" t="s">
        <v>23</v>
      </c>
      <c r="AQ1" s="185" t="s">
        <v>24</v>
      </c>
      <c r="AR1" s="186" t="s">
        <v>25</v>
      </c>
      <c r="AS1" s="187" t="s">
        <v>26</v>
      </c>
      <c r="AT1" s="188" t="s">
        <v>59</v>
      </c>
      <c r="AU1" s="290" t="s">
        <v>412</v>
      </c>
      <c r="AV1" s="290" t="s">
        <v>413</v>
      </c>
      <c r="AW1" s="290" t="s">
        <v>414</v>
      </c>
      <c r="AX1" s="190" t="s">
        <v>60</v>
      </c>
      <c r="AY1" s="191" t="s">
        <v>128</v>
      </c>
      <c r="AZ1" s="192" t="s">
        <v>129</v>
      </c>
      <c r="BA1" s="193" t="s">
        <v>130</v>
      </c>
      <c r="BB1" s="192" t="s">
        <v>131</v>
      </c>
      <c r="BC1" s="193" t="s">
        <v>206</v>
      </c>
      <c r="BD1" s="192" t="s">
        <v>207</v>
      </c>
      <c r="BE1" s="193" t="s">
        <v>208</v>
      </c>
      <c r="BF1" s="192" t="s">
        <v>209</v>
      </c>
      <c r="BG1" s="194" t="s">
        <v>210</v>
      </c>
      <c r="BH1" s="192" t="s">
        <v>303</v>
      </c>
      <c r="BI1" s="194" t="s">
        <v>304</v>
      </c>
      <c r="BJ1" s="192" t="s">
        <v>211</v>
      </c>
      <c r="BK1" s="194" t="s">
        <v>212</v>
      </c>
      <c r="BL1" s="173" t="s">
        <v>176</v>
      </c>
      <c r="BM1" s="173" t="s">
        <v>170</v>
      </c>
      <c r="BN1" s="173" t="s">
        <v>171</v>
      </c>
      <c r="BO1" s="173" t="s">
        <v>172</v>
      </c>
      <c r="BP1" s="173" t="s">
        <v>305</v>
      </c>
      <c r="BQ1" s="173" t="s">
        <v>306</v>
      </c>
      <c r="BR1" s="173" t="s">
        <v>307</v>
      </c>
      <c r="BS1" s="173" t="s">
        <v>308</v>
      </c>
      <c r="BT1" s="171" t="s">
        <v>232</v>
      </c>
      <c r="BU1" s="171" t="s">
        <v>233</v>
      </c>
      <c r="BV1" s="173" t="s">
        <v>7</v>
      </c>
      <c r="BW1" s="173" t="s">
        <v>8</v>
      </c>
      <c r="BX1" s="171"/>
      <c r="BY1" s="171" t="s">
        <v>9</v>
      </c>
      <c r="BZ1" s="173" t="s">
        <v>10</v>
      </c>
      <c r="CA1" s="170" t="s">
        <v>153</v>
      </c>
    </row>
    <row r="2" spans="1:109" customFormat="1" ht="13" customHeight="1" x14ac:dyDescent="0.15">
      <c r="A2" s="231">
        <v>446</v>
      </c>
      <c r="B2" s="232">
        <v>43294</v>
      </c>
      <c r="C2" s="233" t="s">
        <v>309</v>
      </c>
      <c r="D2" s="231" t="s">
        <v>310</v>
      </c>
      <c r="E2" s="231"/>
      <c r="F2" s="231" t="s">
        <v>311</v>
      </c>
      <c r="G2" s="232">
        <v>43284</v>
      </c>
      <c r="H2" s="234" t="s">
        <v>312</v>
      </c>
      <c r="I2" s="234" t="s">
        <v>324</v>
      </c>
      <c r="J2" s="234"/>
      <c r="K2" s="231" t="s">
        <v>314</v>
      </c>
      <c r="L2" s="231" t="s">
        <v>433</v>
      </c>
      <c r="M2" s="235">
        <v>93.749999999999986</v>
      </c>
      <c r="N2" s="235">
        <v>25.16363636363636</v>
      </c>
      <c r="O2" s="240"/>
      <c r="P2" s="231"/>
      <c r="Q2" s="286"/>
      <c r="R2" s="236"/>
      <c r="S2" s="286"/>
      <c r="T2" s="231"/>
      <c r="U2" s="286"/>
      <c r="V2" s="286"/>
      <c r="W2" s="286"/>
      <c r="X2" s="231"/>
      <c r="Y2" s="235"/>
      <c r="Z2" s="235"/>
      <c r="AA2" s="235"/>
      <c r="AB2" s="235"/>
      <c r="AC2" s="235"/>
      <c r="AD2" s="235"/>
      <c r="AE2" s="286"/>
      <c r="AF2" s="231"/>
      <c r="AG2" s="231"/>
      <c r="AH2" s="235"/>
      <c r="AI2" s="231"/>
      <c r="AJ2" s="231"/>
      <c r="AK2" s="235"/>
      <c r="AL2" s="231"/>
      <c r="AM2" s="235"/>
      <c r="AN2" s="235"/>
      <c r="AO2" s="231" t="s">
        <v>317</v>
      </c>
      <c r="AP2" s="234" t="s">
        <v>313</v>
      </c>
      <c r="AQ2" s="234"/>
      <c r="AR2" s="234"/>
      <c r="AS2" s="237"/>
      <c r="AT2" s="234">
        <v>10</v>
      </c>
      <c r="AU2" s="237"/>
      <c r="AV2" s="234"/>
      <c r="AW2" s="237"/>
      <c r="AX2" s="234" t="s">
        <v>318</v>
      </c>
      <c r="AY2" s="234"/>
      <c r="AZ2" s="234">
        <v>5</v>
      </c>
      <c r="BA2" s="234">
        <v>0</v>
      </c>
      <c r="BB2" s="234">
        <v>0</v>
      </c>
      <c r="BC2" s="234">
        <v>0</v>
      </c>
      <c r="BD2" s="234">
        <v>0</v>
      </c>
      <c r="BE2" s="234">
        <v>0</v>
      </c>
      <c r="BF2" s="234">
        <v>0</v>
      </c>
      <c r="BG2" s="234">
        <v>0</v>
      </c>
      <c r="BH2" s="234">
        <v>0</v>
      </c>
      <c r="BI2" s="234">
        <v>0</v>
      </c>
      <c r="BJ2" s="234">
        <v>0</v>
      </c>
      <c r="BK2" s="234">
        <v>0</v>
      </c>
      <c r="BL2" s="234">
        <v>12</v>
      </c>
      <c r="BM2" s="234" t="s">
        <v>313</v>
      </c>
      <c r="BN2" s="234"/>
      <c r="BO2" s="234" t="s">
        <v>313</v>
      </c>
      <c r="BP2" s="287"/>
      <c r="BQ2" s="234"/>
      <c r="BR2" s="234"/>
      <c r="BS2" s="234"/>
      <c r="BT2" s="231"/>
      <c r="BU2" s="231"/>
      <c r="BV2" s="234"/>
      <c r="BW2" s="234" t="s">
        <v>319</v>
      </c>
      <c r="BX2" s="234"/>
      <c r="BY2" s="231"/>
      <c r="BZ2" s="231" t="s">
        <v>434</v>
      </c>
      <c r="CA2" s="231" t="s">
        <v>281</v>
      </c>
    </row>
    <row r="3" spans="1:109" customFormat="1" ht="13" customHeight="1" x14ac:dyDescent="0.15">
      <c r="A3" s="231">
        <v>16109</v>
      </c>
      <c r="B3" s="232">
        <v>43291</v>
      </c>
      <c r="C3" s="233" t="s">
        <v>309</v>
      </c>
      <c r="D3" s="231" t="s">
        <v>310</v>
      </c>
      <c r="E3" s="231"/>
      <c r="F3" s="231" t="s">
        <v>311</v>
      </c>
      <c r="G3" s="232">
        <v>43281</v>
      </c>
      <c r="H3" s="234" t="s">
        <v>312</v>
      </c>
      <c r="I3" s="234" t="s">
        <v>324</v>
      </c>
      <c r="J3" s="234"/>
      <c r="K3" s="231" t="s">
        <v>435</v>
      </c>
      <c r="L3" s="231" t="s">
        <v>436</v>
      </c>
      <c r="M3" s="235">
        <v>94.581818181818178</v>
      </c>
      <c r="N3" s="235">
        <v>28.609090909090906</v>
      </c>
      <c r="O3" s="240"/>
      <c r="P3" s="231"/>
      <c r="Q3" s="286"/>
      <c r="R3" s="236"/>
      <c r="S3" s="286"/>
      <c r="T3" s="231"/>
      <c r="U3" s="286"/>
      <c r="V3" s="286"/>
      <c r="W3" s="286"/>
      <c r="X3" s="231"/>
      <c r="Y3" s="235"/>
      <c r="Z3" s="235"/>
      <c r="AA3" s="235"/>
      <c r="AB3" s="235"/>
      <c r="AC3" s="235"/>
      <c r="AD3" s="235"/>
      <c r="AE3" s="286"/>
      <c r="AF3" s="231"/>
      <c r="AG3" s="231"/>
      <c r="AH3" s="235"/>
      <c r="AI3" s="231"/>
      <c r="AJ3" s="231"/>
      <c r="AK3" s="235"/>
      <c r="AL3" s="231"/>
      <c r="AM3" s="235"/>
      <c r="AN3" s="235"/>
      <c r="AO3" s="231" t="s">
        <v>317</v>
      </c>
      <c r="AP3" s="234" t="s">
        <v>313</v>
      </c>
      <c r="AQ3" s="234"/>
      <c r="AR3" s="234"/>
      <c r="AS3" s="237"/>
      <c r="AT3" s="234">
        <v>10</v>
      </c>
      <c r="AU3" s="237"/>
      <c r="AV3" s="234"/>
      <c r="AW3" s="234"/>
      <c r="AX3" s="234" t="s">
        <v>318</v>
      </c>
      <c r="AY3" s="234"/>
      <c r="AZ3" s="234">
        <v>0</v>
      </c>
      <c r="BA3" s="234">
        <v>0</v>
      </c>
      <c r="BB3" s="234">
        <v>0</v>
      </c>
      <c r="BC3" s="234">
        <v>0</v>
      </c>
      <c r="BD3" s="234">
        <v>0</v>
      </c>
      <c r="BE3" s="234">
        <v>0</v>
      </c>
      <c r="BF3" s="234">
        <v>0</v>
      </c>
      <c r="BG3" s="234">
        <v>0</v>
      </c>
      <c r="BH3" s="234">
        <v>0</v>
      </c>
      <c r="BI3" s="234">
        <v>0</v>
      </c>
      <c r="BJ3" s="234">
        <v>0</v>
      </c>
      <c r="BK3" s="234">
        <v>0</v>
      </c>
      <c r="BL3" s="234"/>
      <c r="BM3" s="234" t="s">
        <v>313</v>
      </c>
      <c r="BN3" s="234">
        <v>12</v>
      </c>
      <c r="BO3" s="234" t="s">
        <v>313</v>
      </c>
      <c r="BP3" s="287"/>
      <c r="BQ3" s="234"/>
      <c r="BR3" s="234"/>
      <c r="BS3" s="234"/>
      <c r="BT3" s="231" t="s">
        <v>437</v>
      </c>
      <c r="BU3" s="240" t="s">
        <v>438</v>
      </c>
      <c r="BV3" s="234">
        <v>25</v>
      </c>
      <c r="BW3" s="234" t="s">
        <v>319</v>
      </c>
      <c r="BX3" s="234"/>
      <c r="BY3" s="231" t="s">
        <v>439</v>
      </c>
      <c r="BZ3" s="231" t="s">
        <v>440</v>
      </c>
      <c r="CA3" s="240" t="s">
        <v>281</v>
      </c>
    </row>
    <row r="4" spans="1:109" customFormat="1" ht="13" customHeight="1" x14ac:dyDescent="0.15">
      <c r="A4" s="231">
        <v>10584</v>
      </c>
      <c r="B4" s="232">
        <v>43291</v>
      </c>
      <c r="C4" s="233" t="s">
        <v>309</v>
      </c>
      <c r="D4" s="231" t="s">
        <v>310</v>
      </c>
      <c r="E4" s="231"/>
      <c r="F4" s="231" t="s">
        <v>311</v>
      </c>
      <c r="G4" s="232">
        <v>43281</v>
      </c>
      <c r="H4" s="234" t="s">
        <v>312</v>
      </c>
      <c r="I4" s="234" t="s">
        <v>324</v>
      </c>
      <c r="J4" s="234"/>
      <c r="K4" s="231" t="s">
        <v>325</v>
      </c>
      <c r="L4" s="231" t="s">
        <v>326</v>
      </c>
      <c r="M4" s="235">
        <v>108.26363636363635</v>
      </c>
      <c r="N4" s="235">
        <v>27.572727272727271</v>
      </c>
      <c r="O4" s="240"/>
      <c r="P4" s="231"/>
      <c r="Q4" s="286"/>
      <c r="R4" s="236"/>
      <c r="S4" s="286"/>
      <c r="T4" s="231"/>
      <c r="U4" s="286"/>
      <c r="V4" s="286"/>
      <c r="W4" s="286"/>
      <c r="X4" s="231"/>
      <c r="Y4" s="235"/>
      <c r="Z4" s="235"/>
      <c r="AA4" s="235"/>
      <c r="AB4" s="235"/>
      <c r="AC4" s="235"/>
      <c r="AD4" s="235"/>
      <c r="AE4" s="286"/>
      <c r="AF4" s="231"/>
      <c r="AG4" s="231"/>
      <c r="AH4" s="235"/>
      <c r="AI4" s="231"/>
      <c r="AJ4" s="231"/>
      <c r="AK4" s="286"/>
      <c r="AL4" s="231"/>
      <c r="AM4" s="235"/>
      <c r="AN4" s="235"/>
      <c r="AO4" s="231" t="s">
        <v>317</v>
      </c>
      <c r="AP4" s="234" t="s">
        <v>313</v>
      </c>
      <c r="AQ4" s="234"/>
      <c r="AR4" s="234"/>
      <c r="AS4" s="234"/>
      <c r="AT4" s="234">
        <v>10</v>
      </c>
      <c r="AU4" s="237">
        <v>1274</v>
      </c>
      <c r="AV4" s="234"/>
      <c r="AW4" s="237">
        <v>8</v>
      </c>
      <c r="AX4" s="234" t="s">
        <v>318</v>
      </c>
      <c r="AY4" s="234"/>
      <c r="AZ4" s="234">
        <v>0</v>
      </c>
      <c r="BA4" s="234">
        <v>0</v>
      </c>
      <c r="BB4" s="234">
        <v>0</v>
      </c>
      <c r="BC4" s="234">
        <v>0</v>
      </c>
      <c r="BD4" s="234">
        <v>0</v>
      </c>
      <c r="BE4" s="234">
        <v>0</v>
      </c>
      <c r="BF4" s="234">
        <v>0</v>
      </c>
      <c r="BG4" s="234">
        <v>0</v>
      </c>
      <c r="BH4" s="234">
        <v>0</v>
      </c>
      <c r="BI4" s="234">
        <v>0</v>
      </c>
      <c r="BJ4" s="234">
        <v>0</v>
      </c>
      <c r="BK4" s="234">
        <v>0</v>
      </c>
      <c r="BL4" s="234"/>
      <c r="BM4" s="234" t="s">
        <v>313</v>
      </c>
      <c r="BN4" s="234">
        <v>12</v>
      </c>
      <c r="BO4" s="234" t="s">
        <v>313</v>
      </c>
      <c r="BP4" s="287"/>
      <c r="BQ4" s="234"/>
      <c r="BR4" s="234"/>
      <c r="BS4" s="234"/>
      <c r="BT4" s="240"/>
      <c r="BU4" s="240"/>
      <c r="BV4" s="234"/>
      <c r="BW4" s="234" t="s">
        <v>327</v>
      </c>
      <c r="BX4" s="234"/>
      <c r="BY4" s="240"/>
      <c r="BZ4" t="s">
        <v>296</v>
      </c>
      <c r="CA4" s="231" t="s">
        <v>281</v>
      </c>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row>
    <row r="5" spans="1:109" customFormat="1" ht="13" customHeight="1" x14ac:dyDescent="0.15">
      <c r="A5" s="231">
        <v>11600</v>
      </c>
      <c r="B5" s="232">
        <v>43291</v>
      </c>
      <c r="C5" s="233" t="s">
        <v>309</v>
      </c>
      <c r="D5" s="231" t="s">
        <v>310</v>
      </c>
      <c r="E5" s="231"/>
      <c r="F5" s="231" t="s">
        <v>311</v>
      </c>
      <c r="G5" s="245">
        <v>43291</v>
      </c>
      <c r="H5" s="234" t="s">
        <v>312</v>
      </c>
      <c r="I5" s="234" t="s">
        <v>313</v>
      </c>
      <c r="J5" s="234"/>
      <c r="K5" s="231" t="s">
        <v>353</v>
      </c>
      <c r="L5" s="231" t="s">
        <v>388</v>
      </c>
      <c r="M5" s="235">
        <v>85</v>
      </c>
      <c r="N5" s="235">
        <v>21.999999999999996</v>
      </c>
      <c r="O5" s="240"/>
      <c r="P5" s="231"/>
      <c r="Q5" s="286"/>
      <c r="R5" s="236"/>
      <c r="S5" s="286"/>
      <c r="T5" s="231"/>
      <c r="U5" s="286"/>
      <c r="V5" s="286"/>
      <c r="W5" s="286"/>
      <c r="X5" s="231"/>
      <c r="Y5" s="235"/>
      <c r="Z5" s="235"/>
      <c r="AA5" s="235"/>
      <c r="AB5" s="235"/>
      <c r="AC5" s="235"/>
      <c r="AD5" s="286"/>
      <c r="AE5" s="286"/>
      <c r="AF5" s="231"/>
      <c r="AG5" s="231"/>
      <c r="AH5" s="235"/>
      <c r="AI5" s="231"/>
      <c r="AJ5" s="231"/>
      <c r="AK5" s="235"/>
      <c r="AL5" s="231"/>
      <c r="AM5" s="235"/>
      <c r="AN5" s="235"/>
      <c r="AO5" s="231" t="s">
        <v>317</v>
      </c>
      <c r="AP5" s="234" t="s">
        <v>313</v>
      </c>
      <c r="AQ5" s="234"/>
      <c r="AR5" s="234"/>
      <c r="AS5" s="237"/>
      <c r="AT5" s="234">
        <v>6</v>
      </c>
      <c r="AU5" s="237"/>
      <c r="AV5" s="234"/>
      <c r="AW5" s="237"/>
      <c r="AX5" s="234" t="s">
        <v>318</v>
      </c>
      <c r="AY5" s="234"/>
      <c r="AZ5" s="234">
        <v>0</v>
      </c>
      <c r="BA5" s="234">
        <v>0</v>
      </c>
      <c r="BB5" s="234">
        <v>0</v>
      </c>
      <c r="BC5" s="234">
        <v>0</v>
      </c>
      <c r="BD5" s="234">
        <v>0</v>
      </c>
      <c r="BE5" s="234">
        <v>0</v>
      </c>
      <c r="BF5" s="234">
        <v>0</v>
      </c>
      <c r="BG5" s="234">
        <v>0</v>
      </c>
      <c r="BH5" s="234">
        <v>0</v>
      </c>
      <c r="BI5" s="234">
        <v>0</v>
      </c>
      <c r="BJ5" s="234">
        <v>0</v>
      </c>
      <c r="BK5" s="234">
        <v>0</v>
      </c>
      <c r="BL5" s="234"/>
      <c r="BM5" s="234" t="s">
        <v>313</v>
      </c>
      <c r="BN5" s="234"/>
      <c r="BO5" s="234" t="s">
        <v>313</v>
      </c>
      <c r="BP5" s="287"/>
      <c r="BQ5" s="234"/>
      <c r="BR5" s="234"/>
      <c r="BS5" s="239">
        <v>43707</v>
      </c>
      <c r="BT5" s="240"/>
      <c r="BU5" s="240"/>
      <c r="BV5" s="234"/>
      <c r="BW5" s="234" t="s">
        <v>327</v>
      </c>
      <c r="BX5" s="234"/>
      <c r="BY5" s="240"/>
      <c r="BZ5" s="247" t="s">
        <v>296</v>
      </c>
      <c r="CA5" s="231" t="s">
        <v>281</v>
      </c>
    </row>
    <row r="6" spans="1:109" customFormat="1" ht="13" customHeight="1" x14ac:dyDescent="0.15">
      <c r="A6" s="231">
        <v>13342</v>
      </c>
      <c r="B6" s="232">
        <v>43290</v>
      </c>
      <c r="C6" s="233" t="s">
        <v>309</v>
      </c>
      <c r="D6" s="231" t="s">
        <v>310</v>
      </c>
      <c r="E6" s="231"/>
      <c r="F6" s="231" t="s">
        <v>311</v>
      </c>
      <c r="G6" s="245">
        <v>43281</v>
      </c>
      <c r="H6" s="234" t="s">
        <v>337</v>
      </c>
      <c r="I6" s="234" t="s">
        <v>313</v>
      </c>
      <c r="J6" s="234"/>
      <c r="K6" s="231" t="s">
        <v>404</v>
      </c>
      <c r="L6" s="231" t="s">
        <v>405</v>
      </c>
      <c r="M6" s="235">
        <v>88.036363636363632</v>
      </c>
      <c r="N6" s="235">
        <v>32.918181818181814</v>
      </c>
      <c r="O6" s="240" t="s">
        <v>441</v>
      </c>
      <c r="P6" s="231">
        <v>2000</v>
      </c>
      <c r="Q6" s="235">
        <v>39.918181818181814</v>
      </c>
      <c r="R6" s="236"/>
      <c r="S6" s="286"/>
      <c r="T6" s="231"/>
      <c r="U6" s="286"/>
      <c r="V6" s="286"/>
      <c r="W6" s="286"/>
      <c r="X6" s="231"/>
      <c r="Y6" s="235"/>
      <c r="Z6" s="235"/>
      <c r="AA6" s="235"/>
      <c r="AB6" s="235"/>
      <c r="AC6" s="235"/>
      <c r="AD6" s="235"/>
      <c r="AE6" s="286"/>
      <c r="AF6" s="231"/>
      <c r="AG6" s="231"/>
      <c r="AH6" s="235"/>
      <c r="AI6" s="231"/>
      <c r="AJ6" s="231"/>
      <c r="AK6" s="235"/>
      <c r="AL6" s="231"/>
      <c r="AM6" s="235"/>
      <c r="AN6" s="235"/>
      <c r="AO6" s="231" t="s">
        <v>317</v>
      </c>
      <c r="AP6" s="234" t="s">
        <v>313</v>
      </c>
      <c r="AQ6" s="234"/>
      <c r="AR6" s="234"/>
      <c r="AS6" s="237"/>
      <c r="AT6" s="234"/>
      <c r="AU6" s="237"/>
      <c r="AV6" s="234"/>
      <c r="AW6" s="237"/>
      <c r="AX6" s="234" t="s">
        <v>318</v>
      </c>
      <c r="AY6" s="234"/>
      <c r="AZ6" s="234">
        <v>0</v>
      </c>
      <c r="BA6" s="234">
        <v>0</v>
      </c>
      <c r="BB6" s="234">
        <v>0</v>
      </c>
      <c r="BC6" s="234">
        <v>0</v>
      </c>
      <c r="BD6" s="234">
        <v>0</v>
      </c>
      <c r="BE6" s="234">
        <v>0</v>
      </c>
      <c r="BF6" s="234">
        <v>0</v>
      </c>
      <c r="BG6" s="234">
        <v>0</v>
      </c>
      <c r="BH6" s="234">
        <v>0</v>
      </c>
      <c r="BI6" s="234">
        <v>0</v>
      </c>
      <c r="BJ6" s="234">
        <v>0</v>
      </c>
      <c r="BK6" s="234">
        <v>0</v>
      </c>
      <c r="BL6" s="234"/>
      <c r="BM6" s="234" t="s">
        <v>313</v>
      </c>
      <c r="BN6" s="234"/>
      <c r="BO6" s="234" t="s">
        <v>313</v>
      </c>
      <c r="BP6" s="238">
        <v>163.63636363636363</v>
      </c>
      <c r="BQ6" s="234"/>
      <c r="BR6" s="234"/>
      <c r="BS6" s="239"/>
      <c r="BT6" s="231"/>
      <c r="BU6" s="231"/>
      <c r="BV6" s="234"/>
      <c r="BW6" s="234" t="s">
        <v>319</v>
      </c>
      <c r="BX6" s="234">
        <v>1</v>
      </c>
      <c r="BY6" s="240" t="s">
        <v>406</v>
      </c>
      <c r="BZ6" s="240" t="s">
        <v>296</v>
      </c>
      <c r="CA6" s="231" t="s">
        <v>281</v>
      </c>
    </row>
    <row r="7" spans="1:109" customFormat="1" ht="13" customHeight="1" x14ac:dyDescent="0.15">
      <c r="A7" s="231">
        <v>447</v>
      </c>
      <c r="B7" s="232">
        <v>43294</v>
      </c>
      <c r="C7" s="233" t="s">
        <v>309</v>
      </c>
      <c r="D7" s="231" t="s">
        <v>310</v>
      </c>
      <c r="E7" s="231"/>
      <c r="F7" s="231" t="s">
        <v>345</v>
      </c>
      <c r="G7" s="232">
        <v>43284</v>
      </c>
      <c r="H7" s="234" t="s">
        <v>312</v>
      </c>
      <c r="I7" s="234" t="s">
        <v>324</v>
      </c>
      <c r="J7" s="234"/>
      <c r="K7" s="231" t="s">
        <v>314</v>
      </c>
      <c r="L7" s="231" t="s">
        <v>433</v>
      </c>
      <c r="M7" s="235">
        <v>93.749999999999986</v>
      </c>
      <c r="N7" s="235">
        <v>25.16363636363636</v>
      </c>
      <c r="O7" s="240"/>
      <c r="P7" s="231"/>
      <c r="Q7" s="286"/>
      <c r="R7" s="236"/>
      <c r="S7" s="286"/>
      <c r="T7" s="231"/>
      <c r="U7" s="286"/>
      <c r="V7" s="286"/>
      <c r="W7" s="286"/>
      <c r="X7" s="231"/>
      <c r="Y7" s="235"/>
      <c r="Z7" s="235"/>
      <c r="AA7" s="235"/>
      <c r="AB7" s="235"/>
      <c r="AC7" s="235"/>
      <c r="AD7" s="235"/>
      <c r="AE7" s="235">
        <v>15.609090909090909</v>
      </c>
      <c r="AF7" s="231"/>
      <c r="AG7" s="231"/>
      <c r="AH7" s="235"/>
      <c r="AI7" s="231"/>
      <c r="AJ7" s="231"/>
      <c r="AK7" s="235"/>
      <c r="AL7" s="231"/>
      <c r="AM7" s="235"/>
      <c r="AN7" s="235"/>
      <c r="AO7" s="231" t="s">
        <v>346</v>
      </c>
      <c r="AP7" s="234" t="s">
        <v>313</v>
      </c>
      <c r="AQ7" s="234"/>
      <c r="AR7" s="234"/>
      <c r="AS7" s="237"/>
      <c r="AT7" s="234">
        <v>10</v>
      </c>
      <c r="AU7" s="237"/>
      <c r="AV7" s="234"/>
      <c r="AW7" s="237"/>
      <c r="AX7" s="234" t="s">
        <v>318</v>
      </c>
      <c r="AY7" s="234"/>
      <c r="AZ7" s="234">
        <v>5</v>
      </c>
      <c r="BA7" s="234">
        <v>0</v>
      </c>
      <c r="BB7" s="234">
        <v>0</v>
      </c>
      <c r="BC7" s="234">
        <v>0</v>
      </c>
      <c r="BD7" s="234">
        <v>0</v>
      </c>
      <c r="BE7" s="234">
        <v>0</v>
      </c>
      <c r="BF7" s="234">
        <v>0</v>
      </c>
      <c r="BG7" s="234">
        <v>0</v>
      </c>
      <c r="BH7" s="234">
        <v>0</v>
      </c>
      <c r="BI7" s="234">
        <v>0</v>
      </c>
      <c r="BJ7" s="234">
        <v>0</v>
      </c>
      <c r="BK7" s="234">
        <v>0</v>
      </c>
      <c r="BL7" s="234">
        <v>12</v>
      </c>
      <c r="BM7" s="234" t="s">
        <v>410</v>
      </c>
      <c r="BN7" s="234"/>
      <c r="BO7" s="234" t="s">
        <v>313</v>
      </c>
      <c r="BP7" s="287"/>
      <c r="BQ7" s="234"/>
      <c r="BR7" s="234"/>
      <c r="BS7" s="234"/>
      <c r="BT7" s="231"/>
      <c r="BU7" s="231"/>
      <c r="BV7" s="234"/>
      <c r="BW7" s="234" t="s">
        <v>319</v>
      </c>
      <c r="BX7" s="234"/>
      <c r="BY7" s="231"/>
      <c r="BZ7" s="247" t="s">
        <v>442</v>
      </c>
      <c r="CA7" s="231" t="s">
        <v>281</v>
      </c>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row>
    <row r="8" spans="1:109" customFormat="1" ht="13" customHeight="1" x14ac:dyDescent="0.15">
      <c r="A8" s="231">
        <v>16110</v>
      </c>
      <c r="B8" s="232">
        <v>43291</v>
      </c>
      <c r="C8" s="233" t="s">
        <v>309</v>
      </c>
      <c r="D8" s="231" t="s">
        <v>310</v>
      </c>
      <c r="E8" s="231"/>
      <c r="F8" s="231" t="s">
        <v>345</v>
      </c>
      <c r="G8" s="232">
        <v>43281</v>
      </c>
      <c r="H8" s="234" t="s">
        <v>312</v>
      </c>
      <c r="I8" s="234" t="s">
        <v>324</v>
      </c>
      <c r="J8" s="234"/>
      <c r="K8" s="231" t="s">
        <v>321</v>
      </c>
      <c r="L8" s="231" t="s">
        <v>436</v>
      </c>
      <c r="M8" s="235">
        <v>94.581818181818178</v>
      </c>
      <c r="N8" s="235">
        <v>28.609090909090906</v>
      </c>
      <c r="O8" s="240"/>
      <c r="P8" s="231"/>
      <c r="Q8" s="286"/>
      <c r="R8" s="236"/>
      <c r="S8" s="286"/>
      <c r="T8" s="231"/>
      <c r="U8" s="286"/>
      <c r="V8" s="286"/>
      <c r="W8" s="286"/>
      <c r="X8" s="231"/>
      <c r="Y8" s="235"/>
      <c r="Z8" s="235"/>
      <c r="AA8" s="235"/>
      <c r="AB8" s="235"/>
      <c r="AC8" s="235"/>
      <c r="AD8" s="235"/>
      <c r="AE8" s="235">
        <v>16.190909090909088</v>
      </c>
      <c r="AF8" s="231"/>
      <c r="AG8" s="231"/>
      <c r="AH8" s="235"/>
      <c r="AI8" s="231"/>
      <c r="AJ8" s="231"/>
      <c r="AK8" s="235"/>
      <c r="AL8" s="231"/>
      <c r="AM8" s="235"/>
      <c r="AN8" s="235"/>
      <c r="AO8" s="231" t="s">
        <v>346</v>
      </c>
      <c r="AP8" s="234" t="s">
        <v>313</v>
      </c>
      <c r="AQ8" s="234"/>
      <c r="AR8" s="234"/>
      <c r="AS8" s="237"/>
      <c r="AT8" s="234">
        <v>10</v>
      </c>
      <c r="AU8" s="237"/>
      <c r="AV8" s="234"/>
      <c r="AW8" s="234"/>
      <c r="AX8" s="234" t="s">
        <v>318</v>
      </c>
      <c r="AY8" s="234"/>
      <c r="AZ8" s="234">
        <v>0</v>
      </c>
      <c r="BA8" s="234">
        <v>0</v>
      </c>
      <c r="BB8" s="234">
        <v>0</v>
      </c>
      <c r="BC8" s="234">
        <v>0</v>
      </c>
      <c r="BD8" s="234">
        <v>0</v>
      </c>
      <c r="BE8" s="234">
        <v>0</v>
      </c>
      <c r="BF8" s="234">
        <v>0</v>
      </c>
      <c r="BG8" s="234">
        <v>0</v>
      </c>
      <c r="BH8" s="234">
        <v>0</v>
      </c>
      <c r="BI8" s="234">
        <v>0</v>
      </c>
      <c r="BJ8" s="234">
        <v>0</v>
      </c>
      <c r="BK8" s="234">
        <v>0</v>
      </c>
      <c r="BL8" s="234"/>
      <c r="BM8" s="234" t="s">
        <v>313</v>
      </c>
      <c r="BN8" s="301">
        <v>12</v>
      </c>
      <c r="BO8" s="234" t="s">
        <v>313</v>
      </c>
      <c r="BP8" s="287"/>
      <c r="BQ8" s="234"/>
      <c r="BR8" s="234"/>
      <c r="BS8" s="234"/>
      <c r="BT8" s="231" t="s">
        <v>437</v>
      </c>
      <c r="BU8" s="240" t="s">
        <v>438</v>
      </c>
      <c r="BV8" s="234">
        <v>25</v>
      </c>
      <c r="BW8" s="234" t="s">
        <v>319</v>
      </c>
      <c r="BX8" s="234"/>
      <c r="BY8" s="231" t="s">
        <v>439</v>
      </c>
      <c r="BZ8" s="231" t="s">
        <v>296</v>
      </c>
      <c r="CA8" s="240" t="s">
        <v>281</v>
      </c>
    </row>
    <row r="9" spans="1:109" customFormat="1" ht="13" customHeight="1" x14ac:dyDescent="0.15">
      <c r="A9" s="231">
        <v>12707</v>
      </c>
      <c r="B9" s="232">
        <v>43291</v>
      </c>
      <c r="C9" s="233" t="s">
        <v>309</v>
      </c>
      <c r="D9" s="231" t="s">
        <v>310</v>
      </c>
      <c r="E9" s="231"/>
      <c r="F9" s="231" t="s">
        <v>376</v>
      </c>
      <c r="G9" s="232">
        <v>43281</v>
      </c>
      <c r="H9" s="234" t="s">
        <v>312</v>
      </c>
      <c r="I9" s="234" t="s">
        <v>324</v>
      </c>
      <c r="J9" s="234"/>
      <c r="K9" s="231" t="s">
        <v>325</v>
      </c>
      <c r="L9" s="231" t="s">
        <v>326</v>
      </c>
      <c r="M9" s="235">
        <v>108.26363636363635</v>
      </c>
      <c r="N9" s="235">
        <v>27.572727272727271</v>
      </c>
      <c r="O9" s="240"/>
      <c r="P9" s="231"/>
      <c r="Q9" s="286"/>
      <c r="R9" s="236"/>
      <c r="S9" s="286"/>
      <c r="T9" s="231"/>
      <c r="U9" s="286"/>
      <c r="V9" s="286"/>
      <c r="W9" s="286"/>
      <c r="X9" s="231"/>
      <c r="Y9" s="235"/>
      <c r="Z9" s="235"/>
      <c r="AA9" s="235"/>
      <c r="AB9" s="235"/>
      <c r="AC9" s="235"/>
      <c r="AD9" s="235"/>
      <c r="AE9" s="235">
        <v>14.354545454545452</v>
      </c>
      <c r="AF9" s="231"/>
      <c r="AG9" s="231"/>
      <c r="AH9" s="235"/>
      <c r="AI9" s="231"/>
      <c r="AJ9" s="231"/>
      <c r="AK9" s="286"/>
      <c r="AL9" s="231"/>
      <c r="AM9" s="235"/>
      <c r="AN9" s="235"/>
      <c r="AO9" s="231" t="s">
        <v>377</v>
      </c>
      <c r="AP9" s="234" t="s">
        <v>313</v>
      </c>
      <c r="AQ9" s="234"/>
      <c r="AR9" s="234"/>
      <c r="AS9" s="234"/>
      <c r="AT9" s="234">
        <v>10</v>
      </c>
      <c r="AU9" s="237">
        <v>1274</v>
      </c>
      <c r="AV9" s="234"/>
      <c r="AW9" s="237">
        <v>8</v>
      </c>
      <c r="AX9" s="234" t="s">
        <v>318</v>
      </c>
      <c r="AY9" s="234"/>
      <c r="AZ9" s="234">
        <v>0</v>
      </c>
      <c r="BA9" s="234">
        <v>0</v>
      </c>
      <c r="BB9" s="234">
        <v>0</v>
      </c>
      <c r="BC9" s="234">
        <v>0</v>
      </c>
      <c r="BD9" s="234">
        <v>0</v>
      </c>
      <c r="BE9" s="234">
        <v>0</v>
      </c>
      <c r="BF9" s="234">
        <v>0</v>
      </c>
      <c r="BG9" s="234">
        <v>0</v>
      </c>
      <c r="BH9" s="234">
        <v>0</v>
      </c>
      <c r="BI9" s="234">
        <v>0</v>
      </c>
      <c r="BJ9" s="234">
        <v>0</v>
      </c>
      <c r="BK9" s="234">
        <v>0</v>
      </c>
      <c r="BL9" s="234"/>
      <c r="BM9" s="234" t="s">
        <v>313</v>
      </c>
      <c r="BN9" s="234">
        <v>12</v>
      </c>
      <c r="BO9" s="234" t="s">
        <v>313</v>
      </c>
      <c r="BP9" s="287"/>
      <c r="BQ9" s="234"/>
      <c r="BR9" s="234"/>
      <c r="BS9" s="234"/>
      <c r="BT9" s="240"/>
      <c r="BU9" s="240"/>
      <c r="BV9" s="234"/>
      <c r="BW9" s="234" t="s">
        <v>327</v>
      </c>
      <c r="BX9" s="234"/>
      <c r="BY9" s="240"/>
      <c r="BZ9" s="78" t="s">
        <v>296</v>
      </c>
      <c r="CA9" s="231" t="s">
        <v>281</v>
      </c>
    </row>
    <row r="10" spans="1:109" customFormat="1" ht="13" customHeight="1" x14ac:dyDescent="0.15">
      <c r="A10" s="231">
        <v>11602</v>
      </c>
      <c r="B10" s="232">
        <v>43291</v>
      </c>
      <c r="C10" s="233" t="s">
        <v>309</v>
      </c>
      <c r="D10" s="231" t="s">
        <v>310</v>
      </c>
      <c r="E10" s="231"/>
      <c r="F10" s="231" t="s">
        <v>345</v>
      </c>
      <c r="G10" s="245">
        <v>43291</v>
      </c>
      <c r="H10" s="234" t="s">
        <v>312</v>
      </c>
      <c r="I10" s="234" t="s">
        <v>313</v>
      </c>
      <c r="J10" s="234"/>
      <c r="K10" s="231" t="s">
        <v>353</v>
      </c>
      <c r="L10" s="231" t="s">
        <v>388</v>
      </c>
      <c r="M10" s="235">
        <v>85</v>
      </c>
      <c r="N10" s="235">
        <v>21.999999999999996</v>
      </c>
      <c r="O10" s="240"/>
      <c r="P10" s="231"/>
      <c r="Q10" s="286"/>
      <c r="R10" s="236"/>
      <c r="S10" s="286"/>
      <c r="T10" s="231"/>
      <c r="U10" s="286"/>
      <c r="V10" s="286"/>
      <c r="W10" s="286"/>
      <c r="X10" s="231"/>
      <c r="Y10" s="235"/>
      <c r="Z10" s="235"/>
      <c r="AA10" s="235"/>
      <c r="AB10" s="235"/>
      <c r="AC10" s="235"/>
      <c r="AD10" s="286"/>
      <c r="AE10" s="235">
        <v>11.999999999999998</v>
      </c>
      <c r="AF10" s="231"/>
      <c r="AG10" s="231"/>
      <c r="AH10" s="235"/>
      <c r="AI10" s="231"/>
      <c r="AJ10" s="231"/>
      <c r="AK10" s="235"/>
      <c r="AL10" s="231"/>
      <c r="AM10" s="235"/>
      <c r="AN10" s="235"/>
      <c r="AO10" s="231" t="s">
        <v>346</v>
      </c>
      <c r="AP10" s="234" t="s">
        <v>313</v>
      </c>
      <c r="AQ10" s="234"/>
      <c r="AR10" s="234"/>
      <c r="AS10" s="237"/>
      <c r="AT10" s="234">
        <v>6</v>
      </c>
      <c r="AU10" s="237"/>
      <c r="AV10" s="234"/>
      <c r="AW10" s="237"/>
      <c r="AX10" s="234" t="s">
        <v>318</v>
      </c>
      <c r="AY10" s="234"/>
      <c r="AZ10" s="234">
        <v>0</v>
      </c>
      <c r="BA10" s="234">
        <v>0</v>
      </c>
      <c r="BB10" s="234">
        <v>0</v>
      </c>
      <c r="BC10" s="234">
        <v>0</v>
      </c>
      <c r="BD10" s="234">
        <v>0</v>
      </c>
      <c r="BE10" s="234">
        <v>0</v>
      </c>
      <c r="BF10" s="234">
        <v>0</v>
      </c>
      <c r="BG10" s="234">
        <v>0</v>
      </c>
      <c r="BH10" s="234">
        <v>0</v>
      </c>
      <c r="BI10" s="234">
        <v>0</v>
      </c>
      <c r="BJ10" s="234">
        <v>0</v>
      </c>
      <c r="BK10" s="234">
        <v>0</v>
      </c>
      <c r="BL10" s="234"/>
      <c r="BM10" s="234" t="s">
        <v>313</v>
      </c>
      <c r="BN10" s="234"/>
      <c r="BO10" s="234" t="s">
        <v>313</v>
      </c>
      <c r="BP10" s="287"/>
      <c r="BQ10" s="234"/>
      <c r="BR10" s="234"/>
      <c r="BS10" s="239">
        <v>43707</v>
      </c>
      <c r="BT10" s="240"/>
      <c r="BU10" s="240"/>
      <c r="BV10" s="234"/>
      <c r="BW10" s="234" t="s">
        <v>327</v>
      </c>
      <c r="BX10" s="234"/>
      <c r="BY10" s="240"/>
      <c r="BZ10" s="231" t="s">
        <v>296</v>
      </c>
      <c r="CA10" s="231" t="s">
        <v>281</v>
      </c>
    </row>
    <row r="11" spans="1:109" customFormat="1" ht="13" customHeight="1" x14ac:dyDescent="0.15">
      <c r="A11" s="231">
        <v>449</v>
      </c>
      <c r="B11" s="232">
        <v>43294</v>
      </c>
      <c r="C11" s="233" t="s">
        <v>309</v>
      </c>
      <c r="D11" s="231" t="s">
        <v>310</v>
      </c>
      <c r="E11" s="231"/>
      <c r="F11" s="231" t="s">
        <v>349</v>
      </c>
      <c r="G11" s="232">
        <v>43284</v>
      </c>
      <c r="H11" s="234" t="s">
        <v>312</v>
      </c>
      <c r="I11" s="234" t="s">
        <v>324</v>
      </c>
      <c r="J11" s="234"/>
      <c r="K11" s="231" t="s">
        <v>314</v>
      </c>
      <c r="L11" s="231" t="s">
        <v>433</v>
      </c>
      <c r="M11" s="235">
        <v>93.749999999999986</v>
      </c>
      <c r="N11" s="235">
        <v>33.454545454545446</v>
      </c>
      <c r="O11" s="240"/>
      <c r="P11" s="231"/>
      <c r="Q11" s="286"/>
      <c r="R11" s="236"/>
      <c r="S11" s="286"/>
      <c r="T11" s="231"/>
      <c r="U11" s="286"/>
      <c r="V11" s="286"/>
      <c r="W11" s="235">
        <v>19.909090909090907</v>
      </c>
      <c r="X11" s="231"/>
      <c r="Y11" s="235"/>
      <c r="Z11" s="235"/>
      <c r="AA11" s="235"/>
      <c r="AB11" s="235"/>
      <c r="AC11" s="235"/>
      <c r="AD11" s="235"/>
      <c r="AE11" s="286"/>
      <c r="AF11" s="231"/>
      <c r="AG11" s="231"/>
      <c r="AH11" s="235">
        <v>23.154545454545453</v>
      </c>
      <c r="AI11" s="231"/>
      <c r="AJ11" s="231"/>
      <c r="AK11" s="235"/>
      <c r="AL11" s="231"/>
      <c r="AM11" s="235"/>
      <c r="AN11" s="235"/>
      <c r="AO11" s="231" t="s">
        <v>350</v>
      </c>
      <c r="AP11" s="234" t="s">
        <v>313</v>
      </c>
      <c r="AQ11" s="234"/>
      <c r="AR11" s="234"/>
      <c r="AS11" s="237"/>
      <c r="AT11" s="234">
        <v>10</v>
      </c>
      <c r="AU11" s="237"/>
      <c r="AV11" s="234"/>
      <c r="AW11" s="237"/>
      <c r="AX11" s="234" t="s">
        <v>318</v>
      </c>
      <c r="AY11" s="234"/>
      <c r="AZ11" s="234">
        <v>5</v>
      </c>
      <c r="BA11" s="234">
        <v>0</v>
      </c>
      <c r="BB11" s="234">
        <v>0</v>
      </c>
      <c r="BC11" s="234">
        <v>0</v>
      </c>
      <c r="BD11" s="234">
        <v>0</v>
      </c>
      <c r="BE11" s="234">
        <v>0</v>
      </c>
      <c r="BF11" s="234">
        <v>0</v>
      </c>
      <c r="BG11" s="234">
        <v>0</v>
      </c>
      <c r="BH11" s="234">
        <v>0</v>
      </c>
      <c r="BI11" s="234">
        <v>0</v>
      </c>
      <c r="BJ11" s="234">
        <v>0</v>
      </c>
      <c r="BK11" s="234">
        <v>0</v>
      </c>
      <c r="BL11" s="234">
        <v>12</v>
      </c>
      <c r="BM11" s="234" t="s">
        <v>410</v>
      </c>
      <c r="BN11" s="234"/>
      <c r="BO11" s="234" t="s">
        <v>313</v>
      </c>
      <c r="BP11" s="287"/>
      <c r="BQ11" s="234"/>
      <c r="BR11" s="234"/>
      <c r="BS11" s="234"/>
      <c r="BT11" s="231"/>
      <c r="BU11" s="231"/>
      <c r="BV11" s="234"/>
      <c r="BW11" s="234" t="s">
        <v>319</v>
      </c>
      <c r="BX11" s="234"/>
      <c r="BY11" s="231"/>
      <c r="BZ11" s="231" t="s">
        <v>443</v>
      </c>
      <c r="CA11" s="231" t="s">
        <v>281</v>
      </c>
    </row>
    <row r="12" spans="1:109" customFormat="1" ht="13" customHeight="1" x14ac:dyDescent="0.15">
      <c r="A12" s="231">
        <v>16112</v>
      </c>
      <c r="B12" s="232">
        <v>43291</v>
      </c>
      <c r="C12" s="233" t="s">
        <v>309</v>
      </c>
      <c r="D12" s="231" t="s">
        <v>310</v>
      </c>
      <c r="E12" s="231"/>
      <c r="F12" s="231" t="s">
        <v>349</v>
      </c>
      <c r="G12" s="232">
        <v>43281</v>
      </c>
      <c r="H12" s="234" t="s">
        <v>312</v>
      </c>
      <c r="I12" s="234" t="s">
        <v>324</v>
      </c>
      <c r="J12" s="234"/>
      <c r="K12" s="231" t="s">
        <v>321</v>
      </c>
      <c r="L12" s="231" t="s">
        <v>436</v>
      </c>
      <c r="M12" s="235">
        <v>88.045454545454533</v>
      </c>
      <c r="N12" s="235">
        <v>33.509090909090908</v>
      </c>
      <c r="O12" s="240"/>
      <c r="P12" s="231"/>
      <c r="Q12" s="286"/>
      <c r="R12" s="236"/>
      <c r="S12" s="286"/>
      <c r="T12" s="231"/>
      <c r="U12" s="286"/>
      <c r="V12" s="286"/>
      <c r="W12" s="235">
        <v>18.409090909090907</v>
      </c>
      <c r="X12" s="231"/>
      <c r="Y12" s="235"/>
      <c r="Z12" s="235"/>
      <c r="AA12" s="235"/>
      <c r="AB12" s="235"/>
      <c r="AC12" s="235"/>
      <c r="AD12" s="235"/>
      <c r="AE12" s="286"/>
      <c r="AF12" s="231"/>
      <c r="AG12" s="231"/>
      <c r="AH12" s="235">
        <v>24.281818181818181</v>
      </c>
      <c r="AI12" s="231"/>
      <c r="AJ12" s="231"/>
      <c r="AK12" s="235"/>
      <c r="AL12" s="231"/>
      <c r="AM12" s="235"/>
      <c r="AN12" s="235"/>
      <c r="AO12" s="231" t="s">
        <v>350</v>
      </c>
      <c r="AP12" s="234" t="s">
        <v>313</v>
      </c>
      <c r="AQ12" s="234"/>
      <c r="AR12" s="234"/>
      <c r="AS12" s="237"/>
      <c r="AT12" s="234">
        <v>10</v>
      </c>
      <c r="AU12" s="237"/>
      <c r="AV12" s="234"/>
      <c r="AW12" s="234"/>
      <c r="AX12" s="234" t="s">
        <v>318</v>
      </c>
      <c r="AY12" s="234"/>
      <c r="AZ12" s="234">
        <v>0</v>
      </c>
      <c r="BA12" s="234">
        <v>0</v>
      </c>
      <c r="BB12" s="234">
        <v>0</v>
      </c>
      <c r="BC12" s="234">
        <v>0</v>
      </c>
      <c r="BD12" s="234">
        <v>0</v>
      </c>
      <c r="BE12" s="234">
        <v>0</v>
      </c>
      <c r="BF12" s="234">
        <v>0</v>
      </c>
      <c r="BG12" s="234">
        <v>0</v>
      </c>
      <c r="BH12" s="234">
        <v>0</v>
      </c>
      <c r="BI12" s="234">
        <v>0</v>
      </c>
      <c r="BJ12" s="234">
        <v>0</v>
      </c>
      <c r="BK12" s="234">
        <v>0</v>
      </c>
      <c r="BL12" s="234"/>
      <c r="BM12" s="234" t="s">
        <v>313</v>
      </c>
      <c r="BN12" s="234">
        <v>12</v>
      </c>
      <c r="BO12" s="234" t="s">
        <v>313</v>
      </c>
      <c r="BP12" s="287"/>
      <c r="BQ12" s="234"/>
      <c r="BR12" s="234"/>
      <c r="BS12" s="234"/>
      <c r="BT12" s="231" t="s">
        <v>437</v>
      </c>
      <c r="BU12" s="240" t="s">
        <v>438</v>
      </c>
      <c r="BV12" s="234">
        <v>25</v>
      </c>
      <c r="BW12" s="234" t="s">
        <v>319</v>
      </c>
      <c r="BX12" s="234"/>
      <c r="BY12" s="231" t="s">
        <v>439</v>
      </c>
      <c r="BZ12" s="247" t="s">
        <v>296</v>
      </c>
      <c r="CA12" s="240" t="s">
        <v>281</v>
      </c>
    </row>
    <row r="13" spans="1:109" customFormat="1" ht="13" customHeight="1" x14ac:dyDescent="0.15">
      <c r="A13" s="231">
        <v>10588</v>
      </c>
      <c r="B13" s="232">
        <v>43291</v>
      </c>
      <c r="C13" s="233" t="s">
        <v>309</v>
      </c>
      <c r="D13" s="231" t="s">
        <v>310</v>
      </c>
      <c r="E13" s="231"/>
      <c r="F13" s="231" t="s">
        <v>349</v>
      </c>
      <c r="G13" s="232">
        <v>43281</v>
      </c>
      <c r="H13" s="234" t="s">
        <v>312</v>
      </c>
      <c r="I13" s="234" t="s">
        <v>324</v>
      </c>
      <c r="J13" s="234"/>
      <c r="K13" s="231" t="s">
        <v>325</v>
      </c>
      <c r="L13" s="231" t="s">
        <v>326</v>
      </c>
      <c r="M13" s="235">
        <v>108.26363636363635</v>
      </c>
      <c r="N13" s="235">
        <v>36.409090909090907</v>
      </c>
      <c r="O13" s="240"/>
      <c r="P13" s="231"/>
      <c r="Q13" s="286"/>
      <c r="R13" s="236"/>
      <c r="S13" s="286"/>
      <c r="T13" s="231"/>
      <c r="U13" s="286"/>
      <c r="V13" s="286"/>
      <c r="W13" s="235">
        <v>18.299999999999997</v>
      </c>
      <c r="X13" s="231"/>
      <c r="Y13" s="235"/>
      <c r="Z13" s="235"/>
      <c r="AA13" s="235"/>
      <c r="AB13" s="235"/>
      <c r="AC13" s="235"/>
      <c r="AD13" s="235"/>
      <c r="AE13" s="286"/>
      <c r="AF13" s="231"/>
      <c r="AG13" s="231"/>
      <c r="AH13" s="235">
        <v>25.799999999999997</v>
      </c>
      <c r="AI13" s="231"/>
      <c r="AJ13" s="231"/>
      <c r="AK13" s="286"/>
      <c r="AL13" s="231"/>
      <c r="AM13" s="235"/>
      <c r="AN13" s="235"/>
      <c r="AO13" s="231" t="s">
        <v>350</v>
      </c>
      <c r="AP13" s="234" t="s">
        <v>313</v>
      </c>
      <c r="AQ13" s="234"/>
      <c r="AR13" s="234"/>
      <c r="AS13" s="234"/>
      <c r="AT13" s="234">
        <v>10</v>
      </c>
      <c r="AU13" s="237">
        <v>1274</v>
      </c>
      <c r="AV13" s="234"/>
      <c r="AW13" s="237">
        <v>8</v>
      </c>
      <c r="AX13" s="234" t="s">
        <v>318</v>
      </c>
      <c r="AY13" s="234"/>
      <c r="AZ13" s="234">
        <v>0</v>
      </c>
      <c r="BA13" s="234">
        <v>0</v>
      </c>
      <c r="BB13" s="234">
        <v>0</v>
      </c>
      <c r="BC13" s="234">
        <v>0</v>
      </c>
      <c r="BD13" s="234">
        <v>0</v>
      </c>
      <c r="BE13" s="234">
        <v>0</v>
      </c>
      <c r="BF13" s="234">
        <v>0</v>
      </c>
      <c r="BG13" s="234">
        <v>0</v>
      </c>
      <c r="BH13" s="234">
        <v>0</v>
      </c>
      <c r="BI13" s="234">
        <v>0</v>
      </c>
      <c r="BJ13" s="234">
        <v>0</v>
      </c>
      <c r="BK13" s="234">
        <v>0</v>
      </c>
      <c r="BL13" s="234"/>
      <c r="BM13" s="234" t="s">
        <v>313</v>
      </c>
      <c r="BN13" s="234">
        <v>12</v>
      </c>
      <c r="BO13" s="234" t="s">
        <v>313</v>
      </c>
      <c r="BP13" s="287"/>
      <c r="BQ13" s="234"/>
      <c r="BR13" s="234"/>
      <c r="BS13" s="234"/>
      <c r="BT13" s="240"/>
      <c r="BU13" s="240"/>
      <c r="BV13" s="234"/>
      <c r="BW13" s="234" t="s">
        <v>327</v>
      </c>
      <c r="BX13" s="234"/>
      <c r="BY13" s="240"/>
      <c r="BZ13" t="s">
        <v>296</v>
      </c>
      <c r="CA13" s="231" t="s">
        <v>281</v>
      </c>
    </row>
    <row r="14" spans="1:109" customFormat="1" ht="13" customHeight="1" x14ac:dyDescent="0.15">
      <c r="A14" s="231">
        <v>11604</v>
      </c>
      <c r="B14" s="232">
        <v>43291</v>
      </c>
      <c r="C14" s="233" t="s">
        <v>309</v>
      </c>
      <c r="D14" s="231" t="s">
        <v>310</v>
      </c>
      <c r="E14" s="231"/>
      <c r="F14" s="231" t="s">
        <v>349</v>
      </c>
      <c r="G14" s="245">
        <v>43291</v>
      </c>
      <c r="H14" s="234" t="s">
        <v>312</v>
      </c>
      <c r="I14" s="234" t="s">
        <v>313</v>
      </c>
      <c r="J14" s="234"/>
      <c r="K14" s="231" t="s">
        <v>353</v>
      </c>
      <c r="L14" s="231" t="s">
        <v>388</v>
      </c>
      <c r="M14" s="235">
        <v>85</v>
      </c>
      <c r="N14" s="235">
        <v>28</v>
      </c>
      <c r="O14" s="240"/>
      <c r="P14" s="231"/>
      <c r="Q14" s="286"/>
      <c r="R14" s="236"/>
      <c r="S14" s="286"/>
      <c r="T14" s="231"/>
      <c r="U14" s="286"/>
      <c r="V14" s="286"/>
      <c r="W14" s="235">
        <v>14</v>
      </c>
      <c r="X14" s="231"/>
      <c r="Y14" s="235"/>
      <c r="Z14" s="235"/>
      <c r="AA14" s="235"/>
      <c r="AB14" s="235"/>
      <c r="AC14" s="235"/>
      <c r="AD14" s="286"/>
      <c r="AE14" s="286"/>
      <c r="AF14" s="231"/>
      <c r="AG14" s="231"/>
      <c r="AH14" s="235">
        <v>19.899999999999999</v>
      </c>
      <c r="AI14" s="231"/>
      <c r="AJ14" s="231"/>
      <c r="AK14" s="235"/>
      <c r="AL14" s="231"/>
      <c r="AM14" s="235"/>
      <c r="AN14" s="235"/>
      <c r="AO14" s="231" t="s">
        <v>350</v>
      </c>
      <c r="AP14" s="234" t="s">
        <v>313</v>
      </c>
      <c r="AQ14" s="234"/>
      <c r="AR14" s="234"/>
      <c r="AS14" s="237"/>
      <c r="AT14" s="234">
        <v>6</v>
      </c>
      <c r="AU14" s="237"/>
      <c r="AV14" s="234"/>
      <c r="AW14" s="237"/>
      <c r="AX14" s="234" t="s">
        <v>318</v>
      </c>
      <c r="AY14" s="234"/>
      <c r="AZ14" s="234">
        <v>0</v>
      </c>
      <c r="BA14" s="234">
        <v>0</v>
      </c>
      <c r="BB14" s="234">
        <v>0</v>
      </c>
      <c r="BC14" s="234">
        <v>0</v>
      </c>
      <c r="BD14" s="234">
        <v>0</v>
      </c>
      <c r="BE14" s="234">
        <v>0</v>
      </c>
      <c r="BF14" s="234">
        <v>0</v>
      </c>
      <c r="BG14" s="234">
        <v>0</v>
      </c>
      <c r="BH14" s="234">
        <v>0</v>
      </c>
      <c r="BI14" s="234">
        <v>0</v>
      </c>
      <c r="BJ14" s="234">
        <v>0</v>
      </c>
      <c r="BK14" s="234">
        <v>0</v>
      </c>
      <c r="BL14" s="234"/>
      <c r="BM14" s="234" t="s">
        <v>313</v>
      </c>
      <c r="BN14" s="234"/>
      <c r="BO14" s="234" t="s">
        <v>313</v>
      </c>
      <c r="BP14" s="287"/>
      <c r="BQ14" s="234"/>
      <c r="BR14" s="234"/>
      <c r="BS14" s="239">
        <v>43707</v>
      </c>
      <c r="BT14" s="240"/>
      <c r="BU14" s="240"/>
      <c r="BV14" s="234"/>
      <c r="BW14" s="234" t="s">
        <v>327</v>
      </c>
      <c r="BX14" s="234"/>
      <c r="BY14" s="240"/>
      <c r="BZ14" s="247" t="s">
        <v>296</v>
      </c>
      <c r="CA14" s="231" t="s">
        <v>281</v>
      </c>
    </row>
  </sheetData>
  <sheetProtection algorithmName="SHA-512" hashValue="HyQqQBHsPQp3HYhsPY3LVmvxvdQRqHdDvTAy+8BZ75krPbJmD2qVpzpVRItTXf2y6kXXRXTYwIBIMavlN5IN8Q==" saltValue="ppW3rf9BGeVRHmiTzzVODg==" spinCount="100000" sheet="1" objects="1" scenarios="1"/>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62631-E18B-CB40-9B8B-BAFF8D317DE5}">
  <sheetPr codeName="Sheet15"/>
  <dimension ref="A1:CA23"/>
  <sheetViews>
    <sheetView topLeftCell="AH1" zoomScale="118" workbookViewId="0">
      <selection activeCell="A19" sqref="A19:XFD53"/>
    </sheetView>
  </sheetViews>
  <sheetFormatPr baseColWidth="10" defaultColWidth="11.1640625" defaultRowHeight="13" x14ac:dyDescent="0.15"/>
  <cols>
    <col min="1" max="10" width="11.1640625" style="195"/>
    <col min="11" max="11" width="14.33203125" style="195" bestFit="1" customWidth="1"/>
    <col min="12" max="12" width="19" style="195" customWidth="1"/>
    <col min="13" max="40" width="11.1640625" style="195"/>
    <col min="41" max="41" width="12.83203125" style="195" customWidth="1"/>
    <col min="42" max="16384" width="11.1640625" style="195"/>
  </cols>
  <sheetData>
    <row r="1" spans="1:79" ht="84" x14ac:dyDescent="0.15">
      <c r="A1" s="170" t="s">
        <v>137</v>
      </c>
      <c r="B1" s="170" t="s">
        <v>138</v>
      </c>
      <c r="C1" s="171" t="s">
        <v>139</v>
      </c>
      <c r="D1" s="172" t="s">
        <v>140</v>
      </c>
      <c r="E1" s="172" t="s">
        <v>141</v>
      </c>
      <c r="F1" s="172" t="s">
        <v>50</v>
      </c>
      <c r="G1" s="170" t="s">
        <v>51</v>
      </c>
      <c r="H1" s="173" t="s">
        <v>52</v>
      </c>
      <c r="I1" s="173" t="s">
        <v>53</v>
      </c>
      <c r="J1" s="173" t="s">
        <v>146</v>
      </c>
      <c r="K1" s="172" t="s">
        <v>147</v>
      </c>
      <c r="L1" s="174" t="s">
        <v>148</v>
      </c>
      <c r="M1" s="175" t="s">
        <v>201</v>
      </c>
      <c r="N1" s="176" t="s">
        <v>202</v>
      </c>
      <c r="O1" s="176" t="s">
        <v>203</v>
      </c>
      <c r="P1" s="176" t="s">
        <v>204</v>
      </c>
      <c r="Q1" s="176" t="s">
        <v>205</v>
      </c>
      <c r="R1" s="176" t="s">
        <v>157</v>
      </c>
      <c r="S1" s="176" t="s">
        <v>61</v>
      </c>
      <c r="T1" s="176" t="s">
        <v>62</v>
      </c>
      <c r="U1" s="176" t="s">
        <v>103</v>
      </c>
      <c r="V1" s="177" t="s">
        <v>3</v>
      </c>
      <c r="W1" s="178" t="s">
        <v>4</v>
      </c>
      <c r="X1" s="178" t="s">
        <v>5</v>
      </c>
      <c r="Y1" s="178" t="s">
        <v>104</v>
      </c>
      <c r="Z1" s="178" t="s">
        <v>105</v>
      </c>
      <c r="AA1" s="178" t="s">
        <v>106</v>
      </c>
      <c r="AB1" s="178" t="s">
        <v>107</v>
      </c>
      <c r="AC1" s="178" t="s">
        <v>108</v>
      </c>
      <c r="AD1" s="178" t="s">
        <v>95</v>
      </c>
      <c r="AE1" s="179" t="s">
        <v>96</v>
      </c>
      <c r="AF1" s="180" t="s">
        <v>97</v>
      </c>
      <c r="AG1" s="180" t="s">
        <v>98</v>
      </c>
      <c r="AH1" s="181" t="s">
        <v>99</v>
      </c>
      <c r="AI1" s="181" t="s">
        <v>27</v>
      </c>
      <c r="AJ1" s="181" t="s">
        <v>28</v>
      </c>
      <c r="AK1" s="181" t="s">
        <v>21</v>
      </c>
      <c r="AL1" s="182" t="s">
        <v>354</v>
      </c>
      <c r="AM1" s="183" t="s">
        <v>355</v>
      </c>
      <c r="AN1" s="183" t="s">
        <v>356</v>
      </c>
      <c r="AO1" s="184" t="s">
        <v>22</v>
      </c>
      <c r="AP1" s="185" t="s">
        <v>23</v>
      </c>
      <c r="AQ1" s="185" t="s">
        <v>24</v>
      </c>
      <c r="AR1" s="186" t="s">
        <v>25</v>
      </c>
      <c r="AS1" s="187" t="s">
        <v>26</v>
      </c>
      <c r="AT1" s="188" t="s">
        <v>59</v>
      </c>
      <c r="AU1" s="290" t="s">
        <v>412</v>
      </c>
      <c r="AV1" s="290" t="s">
        <v>413</v>
      </c>
      <c r="AW1" s="290" t="s">
        <v>414</v>
      </c>
      <c r="AX1" s="190" t="s">
        <v>60</v>
      </c>
      <c r="AY1" s="191" t="s">
        <v>128</v>
      </c>
      <c r="AZ1" s="192" t="s">
        <v>129</v>
      </c>
      <c r="BA1" s="193" t="s">
        <v>130</v>
      </c>
      <c r="BB1" s="192" t="s">
        <v>131</v>
      </c>
      <c r="BC1" s="193" t="s">
        <v>206</v>
      </c>
      <c r="BD1" s="192" t="s">
        <v>207</v>
      </c>
      <c r="BE1" s="193" t="s">
        <v>208</v>
      </c>
      <c r="BF1" s="192" t="s">
        <v>209</v>
      </c>
      <c r="BG1" s="194" t="s">
        <v>210</v>
      </c>
      <c r="BH1" s="192" t="s">
        <v>303</v>
      </c>
      <c r="BI1" s="194" t="s">
        <v>304</v>
      </c>
      <c r="BJ1" s="192" t="s">
        <v>211</v>
      </c>
      <c r="BK1" s="194" t="s">
        <v>212</v>
      </c>
      <c r="BL1" s="173" t="s">
        <v>176</v>
      </c>
      <c r="BM1" s="173" t="s">
        <v>170</v>
      </c>
      <c r="BN1" s="173" t="s">
        <v>171</v>
      </c>
      <c r="BO1" s="173" t="s">
        <v>172</v>
      </c>
      <c r="BP1" s="173" t="s">
        <v>305</v>
      </c>
      <c r="BQ1" s="173" t="s">
        <v>306</v>
      </c>
      <c r="BR1" s="173" t="s">
        <v>307</v>
      </c>
      <c r="BS1" s="173" t="s">
        <v>308</v>
      </c>
      <c r="BT1" s="171" t="s">
        <v>232</v>
      </c>
      <c r="BU1" s="171" t="s">
        <v>233</v>
      </c>
      <c r="BV1" s="173" t="s">
        <v>7</v>
      </c>
      <c r="BW1" s="173" t="s">
        <v>8</v>
      </c>
      <c r="BX1" s="171" t="s">
        <v>9</v>
      </c>
      <c r="BY1" s="173" t="s">
        <v>10</v>
      </c>
      <c r="BZ1" s="170" t="s">
        <v>153</v>
      </c>
    </row>
    <row r="2" spans="1:79" customFormat="1" x14ac:dyDescent="0.15">
      <c r="A2" s="231">
        <v>13709</v>
      </c>
      <c r="B2" s="232">
        <v>42930</v>
      </c>
      <c r="C2" s="233" t="s">
        <v>309</v>
      </c>
      <c r="D2" s="231" t="s">
        <v>310</v>
      </c>
      <c r="E2" s="231"/>
      <c r="F2" s="231" t="s">
        <v>311</v>
      </c>
      <c r="G2" s="232">
        <v>42916</v>
      </c>
      <c r="H2" s="234" t="s">
        <v>312</v>
      </c>
      <c r="I2" s="234" t="s">
        <v>324</v>
      </c>
      <c r="J2" s="234"/>
      <c r="K2" s="231" t="s">
        <v>314</v>
      </c>
      <c r="L2" s="231" t="s">
        <v>397</v>
      </c>
      <c r="M2" s="235">
        <v>93.749999999999986</v>
      </c>
      <c r="N2" s="235">
        <v>25.536363636363635</v>
      </c>
      <c r="O2" s="231"/>
      <c r="P2" s="231"/>
      <c r="Q2" s="286"/>
      <c r="R2" s="236"/>
      <c r="S2" s="286"/>
      <c r="T2" s="231"/>
      <c r="U2" s="286"/>
      <c r="V2" s="286"/>
      <c r="W2" s="286"/>
      <c r="X2" s="231"/>
      <c r="Y2" s="235"/>
      <c r="Z2" s="235"/>
      <c r="AA2" s="235"/>
      <c r="AB2" s="235"/>
      <c r="AC2" s="235"/>
      <c r="AD2" s="235"/>
      <c r="AE2" s="235"/>
      <c r="AF2" s="231"/>
      <c r="AG2" s="231"/>
      <c r="AH2" s="235"/>
      <c r="AI2" s="231"/>
      <c r="AJ2" s="231"/>
      <c r="AK2" s="235"/>
      <c r="AL2" s="231"/>
      <c r="AM2" s="235"/>
      <c r="AN2" s="235"/>
      <c r="AO2" s="231" t="s">
        <v>317</v>
      </c>
      <c r="AP2" s="234" t="s">
        <v>313</v>
      </c>
      <c r="AQ2" s="234"/>
      <c r="AR2" s="234"/>
      <c r="AS2" s="237"/>
      <c r="AT2" s="234">
        <v>12</v>
      </c>
      <c r="AU2" s="234">
        <v>728</v>
      </c>
      <c r="AV2" s="234"/>
      <c r="AW2" s="234">
        <v>7</v>
      </c>
      <c r="AX2" s="234" t="s">
        <v>318</v>
      </c>
      <c r="AY2" s="231"/>
      <c r="AZ2" s="234">
        <v>0</v>
      </c>
      <c r="BA2" s="234">
        <v>0</v>
      </c>
      <c r="BB2" s="234">
        <v>0</v>
      </c>
      <c r="BC2" s="234">
        <v>0</v>
      </c>
      <c r="BD2" s="234">
        <v>0</v>
      </c>
      <c r="BE2" s="234">
        <v>0</v>
      </c>
      <c r="BF2" s="234">
        <v>0</v>
      </c>
      <c r="BG2" s="234">
        <v>0</v>
      </c>
      <c r="BH2" s="234">
        <v>0</v>
      </c>
      <c r="BI2" s="234">
        <v>0</v>
      </c>
      <c r="BJ2" s="234">
        <v>0</v>
      </c>
      <c r="BK2" s="234">
        <v>0</v>
      </c>
      <c r="BL2" s="234">
        <v>12</v>
      </c>
      <c r="BM2" s="234" t="s">
        <v>313</v>
      </c>
      <c r="BN2" s="234">
        <v>12</v>
      </c>
      <c r="BO2" s="234" t="s">
        <v>313</v>
      </c>
      <c r="BP2" s="287"/>
      <c r="BQ2" s="234"/>
      <c r="BR2" s="234"/>
      <c r="BS2" s="234"/>
      <c r="BT2" s="231"/>
      <c r="BU2" s="231"/>
      <c r="BV2" s="234"/>
      <c r="BW2" s="234" t="s">
        <v>319</v>
      </c>
      <c r="BX2" s="234"/>
      <c r="BY2" s="231"/>
      <c r="BZ2" s="244" t="s">
        <v>398</v>
      </c>
      <c r="CA2" s="240" t="s">
        <v>281</v>
      </c>
    </row>
    <row r="3" spans="1:79" customFormat="1" x14ac:dyDescent="0.15">
      <c r="A3" s="231">
        <v>10278</v>
      </c>
      <c r="B3" s="232">
        <v>42929</v>
      </c>
      <c r="C3" s="233" t="s">
        <v>309</v>
      </c>
      <c r="D3" s="231" t="s">
        <v>310</v>
      </c>
      <c r="E3" s="231"/>
      <c r="F3" s="231" t="s">
        <v>311</v>
      </c>
      <c r="G3" s="232">
        <v>42916</v>
      </c>
      <c r="H3" s="234" t="s">
        <v>312</v>
      </c>
      <c r="I3" s="234" t="s">
        <v>313</v>
      </c>
      <c r="J3" s="234"/>
      <c r="K3" s="231" t="s">
        <v>321</v>
      </c>
      <c r="L3" s="231" t="s">
        <v>322</v>
      </c>
      <c r="M3" s="235">
        <v>82.8</v>
      </c>
      <c r="N3" s="235">
        <v>25.5</v>
      </c>
      <c r="O3" s="231"/>
      <c r="P3" s="231"/>
      <c r="Q3" s="286"/>
      <c r="R3" s="236"/>
      <c r="S3" s="286"/>
      <c r="T3" s="231"/>
      <c r="U3" s="286"/>
      <c r="V3" s="286"/>
      <c r="W3" s="286"/>
      <c r="X3" s="231"/>
      <c r="Y3" s="235"/>
      <c r="Z3" s="235"/>
      <c r="AA3" s="235"/>
      <c r="AB3" s="235"/>
      <c r="AC3" s="235"/>
      <c r="AD3" s="235"/>
      <c r="AE3" s="235"/>
      <c r="AF3" s="231"/>
      <c r="AG3" s="231"/>
      <c r="AH3" s="235"/>
      <c r="AI3" s="231"/>
      <c r="AJ3" s="231"/>
      <c r="AK3" s="235"/>
      <c r="AL3" s="231"/>
      <c r="AM3" s="235"/>
      <c r="AN3" s="235"/>
      <c r="AO3" s="231" t="s">
        <v>317</v>
      </c>
      <c r="AP3" s="234" t="s">
        <v>313</v>
      </c>
      <c r="AQ3" s="234"/>
      <c r="AR3" s="234"/>
      <c r="AS3" s="237"/>
      <c r="AT3" s="234">
        <v>9.5</v>
      </c>
      <c r="AU3" s="234"/>
      <c r="AV3" s="234"/>
      <c r="AW3" s="234"/>
      <c r="AX3" s="234" t="s">
        <v>318</v>
      </c>
      <c r="AY3" s="231"/>
      <c r="AZ3" s="234">
        <v>12</v>
      </c>
      <c r="BA3" s="234">
        <v>0</v>
      </c>
      <c r="BB3" s="234">
        <v>0</v>
      </c>
      <c r="BC3" s="234">
        <v>0</v>
      </c>
      <c r="BD3" s="234">
        <v>0</v>
      </c>
      <c r="BE3" s="234">
        <v>0</v>
      </c>
      <c r="BF3" s="234">
        <v>0</v>
      </c>
      <c r="BG3" s="234">
        <v>0</v>
      </c>
      <c r="BH3" s="234">
        <v>0</v>
      </c>
      <c r="BI3" s="234">
        <v>0</v>
      </c>
      <c r="BJ3" s="234">
        <v>0</v>
      </c>
      <c r="BK3" s="234">
        <v>0</v>
      </c>
      <c r="BL3" s="234"/>
      <c r="BM3" s="234" t="s">
        <v>313</v>
      </c>
      <c r="BN3" s="234">
        <v>12</v>
      </c>
      <c r="BO3" s="234" t="s">
        <v>313</v>
      </c>
      <c r="BP3" s="287"/>
      <c r="BQ3" s="234"/>
      <c r="BR3" s="234">
        <v>12</v>
      </c>
      <c r="BS3" s="234"/>
      <c r="BT3" s="231"/>
      <c r="BU3" s="231"/>
      <c r="BV3" s="234"/>
      <c r="BW3" s="234" t="s">
        <v>319</v>
      </c>
      <c r="BX3" s="234"/>
      <c r="BY3" s="231" t="s">
        <v>399</v>
      </c>
      <c r="BZ3" s="288" t="s">
        <v>370</v>
      </c>
      <c r="CA3" s="231" t="s">
        <v>281</v>
      </c>
    </row>
    <row r="4" spans="1:79" customFormat="1" x14ac:dyDescent="0.15">
      <c r="A4" s="231">
        <v>10584</v>
      </c>
      <c r="B4" s="232">
        <v>42929</v>
      </c>
      <c r="C4" s="233" t="s">
        <v>309</v>
      </c>
      <c r="D4" s="231" t="s">
        <v>310</v>
      </c>
      <c r="E4" s="231"/>
      <c r="F4" s="231" t="s">
        <v>311</v>
      </c>
      <c r="G4" s="232">
        <v>42916</v>
      </c>
      <c r="H4" s="234" t="s">
        <v>312</v>
      </c>
      <c r="I4" s="234" t="s">
        <v>324</v>
      </c>
      <c r="J4" s="234"/>
      <c r="K4" s="231" t="s">
        <v>325</v>
      </c>
      <c r="L4" s="231" t="s">
        <v>326</v>
      </c>
      <c r="M4" s="235">
        <v>91.745454545454535</v>
      </c>
      <c r="N4" s="235">
        <v>23.372727272727271</v>
      </c>
      <c r="O4" s="231"/>
      <c r="P4" s="231"/>
      <c r="Q4" s="286"/>
      <c r="R4" s="236"/>
      <c r="S4" s="286"/>
      <c r="T4" s="231"/>
      <c r="U4" s="286"/>
      <c r="V4" s="286"/>
      <c r="W4" s="286"/>
      <c r="X4" s="231"/>
      <c r="Y4" s="235"/>
      <c r="Z4" s="235"/>
      <c r="AA4" s="235"/>
      <c r="AB4" s="235"/>
      <c r="AC4" s="235"/>
      <c r="AD4" s="235"/>
      <c r="AE4" s="235"/>
      <c r="AF4" s="231"/>
      <c r="AG4" s="231"/>
      <c r="AH4" s="235"/>
      <c r="AI4" s="231"/>
      <c r="AJ4" s="231"/>
      <c r="AK4" s="286"/>
      <c r="AL4" s="231"/>
      <c r="AM4" s="235"/>
      <c r="AN4" s="235"/>
      <c r="AO4" s="231" t="s">
        <v>317</v>
      </c>
      <c r="AP4" s="234" t="s">
        <v>313</v>
      </c>
      <c r="AQ4" s="234"/>
      <c r="AR4" s="234"/>
      <c r="AS4" s="234">
        <v>10</v>
      </c>
      <c r="AT4" s="234">
        <v>11</v>
      </c>
      <c r="AU4" s="234"/>
      <c r="AV4" s="234">
        <v>12</v>
      </c>
      <c r="AW4" s="234">
        <v>7</v>
      </c>
      <c r="AX4" s="234" t="s">
        <v>318</v>
      </c>
      <c r="AY4" s="231"/>
      <c r="AZ4" s="234">
        <v>0</v>
      </c>
      <c r="BA4" s="234">
        <v>0</v>
      </c>
      <c r="BB4" s="234">
        <v>0</v>
      </c>
      <c r="BC4" s="234">
        <v>0</v>
      </c>
      <c r="BD4" s="234">
        <v>0</v>
      </c>
      <c r="BE4" s="234">
        <v>0</v>
      </c>
      <c r="BF4" s="234">
        <v>0</v>
      </c>
      <c r="BG4" s="234">
        <v>0</v>
      </c>
      <c r="BH4" s="234">
        <v>0</v>
      </c>
      <c r="BI4" s="234">
        <v>0</v>
      </c>
      <c r="BJ4" s="234">
        <v>0</v>
      </c>
      <c r="BK4" s="234">
        <v>0</v>
      </c>
      <c r="BL4" s="234"/>
      <c r="BM4" s="234" t="s">
        <v>313</v>
      </c>
      <c r="BN4" s="234">
        <v>12</v>
      </c>
      <c r="BO4" s="234" t="s">
        <v>313</v>
      </c>
      <c r="BP4" s="287"/>
      <c r="BQ4" s="234"/>
      <c r="BR4" s="234"/>
      <c r="BS4" s="234"/>
      <c r="BT4" s="240"/>
      <c r="BU4" s="240"/>
      <c r="BV4" s="234"/>
      <c r="BW4" s="234" t="s">
        <v>327</v>
      </c>
      <c r="BX4" s="234"/>
      <c r="BY4" s="240"/>
      <c r="BZ4" s="243" t="s">
        <v>400</v>
      </c>
      <c r="CA4" s="231" t="s">
        <v>281</v>
      </c>
    </row>
    <row r="5" spans="1:79" customFormat="1" x14ac:dyDescent="0.15">
      <c r="A5" s="231">
        <v>11600</v>
      </c>
      <c r="B5" s="232">
        <v>42928</v>
      </c>
      <c r="C5" s="233" t="s">
        <v>309</v>
      </c>
      <c r="D5" s="231" t="s">
        <v>310</v>
      </c>
      <c r="E5" s="231"/>
      <c r="F5" s="231" t="s">
        <v>311</v>
      </c>
      <c r="G5" s="232">
        <v>42916</v>
      </c>
      <c r="H5" s="234" t="s">
        <v>312</v>
      </c>
      <c r="I5" s="234" t="s">
        <v>313</v>
      </c>
      <c r="J5" s="234"/>
      <c r="K5" s="231" t="s">
        <v>353</v>
      </c>
      <c r="L5" s="231" t="s">
        <v>388</v>
      </c>
      <c r="M5" s="235">
        <v>88.499999999999986</v>
      </c>
      <c r="N5" s="235">
        <v>19.109090909090906</v>
      </c>
      <c r="O5" s="231"/>
      <c r="P5" s="231"/>
      <c r="Q5" s="286"/>
      <c r="R5" s="236"/>
      <c r="S5" s="286"/>
      <c r="T5" s="231"/>
      <c r="U5" s="286"/>
      <c r="V5" s="286"/>
      <c r="W5" s="286"/>
      <c r="X5" s="231"/>
      <c r="Y5" s="235"/>
      <c r="Z5" s="235"/>
      <c r="AA5" s="235"/>
      <c r="AB5" s="235"/>
      <c r="AC5" s="235"/>
      <c r="AD5" s="286"/>
      <c r="AE5" s="235"/>
      <c r="AF5" s="231"/>
      <c r="AG5" s="231"/>
      <c r="AH5" s="235"/>
      <c r="AI5" s="231"/>
      <c r="AJ5" s="231"/>
      <c r="AK5" s="235"/>
      <c r="AL5" s="231"/>
      <c r="AM5" s="235"/>
      <c r="AN5" s="235"/>
      <c r="AO5" s="231" t="s">
        <v>317</v>
      </c>
      <c r="AP5" s="234" t="s">
        <v>313</v>
      </c>
      <c r="AQ5" s="234"/>
      <c r="AR5" s="234"/>
      <c r="AS5" s="237"/>
      <c r="AT5" s="234">
        <v>9.4</v>
      </c>
      <c r="AU5" s="234"/>
      <c r="AV5" s="234"/>
      <c r="AW5" s="234"/>
      <c r="AX5" s="234" t="s">
        <v>318</v>
      </c>
      <c r="AY5" s="231"/>
      <c r="AZ5" s="234">
        <v>0</v>
      </c>
      <c r="BA5" s="234">
        <v>0</v>
      </c>
      <c r="BB5" s="234">
        <v>0</v>
      </c>
      <c r="BC5" s="234">
        <v>0</v>
      </c>
      <c r="BD5" s="234">
        <v>0</v>
      </c>
      <c r="BE5" s="234">
        <v>0</v>
      </c>
      <c r="BF5" s="234">
        <v>0</v>
      </c>
      <c r="BG5" s="234">
        <v>0</v>
      </c>
      <c r="BH5" s="234">
        <v>0</v>
      </c>
      <c r="BI5" s="234">
        <v>0</v>
      </c>
      <c r="BJ5" s="234">
        <v>0</v>
      </c>
      <c r="BK5" s="234">
        <v>0</v>
      </c>
      <c r="BL5" s="234"/>
      <c r="BM5" s="234" t="s">
        <v>313</v>
      </c>
      <c r="BN5" s="234"/>
      <c r="BO5" s="234" t="s">
        <v>313</v>
      </c>
      <c r="BP5" s="287"/>
      <c r="BQ5" s="234"/>
      <c r="BR5" s="234"/>
      <c r="BS5" s="234"/>
      <c r="BT5" s="240"/>
      <c r="BU5" s="240"/>
      <c r="BV5" s="234"/>
      <c r="BW5" s="234" t="s">
        <v>327</v>
      </c>
      <c r="BX5" s="234"/>
      <c r="BY5" s="240"/>
      <c r="BZ5" s="288" t="s">
        <v>389</v>
      </c>
      <c r="CA5" s="231" t="s">
        <v>281</v>
      </c>
    </row>
    <row r="6" spans="1:79" customFormat="1" x14ac:dyDescent="0.15">
      <c r="A6" s="231">
        <v>13682</v>
      </c>
      <c r="B6" s="232">
        <v>42950</v>
      </c>
      <c r="C6" s="233" t="s">
        <v>309</v>
      </c>
      <c r="D6" s="231" t="s">
        <v>310</v>
      </c>
      <c r="E6" s="231"/>
      <c r="F6" s="231" t="s">
        <v>311</v>
      </c>
      <c r="G6" s="232">
        <v>42947</v>
      </c>
      <c r="H6" s="234" t="s">
        <v>312</v>
      </c>
      <c r="I6" s="234" t="s">
        <v>313</v>
      </c>
      <c r="J6" s="234"/>
      <c r="K6" s="231" t="s">
        <v>364</v>
      </c>
      <c r="L6" s="231" t="s">
        <v>401</v>
      </c>
      <c r="M6" s="235">
        <v>61.818181818181813</v>
      </c>
      <c r="N6" s="235">
        <v>22.27272727272727</v>
      </c>
      <c r="O6" s="231"/>
      <c r="P6" s="231"/>
      <c r="Q6" s="286"/>
      <c r="R6" s="236"/>
      <c r="S6" s="286"/>
      <c r="T6" s="231"/>
      <c r="U6" s="286"/>
      <c r="V6" s="286"/>
      <c r="W6" s="286"/>
      <c r="X6" s="231"/>
      <c r="Y6" s="235"/>
      <c r="Z6" s="235"/>
      <c r="AA6" s="235"/>
      <c r="AB6" s="235"/>
      <c r="AC6" s="235"/>
      <c r="AD6" s="235"/>
      <c r="AE6" s="235"/>
      <c r="AF6" s="231"/>
      <c r="AG6" s="231"/>
      <c r="AH6" s="235"/>
      <c r="AI6" s="231"/>
      <c r="AJ6" s="231"/>
      <c r="AK6" s="286"/>
      <c r="AL6" s="231"/>
      <c r="AM6" s="235"/>
      <c r="AN6" s="235"/>
      <c r="AO6" s="231" t="s">
        <v>317</v>
      </c>
      <c r="AP6" s="234" t="s">
        <v>313</v>
      </c>
      <c r="AQ6" s="234"/>
      <c r="AR6" s="234"/>
      <c r="AS6" s="237"/>
      <c r="AT6" s="234">
        <v>7</v>
      </c>
      <c r="AU6" s="234"/>
      <c r="AV6" s="234"/>
      <c r="AW6" s="234"/>
      <c r="AX6" s="234" t="s">
        <v>318</v>
      </c>
      <c r="AY6" s="231"/>
      <c r="AZ6" s="234">
        <v>0</v>
      </c>
      <c r="BA6" s="234">
        <v>0</v>
      </c>
      <c r="BB6" s="234">
        <v>0</v>
      </c>
      <c r="BC6" s="234">
        <v>0</v>
      </c>
      <c r="BD6" s="234">
        <v>0</v>
      </c>
      <c r="BE6" s="234">
        <v>0</v>
      </c>
      <c r="BF6" s="234">
        <v>0</v>
      </c>
      <c r="BG6" s="234">
        <v>0</v>
      </c>
      <c r="BH6" s="234">
        <v>0</v>
      </c>
      <c r="BI6" s="234">
        <v>0</v>
      </c>
      <c r="BJ6" s="234">
        <v>0</v>
      </c>
      <c r="BK6" s="234">
        <v>0</v>
      </c>
      <c r="BL6" s="234"/>
      <c r="BM6" s="234" t="s">
        <v>313</v>
      </c>
      <c r="BN6" s="234"/>
      <c r="BO6" s="234" t="s">
        <v>313</v>
      </c>
      <c r="BP6" s="238">
        <v>141.70909090909089</v>
      </c>
      <c r="BQ6" s="234"/>
      <c r="BR6" s="234"/>
      <c r="BS6" s="239"/>
      <c r="BT6" s="159"/>
      <c r="BU6" s="240"/>
      <c r="BV6" s="234"/>
      <c r="BW6" s="234" t="s">
        <v>319</v>
      </c>
      <c r="BX6" s="234"/>
      <c r="BY6" s="242" t="s">
        <v>402</v>
      </c>
      <c r="BZ6" s="242" t="s">
        <v>296</v>
      </c>
      <c r="CA6" s="240" t="s">
        <v>281</v>
      </c>
    </row>
    <row r="7" spans="1:79" customFormat="1" x14ac:dyDescent="0.15">
      <c r="A7" s="231">
        <v>10059</v>
      </c>
      <c r="B7" s="232">
        <v>42926</v>
      </c>
      <c r="C7" s="233" t="s">
        <v>309</v>
      </c>
      <c r="D7" s="231" t="s">
        <v>310</v>
      </c>
      <c r="E7" s="231"/>
      <c r="F7" s="231" t="s">
        <v>311</v>
      </c>
      <c r="G7" s="245">
        <v>42916</v>
      </c>
      <c r="H7" s="234" t="s">
        <v>337</v>
      </c>
      <c r="I7" s="234" t="s">
        <v>324</v>
      </c>
      <c r="J7" s="234"/>
      <c r="K7" s="231" t="s">
        <v>381</v>
      </c>
      <c r="L7" s="231" t="s">
        <v>382</v>
      </c>
      <c r="M7" s="235">
        <v>97.536363636363632</v>
      </c>
      <c r="N7" s="235">
        <v>21.745454545454546</v>
      </c>
      <c r="O7" s="231"/>
      <c r="P7" s="231"/>
      <c r="Q7" s="286"/>
      <c r="R7" s="236"/>
      <c r="S7" s="286"/>
      <c r="T7" s="231"/>
      <c r="U7" s="286"/>
      <c r="V7" s="286"/>
      <c r="W7" s="286"/>
      <c r="X7" s="231"/>
      <c r="Y7" s="235"/>
      <c r="Z7" s="235"/>
      <c r="AA7" s="235"/>
      <c r="AB7" s="235"/>
      <c r="AC7" s="235"/>
      <c r="AD7" s="286"/>
      <c r="AE7" s="235"/>
      <c r="AF7" s="231"/>
      <c r="AG7" s="231"/>
      <c r="AH7" s="235"/>
      <c r="AI7" s="231"/>
      <c r="AJ7" s="231"/>
      <c r="AK7" s="235"/>
      <c r="AL7" s="231"/>
      <c r="AM7" s="235"/>
      <c r="AN7" s="235"/>
      <c r="AO7" s="231" t="s">
        <v>317</v>
      </c>
      <c r="AP7" s="234" t="s">
        <v>313</v>
      </c>
      <c r="AQ7" s="234"/>
      <c r="AR7" s="234"/>
      <c r="AS7" s="234"/>
      <c r="AT7" s="234">
        <v>4</v>
      </c>
      <c r="AU7" s="234"/>
      <c r="AV7" s="234"/>
      <c r="AW7" s="234"/>
      <c r="AX7" s="234" t="s">
        <v>313</v>
      </c>
      <c r="AY7" s="231"/>
      <c r="AZ7" s="234">
        <v>0</v>
      </c>
      <c r="BA7" s="234">
        <v>0</v>
      </c>
      <c r="BB7" s="234">
        <v>0</v>
      </c>
      <c r="BC7" s="234">
        <v>0</v>
      </c>
      <c r="BD7" s="234">
        <v>0</v>
      </c>
      <c r="BE7" s="234">
        <v>0</v>
      </c>
      <c r="BF7" s="234">
        <v>0</v>
      </c>
      <c r="BG7" s="234">
        <v>0</v>
      </c>
      <c r="BH7" s="234">
        <v>0</v>
      </c>
      <c r="BI7" s="234">
        <v>0</v>
      </c>
      <c r="BJ7" s="234">
        <v>0</v>
      </c>
      <c r="BK7" s="234">
        <v>0</v>
      </c>
      <c r="BL7" s="234"/>
      <c r="BM7" s="234" t="s">
        <v>313</v>
      </c>
      <c r="BN7" s="234"/>
      <c r="BO7" s="234" t="s">
        <v>313</v>
      </c>
      <c r="BP7" s="238">
        <v>35.454545454545453</v>
      </c>
      <c r="BQ7" s="234"/>
      <c r="BR7" s="234"/>
      <c r="BS7" s="234"/>
      <c r="BT7" s="231"/>
      <c r="BU7" s="231"/>
      <c r="BV7" s="234"/>
      <c r="BW7" s="234" t="s">
        <v>319</v>
      </c>
      <c r="BX7" s="234">
        <v>1</v>
      </c>
      <c r="BY7" s="231" t="s">
        <v>383</v>
      </c>
      <c r="BZ7" s="289" t="s">
        <v>403</v>
      </c>
      <c r="CA7" s="231" t="s">
        <v>281</v>
      </c>
    </row>
    <row r="8" spans="1:79" customFormat="1" x14ac:dyDescent="0.15">
      <c r="A8" s="231">
        <v>13342</v>
      </c>
      <c r="B8" s="232">
        <v>42925</v>
      </c>
      <c r="C8" s="233" t="s">
        <v>309</v>
      </c>
      <c r="D8" s="231" t="s">
        <v>310</v>
      </c>
      <c r="E8" s="231"/>
      <c r="F8" s="231" t="s">
        <v>311</v>
      </c>
      <c r="G8" s="245">
        <v>42916</v>
      </c>
      <c r="H8" s="234" t="s">
        <v>337</v>
      </c>
      <c r="I8" s="234" t="s">
        <v>313</v>
      </c>
      <c r="J8" s="234"/>
      <c r="K8" s="231" t="s">
        <v>404</v>
      </c>
      <c r="L8" s="231" t="s">
        <v>405</v>
      </c>
      <c r="M8" s="235">
        <v>78.109090909090909</v>
      </c>
      <c r="N8" s="235">
        <v>23.36363636363636</v>
      </c>
      <c r="O8" s="231"/>
      <c r="P8" s="231"/>
      <c r="Q8" s="286"/>
      <c r="R8" s="236"/>
      <c r="S8" s="286"/>
      <c r="T8" s="231"/>
      <c r="U8" s="286"/>
      <c r="V8" s="286"/>
      <c r="W8" s="286"/>
      <c r="X8" s="231"/>
      <c r="Y8" s="235"/>
      <c r="Z8" s="235"/>
      <c r="AA8" s="235"/>
      <c r="AB8" s="235"/>
      <c r="AC8" s="235"/>
      <c r="AD8" s="235"/>
      <c r="AE8" s="235"/>
      <c r="AF8" s="231"/>
      <c r="AG8" s="231"/>
      <c r="AH8" s="235"/>
      <c r="AI8" s="231"/>
      <c r="AJ8" s="231"/>
      <c r="AK8" s="235"/>
      <c r="AL8" s="231"/>
      <c r="AM8" s="235"/>
      <c r="AN8" s="235"/>
      <c r="AO8" s="231" t="s">
        <v>317</v>
      </c>
      <c r="AP8" s="234" t="s">
        <v>313</v>
      </c>
      <c r="AQ8" s="234"/>
      <c r="AR8" s="234"/>
      <c r="AS8" s="237"/>
      <c r="AT8" s="234"/>
      <c r="AU8" s="234"/>
      <c r="AV8" s="234"/>
      <c r="AW8" s="234"/>
      <c r="AX8" s="234" t="s">
        <v>318</v>
      </c>
      <c r="AY8" s="231"/>
      <c r="AZ8" s="234">
        <v>0</v>
      </c>
      <c r="BA8" s="234">
        <v>0</v>
      </c>
      <c r="BB8" s="234">
        <v>0</v>
      </c>
      <c r="BC8" s="234">
        <v>0</v>
      </c>
      <c r="BD8" s="234">
        <v>0</v>
      </c>
      <c r="BE8" s="234">
        <v>0</v>
      </c>
      <c r="BF8" s="234">
        <v>0</v>
      </c>
      <c r="BG8" s="234">
        <v>0</v>
      </c>
      <c r="BH8" s="234">
        <v>0</v>
      </c>
      <c r="BI8" s="234">
        <v>0</v>
      </c>
      <c r="BJ8" s="234">
        <v>0</v>
      </c>
      <c r="BK8" s="234">
        <v>0</v>
      </c>
      <c r="BL8" s="234"/>
      <c r="BM8" s="234" t="s">
        <v>313</v>
      </c>
      <c r="BN8" s="234"/>
      <c r="BO8" s="234" t="s">
        <v>313</v>
      </c>
      <c r="BP8" s="238">
        <v>163.63636363636363</v>
      </c>
      <c r="BQ8" s="234"/>
      <c r="BR8" s="234"/>
      <c r="BS8" s="239"/>
      <c r="BT8" s="231"/>
      <c r="BU8" s="231"/>
      <c r="BV8" s="234"/>
      <c r="BW8" s="234" t="s">
        <v>319</v>
      </c>
      <c r="BX8" s="234">
        <v>1</v>
      </c>
      <c r="BY8" s="242" t="s">
        <v>406</v>
      </c>
      <c r="BZ8" s="242" t="s">
        <v>407</v>
      </c>
      <c r="CA8" s="231" t="s">
        <v>281</v>
      </c>
    </row>
    <row r="9" spans="1:79" customFormat="1" x14ac:dyDescent="0.15">
      <c r="A9" s="231">
        <v>180</v>
      </c>
      <c r="B9" s="232">
        <v>42928</v>
      </c>
      <c r="C9" s="233" t="s">
        <v>309</v>
      </c>
      <c r="D9" s="231" t="s">
        <v>310</v>
      </c>
      <c r="E9" s="231"/>
      <c r="F9" s="231" t="s">
        <v>311</v>
      </c>
      <c r="G9" s="245">
        <v>42858</v>
      </c>
      <c r="H9" s="234" t="s">
        <v>337</v>
      </c>
      <c r="I9" s="234" t="s">
        <v>313</v>
      </c>
      <c r="J9" s="234"/>
      <c r="K9" s="231" t="s">
        <v>408</v>
      </c>
      <c r="L9" s="231" t="s">
        <v>409</v>
      </c>
      <c r="M9" s="235">
        <v>67</v>
      </c>
      <c r="N9" s="235">
        <v>17.5</v>
      </c>
      <c r="O9" s="231"/>
      <c r="P9" s="231"/>
      <c r="Q9" s="286"/>
      <c r="R9" s="236"/>
      <c r="S9" s="286"/>
      <c r="T9" s="231"/>
      <c r="U9" s="286"/>
      <c r="V9" s="286"/>
      <c r="W9" s="286"/>
      <c r="X9" s="231"/>
      <c r="Y9" s="235"/>
      <c r="Z9" s="235"/>
      <c r="AA9" s="235"/>
      <c r="AB9" s="235"/>
      <c r="AC9" s="235"/>
      <c r="AD9" s="235"/>
      <c r="AE9" s="235"/>
      <c r="AF9" s="231"/>
      <c r="AG9" s="231"/>
      <c r="AH9" s="235"/>
      <c r="AI9" s="231"/>
      <c r="AJ9" s="231"/>
      <c r="AK9" s="286"/>
      <c r="AL9" s="231"/>
      <c r="AM9" s="235"/>
      <c r="AN9" s="235"/>
      <c r="AO9" s="231" t="s">
        <v>317</v>
      </c>
      <c r="AP9" s="234" t="s">
        <v>313</v>
      </c>
      <c r="AQ9" s="234"/>
      <c r="AR9" s="234"/>
      <c r="AS9" s="237"/>
      <c r="AT9" s="234">
        <v>6</v>
      </c>
      <c r="AU9" s="234"/>
      <c r="AV9" s="234"/>
      <c r="AW9" s="234"/>
      <c r="AX9" s="234" t="s">
        <v>410</v>
      </c>
      <c r="AY9" s="231"/>
      <c r="AZ9" s="234">
        <v>0</v>
      </c>
      <c r="BA9" s="234">
        <v>0</v>
      </c>
      <c r="BB9" s="234">
        <v>0</v>
      </c>
      <c r="BC9" s="234">
        <v>0</v>
      </c>
      <c r="BD9" s="234">
        <v>0</v>
      </c>
      <c r="BE9" s="234">
        <v>0</v>
      </c>
      <c r="BF9" s="234">
        <v>0</v>
      </c>
      <c r="BG9" s="234">
        <v>0</v>
      </c>
      <c r="BH9" s="234">
        <v>0</v>
      </c>
      <c r="BI9" s="234">
        <v>0</v>
      </c>
      <c r="BJ9" s="234">
        <v>0</v>
      </c>
      <c r="BK9" s="234">
        <v>0</v>
      </c>
      <c r="BL9" s="234"/>
      <c r="BM9" s="234" t="s">
        <v>313</v>
      </c>
      <c r="BN9" s="234"/>
      <c r="BO9" s="234" t="s">
        <v>313</v>
      </c>
      <c r="BP9" s="287"/>
      <c r="BQ9" s="234"/>
      <c r="BR9" s="234"/>
      <c r="BS9" s="234"/>
      <c r="BT9" s="240"/>
      <c r="BU9" s="240"/>
      <c r="BV9" s="234"/>
      <c r="BW9" s="234" t="s">
        <v>327</v>
      </c>
      <c r="BX9" s="234">
        <v>1</v>
      </c>
      <c r="BY9" s="231"/>
      <c r="BZ9" s="243" t="s">
        <v>411</v>
      </c>
      <c r="CA9" s="231" t="s">
        <v>297</v>
      </c>
    </row>
    <row r="10" spans="1:79" customFormat="1" x14ac:dyDescent="0.15">
      <c r="A10" s="231">
        <v>13710</v>
      </c>
      <c r="B10" s="232">
        <v>42930</v>
      </c>
      <c r="C10" s="233" t="s">
        <v>309</v>
      </c>
      <c r="D10" s="231" t="s">
        <v>310</v>
      </c>
      <c r="E10" s="231"/>
      <c r="F10" s="231" t="s">
        <v>345</v>
      </c>
      <c r="G10" s="232">
        <v>42916</v>
      </c>
      <c r="H10" s="234" t="s">
        <v>312</v>
      </c>
      <c r="I10" s="234" t="s">
        <v>324</v>
      </c>
      <c r="J10" s="234"/>
      <c r="K10" s="231" t="s">
        <v>314</v>
      </c>
      <c r="L10" s="231" t="s">
        <v>397</v>
      </c>
      <c r="M10" s="235">
        <v>93.749999999999986</v>
      </c>
      <c r="N10" s="235">
        <v>25.536363636363635</v>
      </c>
      <c r="O10" s="231"/>
      <c r="P10" s="231"/>
      <c r="Q10" s="286"/>
      <c r="R10" s="236"/>
      <c r="S10" s="286"/>
      <c r="T10" s="231"/>
      <c r="U10" s="286"/>
      <c r="V10" s="286"/>
      <c r="W10" s="286"/>
      <c r="X10" s="231"/>
      <c r="Y10" s="235"/>
      <c r="Z10" s="235"/>
      <c r="AA10" s="235"/>
      <c r="AB10" s="235"/>
      <c r="AC10" s="235"/>
      <c r="AD10" s="235"/>
      <c r="AE10" s="235">
        <v>15.5</v>
      </c>
      <c r="AF10" s="231"/>
      <c r="AG10" s="231"/>
      <c r="AH10" s="235"/>
      <c r="AI10" s="231"/>
      <c r="AJ10" s="231"/>
      <c r="AK10" s="235"/>
      <c r="AL10" s="231"/>
      <c r="AM10" s="235"/>
      <c r="AN10" s="235"/>
      <c r="AO10" s="231" t="s">
        <v>346</v>
      </c>
      <c r="AP10" s="234" t="s">
        <v>313</v>
      </c>
      <c r="AQ10" s="234"/>
      <c r="AR10" s="234"/>
      <c r="AS10" s="237"/>
      <c r="AT10" s="234">
        <v>12</v>
      </c>
      <c r="AU10" s="234">
        <v>728</v>
      </c>
      <c r="AV10" s="234"/>
      <c r="AW10" s="234">
        <v>7</v>
      </c>
      <c r="AX10" s="234" t="s">
        <v>318</v>
      </c>
      <c r="AY10" s="231"/>
      <c r="AZ10" s="234">
        <v>0</v>
      </c>
      <c r="BA10" s="234">
        <v>0</v>
      </c>
      <c r="BB10" s="234">
        <v>0</v>
      </c>
      <c r="BC10" s="234">
        <v>0</v>
      </c>
      <c r="BD10" s="234">
        <v>0</v>
      </c>
      <c r="BE10" s="234">
        <v>0</v>
      </c>
      <c r="BF10" s="234">
        <v>0</v>
      </c>
      <c r="BG10" s="234">
        <v>0</v>
      </c>
      <c r="BH10" s="234">
        <v>0</v>
      </c>
      <c r="BI10" s="234">
        <v>0</v>
      </c>
      <c r="BJ10" s="234">
        <v>0</v>
      </c>
      <c r="BK10" s="234">
        <v>0</v>
      </c>
      <c r="BL10" s="234">
        <v>12</v>
      </c>
      <c r="BM10" s="234" t="s">
        <v>410</v>
      </c>
      <c r="BN10" s="234">
        <v>12</v>
      </c>
      <c r="BO10" s="234" t="s">
        <v>313</v>
      </c>
      <c r="BP10" s="287"/>
      <c r="BQ10" s="234"/>
      <c r="BR10" s="234"/>
      <c r="BS10" s="234"/>
      <c r="BT10" s="231"/>
      <c r="BU10" s="231"/>
      <c r="BV10" s="234"/>
      <c r="BW10" s="234" t="s">
        <v>319</v>
      </c>
      <c r="BX10" s="234"/>
      <c r="BY10" s="231"/>
      <c r="BZ10" s="247" t="s">
        <v>415</v>
      </c>
      <c r="CA10" s="240" t="s">
        <v>281</v>
      </c>
    </row>
    <row r="11" spans="1:79" customFormat="1" x14ac:dyDescent="0.15">
      <c r="A11" s="231">
        <v>10279</v>
      </c>
      <c r="B11" s="232">
        <v>42929</v>
      </c>
      <c r="C11" s="233" t="s">
        <v>309</v>
      </c>
      <c r="D11" s="231" t="s">
        <v>310</v>
      </c>
      <c r="E11" s="231"/>
      <c r="F11" s="231" t="s">
        <v>345</v>
      </c>
      <c r="G11" s="232">
        <v>42916</v>
      </c>
      <c r="H11" s="234" t="s">
        <v>312</v>
      </c>
      <c r="I11" s="234" t="s">
        <v>313</v>
      </c>
      <c r="J11" s="234"/>
      <c r="K11" s="231" t="s">
        <v>321</v>
      </c>
      <c r="L11" s="231" t="s">
        <v>322</v>
      </c>
      <c r="M11" s="235">
        <v>82.8</v>
      </c>
      <c r="N11" s="235">
        <v>25.5</v>
      </c>
      <c r="O11" s="231"/>
      <c r="P11" s="231"/>
      <c r="Q11" s="286"/>
      <c r="R11" s="236"/>
      <c r="S11" s="286"/>
      <c r="T11" s="231"/>
      <c r="U11" s="286"/>
      <c r="V11" s="286"/>
      <c r="W11" s="286"/>
      <c r="X11" s="231"/>
      <c r="Y11" s="235"/>
      <c r="Z11" s="235"/>
      <c r="AA11" s="235"/>
      <c r="AB11" s="235"/>
      <c r="AC11" s="235"/>
      <c r="AD11" s="235"/>
      <c r="AE11" s="235">
        <v>12.036363636363635</v>
      </c>
      <c r="AF11" s="231"/>
      <c r="AG11" s="231"/>
      <c r="AH11" s="235"/>
      <c r="AI11" s="231"/>
      <c r="AJ11" s="231"/>
      <c r="AK11" s="235"/>
      <c r="AL11" s="231"/>
      <c r="AM11" s="235"/>
      <c r="AN11" s="235"/>
      <c r="AO11" s="231" t="s">
        <v>346</v>
      </c>
      <c r="AP11" s="234" t="s">
        <v>313</v>
      </c>
      <c r="AQ11" s="234"/>
      <c r="AR11" s="234"/>
      <c r="AS11" s="237"/>
      <c r="AT11" s="234">
        <v>9.5</v>
      </c>
      <c r="AU11" s="234"/>
      <c r="AV11" s="234"/>
      <c r="AW11" s="234"/>
      <c r="AX11" s="234" t="s">
        <v>318</v>
      </c>
      <c r="AY11" s="231"/>
      <c r="AZ11" s="234">
        <v>12</v>
      </c>
      <c r="BA11" s="234">
        <v>0</v>
      </c>
      <c r="BB11" s="234">
        <v>0</v>
      </c>
      <c r="BC11" s="234">
        <v>0</v>
      </c>
      <c r="BD11" s="234">
        <v>0</v>
      </c>
      <c r="BE11" s="234">
        <v>0</v>
      </c>
      <c r="BF11" s="234">
        <v>0</v>
      </c>
      <c r="BG11" s="234">
        <v>0</v>
      </c>
      <c r="BH11" s="234">
        <v>0</v>
      </c>
      <c r="BI11" s="234">
        <v>0</v>
      </c>
      <c r="BJ11" s="234">
        <v>0</v>
      </c>
      <c r="BK11" s="234">
        <v>0</v>
      </c>
      <c r="BL11" s="234"/>
      <c r="BM11" s="234" t="s">
        <v>313</v>
      </c>
      <c r="BN11" s="234">
        <v>12</v>
      </c>
      <c r="BO11" s="234" t="s">
        <v>313</v>
      </c>
      <c r="BP11" s="287"/>
      <c r="BQ11" s="234"/>
      <c r="BR11" s="234">
        <v>12</v>
      </c>
      <c r="BS11" s="234"/>
      <c r="BT11" s="231"/>
      <c r="BU11" s="231"/>
      <c r="BV11" s="234"/>
      <c r="BW11" s="234" t="s">
        <v>319</v>
      </c>
      <c r="BX11" s="234"/>
      <c r="BY11" s="231" t="s">
        <v>399</v>
      </c>
      <c r="BZ11" s="291" t="s">
        <v>371</v>
      </c>
      <c r="CA11" s="231" t="s">
        <v>281</v>
      </c>
    </row>
    <row r="12" spans="1:79" customFormat="1" x14ac:dyDescent="0.15">
      <c r="A12" s="231">
        <v>12707</v>
      </c>
      <c r="B12" s="232">
        <v>42929</v>
      </c>
      <c r="C12" s="233" t="s">
        <v>309</v>
      </c>
      <c r="D12" s="231" t="s">
        <v>310</v>
      </c>
      <c r="E12" s="231"/>
      <c r="F12" s="231" t="s">
        <v>376</v>
      </c>
      <c r="G12" s="232">
        <v>42916</v>
      </c>
      <c r="H12" s="234" t="s">
        <v>312</v>
      </c>
      <c r="I12" s="234" t="s">
        <v>324</v>
      </c>
      <c r="J12" s="234"/>
      <c r="K12" s="231" t="s">
        <v>325</v>
      </c>
      <c r="L12" s="231" t="s">
        <v>326</v>
      </c>
      <c r="M12" s="235">
        <v>91.745454545454535</v>
      </c>
      <c r="N12" s="235">
        <v>23.372727272727271</v>
      </c>
      <c r="O12" s="231"/>
      <c r="P12" s="231"/>
      <c r="Q12" s="286"/>
      <c r="R12" s="236"/>
      <c r="S12" s="286"/>
      <c r="T12" s="231"/>
      <c r="U12" s="286"/>
      <c r="V12" s="286"/>
      <c r="W12" s="286"/>
      <c r="X12" s="231"/>
      <c r="Y12" s="235"/>
      <c r="Z12" s="235"/>
      <c r="AA12" s="235"/>
      <c r="AB12" s="235"/>
      <c r="AC12" s="235"/>
      <c r="AD12" s="235"/>
      <c r="AE12" s="235">
        <v>12.172727272727272</v>
      </c>
      <c r="AF12" s="231"/>
      <c r="AG12" s="231"/>
      <c r="AH12" s="235"/>
      <c r="AI12" s="231"/>
      <c r="AJ12" s="231"/>
      <c r="AK12" s="286"/>
      <c r="AL12" s="231"/>
      <c r="AM12" s="235"/>
      <c r="AN12" s="235"/>
      <c r="AO12" s="231" t="s">
        <v>377</v>
      </c>
      <c r="AP12" s="234" t="s">
        <v>313</v>
      </c>
      <c r="AQ12" s="234"/>
      <c r="AR12" s="234"/>
      <c r="AS12" s="234">
        <v>10</v>
      </c>
      <c r="AT12" s="234">
        <v>11</v>
      </c>
      <c r="AU12" s="234"/>
      <c r="AV12" s="234">
        <v>12</v>
      </c>
      <c r="AW12" s="234">
        <v>7</v>
      </c>
      <c r="AX12" s="234" t="s">
        <v>318</v>
      </c>
      <c r="AY12" s="231"/>
      <c r="AZ12" s="234">
        <v>0</v>
      </c>
      <c r="BA12" s="234">
        <v>0</v>
      </c>
      <c r="BB12" s="234">
        <v>0</v>
      </c>
      <c r="BC12" s="234">
        <v>0</v>
      </c>
      <c r="BD12" s="234">
        <v>0</v>
      </c>
      <c r="BE12" s="234">
        <v>0</v>
      </c>
      <c r="BF12" s="234">
        <v>0</v>
      </c>
      <c r="BG12" s="234">
        <v>0</v>
      </c>
      <c r="BH12" s="234">
        <v>0</v>
      </c>
      <c r="BI12" s="234">
        <v>0</v>
      </c>
      <c r="BJ12" s="234">
        <v>0</v>
      </c>
      <c r="BK12" s="234">
        <v>0</v>
      </c>
      <c r="BL12" s="234"/>
      <c r="BM12" s="234" t="s">
        <v>313</v>
      </c>
      <c r="BN12" s="234">
        <v>12</v>
      </c>
      <c r="BO12" s="234" t="s">
        <v>313</v>
      </c>
      <c r="BP12" s="287"/>
      <c r="BQ12" s="234"/>
      <c r="BR12" s="234"/>
      <c r="BS12" s="234"/>
      <c r="BT12" s="240"/>
      <c r="BU12" s="240"/>
      <c r="BV12" s="234"/>
      <c r="BW12" s="234" t="s">
        <v>327</v>
      </c>
      <c r="BX12" s="234"/>
      <c r="BY12" s="240"/>
      <c r="BZ12" s="78" t="s">
        <v>296</v>
      </c>
      <c r="CA12" s="231" t="s">
        <v>281</v>
      </c>
    </row>
    <row r="13" spans="1:79" customFormat="1" x14ac:dyDescent="0.15">
      <c r="A13" s="231">
        <v>11602</v>
      </c>
      <c r="B13" s="232">
        <v>42928</v>
      </c>
      <c r="C13" s="233" t="s">
        <v>309</v>
      </c>
      <c r="D13" s="231" t="s">
        <v>310</v>
      </c>
      <c r="E13" s="231"/>
      <c r="F13" s="231" t="s">
        <v>345</v>
      </c>
      <c r="G13" s="232">
        <v>42916</v>
      </c>
      <c r="H13" s="234" t="s">
        <v>312</v>
      </c>
      <c r="I13" s="234" t="s">
        <v>313</v>
      </c>
      <c r="J13" s="234"/>
      <c r="K13" s="231" t="s">
        <v>353</v>
      </c>
      <c r="L13" s="231" t="s">
        <v>388</v>
      </c>
      <c r="M13" s="235">
        <v>88.499999999999986</v>
      </c>
      <c r="N13" s="235">
        <v>19.109090909090906</v>
      </c>
      <c r="O13" s="231"/>
      <c r="P13" s="231"/>
      <c r="Q13" s="286"/>
      <c r="R13" s="236"/>
      <c r="S13" s="286"/>
      <c r="T13" s="231"/>
      <c r="U13" s="286"/>
      <c r="V13" s="286"/>
      <c r="W13" s="286"/>
      <c r="X13" s="231"/>
      <c r="Y13" s="235"/>
      <c r="Z13" s="235"/>
      <c r="AA13" s="235"/>
      <c r="AB13" s="235"/>
      <c r="AC13" s="235"/>
      <c r="AD13" s="286"/>
      <c r="AE13" s="235">
        <v>11.981818181818181</v>
      </c>
      <c r="AF13" s="231"/>
      <c r="AG13" s="231"/>
      <c r="AH13" s="235"/>
      <c r="AI13" s="231"/>
      <c r="AJ13" s="231"/>
      <c r="AK13" s="235"/>
      <c r="AL13" s="231"/>
      <c r="AM13" s="235"/>
      <c r="AN13" s="235"/>
      <c r="AO13" s="231" t="s">
        <v>346</v>
      </c>
      <c r="AP13" s="234" t="s">
        <v>313</v>
      </c>
      <c r="AQ13" s="234"/>
      <c r="AR13" s="234"/>
      <c r="AS13" s="237"/>
      <c r="AT13" s="234">
        <v>9.4</v>
      </c>
      <c r="AU13" s="234"/>
      <c r="AV13" s="234"/>
      <c r="AW13" s="234"/>
      <c r="AX13" s="234" t="s">
        <v>318</v>
      </c>
      <c r="AY13" s="231"/>
      <c r="AZ13" s="234">
        <v>0</v>
      </c>
      <c r="BA13" s="234">
        <v>0</v>
      </c>
      <c r="BB13" s="234">
        <v>0</v>
      </c>
      <c r="BC13" s="234">
        <v>0</v>
      </c>
      <c r="BD13" s="234">
        <v>0</v>
      </c>
      <c r="BE13" s="234">
        <v>0</v>
      </c>
      <c r="BF13" s="234">
        <v>0</v>
      </c>
      <c r="BG13" s="234">
        <v>0</v>
      </c>
      <c r="BH13" s="234">
        <v>0</v>
      </c>
      <c r="BI13" s="234">
        <v>0</v>
      </c>
      <c r="BJ13" s="234">
        <v>0</v>
      </c>
      <c r="BK13" s="234">
        <v>0</v>
      </c>
      <c r="BL13" s="234"/>
      <c r="BM13" s="234" t="s">
        <v>313</v>
      </c>
      <c r="BN13" s="234"/>
      <c r="BO13" s="234" t="s">
        <v>313</v>
      </c>
      <c r="BP13" s="287"/>
      <c r="BQ13" s="234"/>
      <c r="BR13" s="234"/>
      <c r="BS13" s="234"/>
      <c r="BT13" s="240"/>
      <c r="BU13" s="240"/>
      <c r="BV13" s="234"/>
      <c r="BW13" s="234" t="s">
        <v>327</v>
      </c>
      <c r="BX13" s="234"/>
      <c r="BY13" s="240"/>
      <c r="BZ13" s="240" t="s">
        <v>390</v>
      </c>
      <c r="CA13" s="231" t="s">
        <v>281</v>
      </c>
    </row>
    <row r="14" spans="1:79" customFormat="1" x14ac:dyDescent="0.15">
      <c r="A14" s="231">
        <v>13679</v>
      </c>
      <c r="B14" s="232">
        <v>42950</v>
      </c>
      <c r="C14" s="233" t="s">
        <v>309</v>
      </c>
      <c r="D14" s="231" t="s">
        <v>310</v>
      </c>
      <c r="E14" s="231"/>
      <c r="F14" s="231" t="s">
        <v>345</v>
      </c>
      <c r="G14" s="232">
        <v>42947</v>
      </c>
      <c r="H14" s="234" t="s">
        <v>312</v>
      </c>
      <c r="I14" s="234" t="s">
        <v>313</v>
      </c>
      <c r="J14" s="234"/>
      <c r="K14" s="231" t="s">
        <v>364</v>
      </c>
      <c r="L14" s="231" t="s">
        <v>401</v>
      </c>
      <c r="M14" s="235">
        <v>61.818181818181813</v>
      </c>
      <c r="N14" s="235">
        <v>22.27272727272727</v>
      </c>
      <c r="O14" s="231"/>
      <c r="P14" s="231"/>
      <c r="Q14" s="286"/>
      <c r="R14" s="236"/>
      <c r="S14" s="286"/>
      <c r="T14" s="231"/>
      <c r="U14" s="286"/>
      <c r="V14" s="286"/>
      <c r="W14" s="286"/>
      <c r="X14" s="231"/>
      <c r="Y14" s="235"/>
      <c r="Z14" s="235"/>
      <c r="AA14" s="235"/>
      <c r="AB14" s="235"/>
      <c r="AC14" s="235"/>
      <c r="AD14" s="235"/>
      <c r="AE14" s="235">
        <v>13.636363636363635</v>
      </c>
      <c r="AF14" s="231"/>
      <c r="AG14" s="231"/>
      <c r="AH14" s="235"/>
      <c r="AI14" s="231"/>
      <c r="AJ14" s="231"/>
      <c r="AK14" s="286"/>
      <c r="AL14" s="231"/>
      <c r="AM14" s="235"/>
      <c r="AN14" s="235"/>
      <c r="AO14" s="231" t="s">
        <v>346</v>
      </c>
      <c r="AP14" s="234" t="s">
        <v>313</v>
      </c>
      <c r="AQ14" s="234"/>
      <c r="AR14" s="234"/>
      <c r="AS14" s="237"/>
      <c r="AT14" s="234">
        <v>7</v>
      </c>
      <c r="AU14" s="234"/>
      <c r="AV14" s="234"/>
      <c r="AW14" s="234"/>
      <c r="AX14" s="234" t="s">
        <v>318</v>
      </c>
      <c r="AY14" s="231"/>
      <c r="AZ14" s="234">
        <v>0</v>
      </c>
      <c r="BA14" s="234">
        <v>0</v>
      </c>
      <c r="BB14" s="234">
        <v>0</v>
      </c>
      <c r="BC14" s="234">
        <v>0</v>
      </c>
      <c r="BD14" s="234">
        <v>0</v>
      </c>
      <c r="BE14" s="234">
        <v>0</v>
      </c>
      <c r="BF14" s="234">
        <v>0</v>
      </c>
      <c r="BG14" s="234">
        <v>0</v>
      </c>
      <c r="BH14" s="234">
        <v>0</v>
      </c>
      <c r="BI14" s="234">
        <v>0</v>
      </c>
      <c r="BJ14" s="234">
        <v>0</v>
      </c>
      <c r="BK14" s="234">
        <v>0</v>
      </c>
      <c r="BL14" s="234"/>
      <c r="BM14" s="234" t="s">
        <v>313</v>
      </c>
      <c r="BN14" s="234"/>
      <c r="BO14" s="234" t="s">
        <v>313</v>
      </c>
      <c r="BP14" s="238">
        <v>141.70909090909089</v>
      </c>
      <c r="BQ14" s="234"/>
      <c r="BR14" s="234"/>
      <c r="BS14" s="239"/>
      <c r="BT14" s="159"/>
      <c r="BU14" s="240"/>
      <c r="BV14" s="234"/>
      <c r="BW14" s="234" t="s">
        <v>319</v>
      </c>
      <c r="BX14" s="234"/>
      <c r="BY14" s="240" t="s">
        <v>402</v>
      </c>
      <c r="BZ14" s="240" t="s">
        <v>296</v>
      </c>
      <c r="CA14" s="240" t="s">
        <v>281</v>
      </c>
    </row>
    <row r="15" spans="1:79" customFormat="1" x14ac:dyDescent="0.15">
      <c r="A15" s="231">
        <v>13341</v>
      </c>
      <c r="B15" s="232">
        <v>42925</v>
      </c>
      <c r="C15" s="233" t="s">
        <v>309</v>
      </c>
      <c r="D15" s="231" t="s">
        <v>310</v>
      </c>
      <c r="E15" s="231"/>
      <c r="F15" s="231" t="s">
        <v>345</v>
      </c>
      <c r="G15" s="245">
        <v>42916</v>
      </c>
      <c r="H15" s="234" t="s">
        <v>337</v>
      </c>
      <c r="I15" s="234" t="s">
        <v>313</v>
      </c>
      <c r="J15" s="234"/>
      <c r="K15" s="231" t="s">
        <v>404</v>
      </c>
      <c r="L15" s="231" t="s">
        <v>405</v>
      </c>
      <c r="M15" s="235">
        <v>78.109090909090909</v>
      </c>
      <c r="N15" s="235">
        <v>23.36363636363636</v>
      </c>
      <c r="O15" s="231"/>
      <c r="P15" s="231"/>
      <c r="Q15" s="286"/>
      <c r="R15" s="236"/>
      <c r="S15" s="286"/>
      <c r="T15" s="231"/>
      <c r="U15" s="286"/>
      <c r="V15" s="286"/>
      <c r="W15" s="286"/>
      <c r="X15" s="231"/>
      <c r="Y15" s="235"/>
      <c r="Z15" s="235"/>
      <c r="AA15" s="235"/>
      <c r="AB15" s="235"/>
      <c r="AC15" s="235"/>
      <c r="AD15" s="235"/>
      <c r="AE15" s="235">
        <v>15.799999999999997</v>
      </c>
      <c r="AF15" s="231"/>
      <c r="AG15" s="231"/>
      <c r="AH15" s="235"/>
      <c r="AI15" s="231"/>
      <c r="AJ15" s="231"/>
      <c r="AK15" s="235"/>
      <c r="AL15" s="231"/>
      <c r="AM15" s="235"/>
      <c r="AN15" s="235"/>
      <c r="AO15" s="231" t="s">
        <v>346</v>
      </c>
      <c r="AP15" s="234" t="s">
        <v>313</v>
      </c>
      <c r="AQ15" s="234"/>
      <c r="AR15" s="234"/>
      <c r="AS15" s="237"/>
      <c r="AT15" s="234"/>
      <c r="AU15" s="234"/>
      <c r="AV15" s="234"/>
      <c r="AW15" s="234"/>
      <c r="AX15" s="234" t="s">
        <v>318</v>
      </c>
      <c r="AY15" s="231"/>
      <c r="AZ15" s="234">
        <v>0</v>
      </c>
      <c r="BA15" s="234">
        <v>0</v>
      </c>
      <c r="BB15" s="234">
        <v>0</v>
      </c>
      <c r="BC15" s="234">
        <v>0</v>
      </c>
      <c r="BD15" s="234">
        <v>0</v>
      </c>
      <c r="BE15" s="234">
        <v>0</v>
      </c>
      <c r="BF15" s="234">
        <v>0</v>
      </c>
      <c r="BG15" s="234">
        <v>0</v>
      </c>
      <c r="BH15" s="234">
        <v>0</v>
      </c>
      <c r="BI15" s="234">
        <v>0</v>
      </c>
      <c r="BJ15" s="234">
        <v>0</v>
      </c>
      <c r="BK15" s="234">
        <v>0</v>
      </c>
      <c r="BL15" s="234"/>
      <c r="BM15" s="234" t="s">
        <v>313</v>
      </c>
      <c r="BN15" s="234"/>
      <c r="BO15" s="234" t="s">
        <v>313</v>
      </c>
      <c r="BP15" s="238">
        <v>163.63636363636363</v>
      </c>
      <c r="BQ15" s="234"/>
      <c r="BR15" s="234"/>
      <c r="BS15" s="239"/>
      <c r="BT15" s="231"/>
      <c r="BU15" s="231"/>
      <c r="BV15" s="234"/>
      <c r="BW15" s="234" t="s">
        <v>319</v>
      </c>
      <c r="BX15" s="234">
        <v>1</v>
      </c>
      <c r="BY15" s="240" t="s">
        <v>406</v>
      </c>
      <c r="BZ15" s="240" t="s">
        <v>416</v>
      </c>
      <c r="CA15" s="231" t="s">
        <v>281</v>
      </c>
    </row>
    <row r="16" spans="1:79" customFormat="1" x14ac:dyDescent="0.15">
      <c r="A16" s="231">
        <v>181</v>
      </c>
      <c r="B16" s="232">
        <v>42928</v>
      </c>
      <c r="C16" s="233" t="s">
        <v>309</v>
      </c>
      <c r="D16" s="231" t="s">
        <v>310</v>
      </c>
      <c r="E16" s="231"/>
      <c r="F16" s="231" t="s">
        <v>345</v>
      </c>
      <c r="G16" s="245">
        <v>42858</v>
      </c>
      <c r="H16" s="234" t="s">
        <v>337</v>
      </c>
      <c r="I16" s="234" t="s">
        <v>313</v>
      </c>
      <c r="J16" s="234"/>
      <c r="K16" s="231" t="s">
        <v>408</v>
      </c>
      <c r="L16" s="231" t="s">
        <v>409</v>
      </c>
      <c r="M16" s="235">
        <v>67</v>
      </c>
      <c r="N16" s="235">
        <v>17.5</v>
      </c>
      <c r="O16" s="231"/>
      <c r="P16" s="231"/>
      <c r="Q16" s="286"/>
      <c r="R16" s="236"/>
      <c r="S16" s="286"/>
      <c r="T16" s="231"/>
      <c r="U16" s="286"/>
      <c r="V16" s="286"/>
      <c r="W16" s="286"/>
      <c r="X16" s="231"/>
      <c r="Y16" s="235"/>
      <c r="Z16" s="235"/>
      <c r="AA16" s="235"/>
      <c r="AB16" s="235"/>
      <c r="AC16" s="235"/>
      <c r="AD16" s="235"/>
      <c r="AE16" s="235">
        <v>11.999999999999998</v>
      </c>
      <c r="AF16" s="231"/>
      <c r="AG16" s="231"/>
      <c r="AH16" s="235"/>
      <c r="AI16" s="231"/>
      <c r="AJ16" s="231"/>
      <c r="AK16" s="286"/>
      <c r="AL16" s="231"/>
      <c r="AM16" s="235"/>
      <c r="AN16" s="235"/>
      <c r="AO16" s="231" t="s">
        <v>346</v>
      </c>
      <c r="AP16" s="234" t="s">
        <v>313</v>
      </c>
      <c r="AQ16" s="234"/>
      <c r="AR16" s="234"/>
      <c r="AS16" s="237"/>
      <c r="AT16" s="234">
        <v>6</v>
      </c>
      <c r="AU16" s="234"/>
      <c r="AV16" s="234"/>
      <c r="AW16" s="234"/>
      <c r="AX16" s="234" t="s">
        <v>410</v>
      </c>
      <c r="AY16" s="231"/>
      <c r="AZ16" s="234">
        <v>0</v>
      </c>
      <c r="BA16" s="234">
        <v>0</v>
      </c>
      <c r="BB16" s="234">
        <v>0</v>
      </c>
      <c r="BC16" s="234">
        <v>0</v>
      </c>
      <c r="BD16" s="234">
        <v>0</v>
      </c>
      <c r="BE16" s="234">
        <v>0</v>
      </c>
      <c r="BF16" s="234">
        <v>0</v>
      </c>
      <c r="BG16" s="234">
        <v>0</v>
      </c>
      <c r="BH16" s="234">
        <v>0</v>
      </c>
      <c r="BI16" s="234">
        <v>0</v>
      </c>
      <c r="BJ16" s="234">
        <v>0</v>
      </c>
      <c r="BK16" s="234">
        <v>0</v>
      </c>
      <c r="BL16" s="234"/>
      <c r="BM16" s="234" t="s">
        <v>313</v>
      </c>
      <c r="BN16" s="234"/>
      <c r="BO16" s="234" t="s">
        <v>313</v>
      </c>
      <c r="BP16" s="287"/>
      <c r="BQ16" s="234"/>
      <c r="BR16" s="234"/>
      <c r="BS16" s="234"/>
      <c r="BT16" s="240"/>
      <c r="BU16" s="240"/>
      <c r="BV16" s="234"/>
      <c r="BW16" s="234" t="s">
        <v>327</v>
      </c>
      <c r="BX16" s="234">
        <v>1</v>
      </c>
      <c r="BY16" s="231"/>
      <c r="BZ16" s="243" t="s">
        <v>417</v>
      </c>
      <c r="CA16" s="231" t="s">
        <v>297</v>
      </c>
    </row>
    <row r="17" spans="1:79" customFormat="1" x14ac:dyDescent="0.15">
      <c r="A17" s="231">
        <v>13712</v>
      </c>
      <c r="B17" s="232">
        <v>42930</v>
      </c>
      <c r="C17" s="233" t="s">
        <v>309</v>
      </c>
      <c r="D17" s="231" t="s">
        <v>310</v>
      </c>
      <c r="E17" s="231"/>
      <c r="F17" s="231" t="s">
        <v>349</v>
      </c>
      <c r="G17" s="232">
        <v>42916</v>
      </c>
      <c r="H17" s="234" t="s">
        <v>312</v>
      </c>
      <c r="I17" s="234" t="s">
        <v>324</v>
      </c>
      <c r="J17" s="234"/>
      <c r="K17" s="231" t="s">
        <v>314</v>
      </c>
      <c r="L17" s="231" t="s">
        <v>397</v>
      </c>
      <c r="M17" s="235">
        <v>93.749999999999986</v>
      </c>
      <c r="N17" s="235">
        <v>34.027272727272724</v>
      </c>
      <c r="O17" s="231"/>
      <c r="P17" s="231"/>
      <c r="Q17" s="286"/>
      <c r="R17" s="236"/>
      <c r="S17" s="286"/>
      <c r="T17" s="231"/>
      <c r="U17" s="286"/>
      <c r="V17" s="286"/>
      <c r="W17" s="235">
        <v>19.954545454545453</v>
      </c>
      <c r="X17" s="231"/>
      <c r="Y17" s="235"/>
      <c r="Z17" s="235"/>
      <c r="AA17" s="235"/>
      <c r="AB17" s="235"/>
      <c r="AC17" s="235"/>
      <c r="AD17" s="235"/>
      <c r="AE17" s="235"/>
      <c r="AF17" s="231"/>
      <c r="AG17" s="231"/>
      <c r="AH17" s="235">
        <v>23.618181818181817</v>
      </c>
      <c r="AI17" s="231"/>
      <c r="AJ17" s="231"/>
      <c r="AK17" s="235"/>
      <c r="AL17" s="231"/>
      <c r="AM17" s="235"/>
      <c r="AN17" s="235"/>
      <c r="AO17" s="231" t="s">
        <v>350</v>
      </c>
      <c r="AP17" s="234" t="s">
        <v>313</v>
      </c>
      <c r="AQ17" s="234"/>
      <c r="AR17" s="234"/>
      <c r="AS17" s="237"/>
      <c r="AT17" s="234">
        <v>12</v>
      </c>
      <c r="AU17" s="234">
        <v>728</v>
      </c>
      <c r="AV17" s="234"/>
      <c r="AW17" s="234">
        <v>7</v>
      </c>
      <c r="AX17" s="234" t="s">
        <v>318</v>
      </c>
      <c r="AY17" s="231"/>
      <c r="AZ17" s="234">
        <v>0</v>
      </c>
      <c r="BA17" s="234">
        <v>0</v>
      </c>
      <c r="BB17" s="234">
        <v>0</v>
      </c>
      <c r="BC17" s="234">
        <v>0</v>
      </c>
      <c r="BD17" s="234">
        <v>0</v>
      </c>
      <c r="BE17" s="234">
        <v>0</v>
      </c>
      <c r="BF17" s="234">
        <v>0</v>
      </c>
      <c r="BG17" s="234">
        <v>0</v>
      </c>
      <c r="BH17" s="234">
        <v>0</v>
      </c>
      <c r="BI17" s="234">
        <v>0</v>
      </c>
      <c r="BJ17" s="234">
        <v>0</v>
      </c>
      <c r="BK17" s="234">
        <v>0</v>
      </c>
      <c r="BL17" s="234">
        <v>12</v>
      </c>
      <c r="BM17" s="234" t="s">
        <v>410</v>
      </c>
      <c r="BN17" s="234">
        <v>12</v>
      </c>
      <c r="BO17" s="234" t="s">
        <v>313</v>
      </c>
      <c r="BP17" s="287"/>
      <c r="BQ17" s="234"/>
      <c r="BR17" s="234"/>
      <c r="BS17" s="234"/>
      <c r="BT17" s="231"/>
      <c r="BU17" s="231"/>
      <c r="BV17" s="234"/>
      <c r="BW17" s="234" t="s">
        <v>319</v>
      </c>
      <c r="BX17" s="234"/>
      <c r="BY17" s="231"/>
      <c r="BZ17" s="247" t="s">
        <v>418</v>
      </c>
      <c r="CA17" s="240" t="s">
        <v>281</v>
      </c>
    </row>
    <row r="18" spans="1:79" customFormat="1" x14ac:dyDescent="0.15">
      <c r="A18" s="231">
        <v>10281</v>
      </c>
      <c r="B18" s="232">
        <v>42929</v>
      </c>
      <c r="C18" s="233" t="s">
        <v>309</v>
      </c>
      <c r="D18" s="231" t="s">
        <v>310</v>
      </c>
      <c r="E18" s="231"/>
      <c r="F18" s="231" t="s">
        <v>349</v>
      </c>
      <c r="G18" s="232">
        <v>42916</v>
      </c>
      <c r="H18" s="234" t="s">
        <v>312</v>
      </c>
      <c r="I18" s="234" t="s">
        <v>313</v>
      </c>
      <c r="J18" s="234"/>
      <c r="K18" s="231" t="s">
        <v>321</v>
      </c>
      <c r="L18" s="231" t="s">
        <v>322</v>
      </c>
      <c r="M18" s="235">
        <v>76.899999999999991</v>
      </c>
      <c r="N18" s="235">
        <v>30.963636363636365</v>
      </c>
      <c r="O18" s="231"/>
      <c r="P18" s="231"/>
      <c r="Q18" s="286"/>
      <c r="R18" s="236"/>
      <c r="S18" s="286"/>
      <c r="T18" s="231"/>
      <c r="U18" s="286"/>
      <c r="V18" s="286"/>
      <c r="W18" s="235">
        <v>14.754545454545454</v>
      </c>
      <c r="X18" s="231"/>
      <c r="Y18" s="235"/>
      <c r="Z18" s="235"/>
      <c r="AA18" s="235"/>
      <c r="AB18" s="235"/>
      <c r="AC18" s="235"/>
      <c r="AD18" s="235"/>
      <c r="AE18" s="235"/>
      <c r="AF18" s="231"/>
      <c r="AG18" s="231"/>
      <c r="AH18" s="235">
        <v>21.25454545454545</v>
      </c>
      <c r="AI18" s="231"/>
      <c r="AJ18" s="231"/>
      <c r="AK18" s="235"/>
      <c r="AL18" s="231"/>
      <c r="AM18" s="235"/>
      <c r="AN18" s="235"/>
      <c r="AO18" s="231" t="s">
        <v>350</v>
      </c>
      <c r="AP18" s="234" t="s">
        <v>313</v>
      </c>
      <c r="AQ18" s="234"/>
      <c r="AR18" s="234"/>
      <c r="AS18" s="237"/>
      <c r="AT18" s="234">
        <v>9.5</v>
      </c>
      <c r="AU18" s="234"/>
      <c r="AV18" s="234"/>
      <c r="AW18" s="234"/>
      <c r="AX18" s="234" t="s">
        <v>318</v>
      </c>
      <c r="AY18" s="231"/>
      <c r="AZ18" s="234">
        <v>12</v>
      </c>
      <c r="BA18" s="234">
        <v>0</v>
      </c>
      <c r="BB18" s="234">
        <v>0</v>
      </c>
      <c r="BC18" s="234">
        <v>0</v>
      </c>
      <c r="BD18" s="234">
        <v>0</v>
      </c>
      <c r="BE18" s="234">
        <v>0</v>
      </c>
      <c r="BF18" s="234">
        <v>0</v>
      </c>
      <c r="BG18" s="234">
        <v>0</v>
      </c>
      <c r="BH18" s="234">
        <v>0</v>
      </c>
      <c r="BI18" s="234">
        <v>0</v>
      </c>
      <c r="BJ18" s="234">
        <v>0</v>
      </c>
      <c r="BK18" s="234">
        <v>0</v>
      </c>
      <c r="BL18" s="234"/>
      <c r="BM18" s="234" t="s">
        <v>313</v>
      </c>
      <c r="BN18" s="234">
        <v>12</v>
      </c>
      <c r="BO18" s="234" t="s">
        <v>313</v>
      </c>
      <c r="BP18" s="287"/>
      <c r="BQ18" s="234"/>
      <c r="BR18" s="234">
        <v>12</v>
      </c>
      <c r="BS18" s="234"/>
      <c r="BT18" s="231"/>
      <c r="BU18" s="231"/>
      <c r="BV18" s="234"/>
      <c r="BW18" s="234" t="s">
        <v>319</v>
      </c>
      <c r="BX18" s="234"/>
      <c r="BY18" s="231" t="s">
        <v>399</v>
      </c>
      <c r="BZ18" s="291" t="s">
        <v>372</v>
      </c>
      <c r="CA18" s="231" t="s">
        <v>281</v>
      </c>
    </row>
    <row r="19" spans="1:79" customFormat="1" x14ac:dyDescent="0.15">
      <c r="A19" s="231">
        <v>10588</v>
      </c>
      <c r="B19" s="232">
        <v>42929</v>
      </c>
      <c r="C19" s="233" t="s">
        <v>309</v>
      </c>
      <c r="D19" s="231" t="s">
        <v>310</v>
      </c>
      <c r="E19" s="231"/>
      <c r="F19" s="231" t="s">
        <v>349</v>
      </c>
      <c r="G19" s="232">
        <v>42916</v>
      </c>
      <c r="H19" s="234" t="s">
        <v>312</v>
      </c>
      <c r="I19" s="234" t="s">
        <v>324</v>
      </c>
      <c r="J19" s="234"/>
      <c r="K19" s="231" t="s">
        <v>325</v>
      </c>
      <c r="L19" s="231" t="s">
        <v>326</v>
      </c>
      <c r="M19" s="235">
        <v>91.745454545454535</v>
      </c>
      <c r="N19" s="235">
        <v>30.863636363636363</v>
      </c>
      <c r="O19" s="231"/>
      <c r="P19" s="231"/>
      <c r="Q19" s="286"/>
      <c r="R19" s="236"/>
      <c r="S19" s="286"/>
      <c r="T19" s="231"/>
      <c r="U19" s="286"/>
      <c r="V19" s="286"/>
      <c r="W19" s="235">
        <v>15.518181818181818</v>
      </c>
      <c r="X19" s="231"/>
      <c r="Y19" s="235"/>
      <c r="Z19" s="235"/>
      <c r="AA19" s="235"/>
      <c r="AB19" s="235"/>
      <c r="AC19" s="235"/>
      <c r="AD19" s="235"/>
      <c r="AE19" s="235"/>
      <c r="AF19" s="231"/>
      <c r="AG19" s="231"/>
      <c r="AH19" s="235">
        <v>21.872727272727271</v>
      </c>
      <c r="AI19" s="231"/>
      <c r="AJ19" s="231"/>
      <c r="AK19" s="286"/>
      <c r="AL19" s="231"/>
      <c r="AM19" s="235"/>
      <c r="AN19" s="235"/>
      <c r="AO19" s="231" t="s">
        <v>350</v>
      </c>
      <c r="AP19" s="234" t="s">
        <v>313</v>
      </c>
      <c r="AQ19" s="234"/>
      <c r="AR19" s="234"/>
      <c r="AS19" s="234">
        <v>10</v>
      </c>
      <c r="AT19" s="234">
        <v>11</v>
      </c>
      <c r="AU19" s="234"/>
      <c r="AV19" s="234">
        <v>12</v>
      </c>
      <c r="AW19" s="234">
        <v>7</v>
      </c>
      <c r="AX19" s="234" t="s">
        <v>318</v>
      </c>
      <c r="AY19" s="231"/>
      <c r="AZ19" s="234">
        <v>0</v>
      </c>
      <c r="BA19" s="234">
        <v>0</v>
      </c>
      <c r="BB19" s="234">
        <v>0</v>
      </c>
      <c r="BC19" s="234">
        <v>0</v>
      </c>
      <c r="BD19" s="234">
        <v>0</v>
      </c>
      <c r="BE19" s="234">
        <v>0</v>
      </c>
      <c r="BF19" s="234">
        <v>0</v>
      </c>
      <c r="BG19" s="234">
        <v>0</v>
      </c>
      <c r="BH19" s="234">
        <v>0</v>
      </c>
      <c r="BI19" s="234">
        <v>0</v>
      </c>
      <c r="BJ19" s="234">
        <v>0</v>
      </c>
      <c r="BK19" s="234">
        <v>0</v>
      </c>
      <c r="BL19" s="234"/>
      <c r="BM19" s="234" t="s">
        <v>313</v>
      </c>
      <c r="BN19" s="234">
        <v>12</v>
      </c>
      <c r="BO19" s="234" t="s">
        <v>313</v>
      </c>
      <c r="BP19" s="287"/>
      <c r="BQ19" s="234"/>
      <c r="BR19" s="234"/>
      <c r="BS19" s="234"/>
      <c r="BT19" s="240"/>
      <c r="BU19" s="240"/>
      <c r="BV19" s="234"/>
      <c r="BW19" s="234" t="s">
        <v>327</v>
      </c>
      <c r="BX19" s="234"/>
      <c r="BY19" s="240"/>
      <c r="BZ19" t="s">
        <v>296</v>
      </c>
      <c r="CA19" s="231" t="s">
        <v>281</v>
      </c>
    </row>
    <row r="20" spans="1:79" customFormat="1" x14ac:dyDescent="0.15">
      <c r="A20" s="231">
        <v>11604</v>
      </c>
      <c r="B20" s="232">
        <v>42928</v>
      </c>
      <c r="C20" s="233" t="s">
        <v>309</v>
      </c>
      <c r="D20" s="231" t="s">
        <v>310</v>
      </c>
      <c r="E20" s="231"/>
      <c r="F20" s="231" t="s">
        <v>349</v>
      </c>
      <c r="G20" s="232">
        <v>42916</v>
      </c>
      <c r="H20" s="234" t="s">
        <v>312</v>
      </c>
      <c r="I20" s="234" t="s">
        <v>313</v>
      </c>
      <c r="J20" s="234"/>
      <c r="K20" s="231" t="s">
        <v>353</v>
      </c>
      <c r="L20" s="231" t="s">
        <v>388</v>
      </c>
      <c r="M20" s="235">
        <v>88.499999999999986</v>
      </c>
      <c r="N20" s="235">
        <v>23.727272727272727</v>
      </c>
      <c r="O20" s="231"/>
      <c r="P20" s="231"/>
      <c r="Q20" s="286"/>
      <c r="R20" s="236"/>
      <c r="S20" s="286"/>
      <c r="T20" s="231"/>
      <c r="U20" s="286"/>
      <c r="V20" s="286"/>
      <c r="W20" s="235">
        <v>11.981818181818181</v>
      </c>
      <c r="X20" s="231"/>
      <c r="Y20" s="235"/>
      <c r="Z20" s="235"/>
      <c r="AA20" s="235"/>
      <c r="AB20" s="235"/>
      <c r="AC20" s="235"/>
      <c r="AD20" s="286"/>
      <c r="AE20" s="235"/>
      <c r="AF20" s="231"/>
      <c r="AG20" s="231"/>
      <c r="AH20" s="235">
        <v>16.09090909090909</v>
      </c>
      <c r="AI20" s="231"/>
      <c r="AJ20" s="231"/>
      <c r="AK20" s="235"/>
      <c r="AL20" s="231"/>
      <c r="AM20" s="235"/>
      <c r="AN20" s="235"/>
      <c r="AO20" s="231" t="s">
        <v>350</v>
      </c>
      <c r="AP20" s="234" t="s">
        <v>313</v>
      </c>
      <c r="AQ20" s="234"/>
      <c r="AR20" s="234"/>
      <c r="AS20" s="237"/>
      <c r="AT20" s="234">
        <v>9.4</v>
      </c>
      <c r="AU20" s="234"/>
      <c r="AV20" s="234"/>
      <c r="AW20" s="234"/>
      <c r="AX20" s="234" t="s">
        <v>318</v>
      </c>
      <c r="AY20" s="231"/>
      <c r="AZ20" s="234">
        <v>0</v>
      </c>
      <c r="BA20" s="234">
        <v>0</v>
      </c>
      <c r="BB20" s="234">
        <v>0</v>
      </c>
      <c r="BC20" s="234">
        <v>0</v>
      </c>
      <c r="BD20" s="234">
        <v>0</v>
      </c>
      <c r="BE20" s="234">
        <v>0</v>
      </c>
      <c r="BF20" s="234">
        <v>0</v>
      </c>
      <c r="BG20" s="234">
        <v>0</v>
      </c>
      <c r="BH20" s="234">
        <v>0</v>
      </c>
      <c r="BI20" s="234">
        <v>0</v>
      </c>
      <c r="BJ20" s="234">
        <v>0</v>
      </c>
      <c r="BK20" s="234">
        <v>0</v>
      </c>
      <c r="BL20" s="234"/>
      <c r="BM20" s="234" t="s">
        <v>313</v>
      </c>
      <c r="BN20" s="234"/>
      <c r="BO20" s="234" t="s">
        <v>313</v>
      </c>
      <c r="BP20" s="287"/>
      <c r="BQ20" s="234"/>
      <c r="BR20" s="234"/>
      <c r="BS20" s="234"/>
      <c r="BT20" s="240"/>
      <c r="BU20" s="240"/>
      <c r="BV20" s="234"/>
      <c r="BW20" s="234" t="s">
        <v>327</v>
      </c>
      <c r="BX20" s="234"/>
      <c r="BY20" s="240"/>
      <c r="BZ20" s="242" t="s">
        <v>391</v>
      </c>
      <c r="CA20" s="231" t="s">
        <v>281</v>
      </c>
    </row>
    <row r="21" spans="1:79" customFormat="1" x14ac:dyDescent="0.15">
      <c r="A21" s="231">
        <v>13684</v>
      </c>
      <c r="B21" s="232">
        <v>42950</v>
      </c>
      <c r="C21" s="233" t="s">
        <v>309</v>
      </c>
      <c r="D21" s="231" t="s">
        <v>310</v>
      </c>
      <c r="E21" s="231"/>
      <c r="F21" s="231" t="s">
        <v>349</v>
      </c>
      <c r="G21" s="232">
        <v>42947</v>
      </c>
      <c r="H21" s="234" t="s">
        <v>312</v>
      </c>
      <c r="I21" s="234" t="s">
        <v>313</v>
      </c>
      <c r="J21" s="234"/>
      <c r="K21" s="231" t="s">
        <v>364</v>
      </c>
      <c r="L21" s="231" t="s">
        <v>401</v>
      </c>
      <c r="M21" s="235">
        <v>61.818181818181813</v>
      </c>
      <c r="N21" s="235">
        <v>29.999999999999996</v>
      </c>
      <c r="O21" s="231"/>
      <c r="P21" s="231"/>
      <c r="Q21" s="286"/>
      <c r="R21" s="236"/>
      <c r="S21" s="286"/>
      <c r="T21" s="231"/>
      <c r="U21" s="286"/>
      <c r="V21" s="286"/>
      <c r="W21" s="235">
        <v>15.454545454545453</v>
      </c>
      <c r="X21" s="231"/>
      <c r="Y21" s="235"/>
      <c r="Z21" s="235"/>
      <c r="AA21" s="235"/>
      <c r="AB21" s="235"/>
      <c r="AC21" s="235"/>
      <c r="AD21" s="235"/>
      <c r="AE21" s="235"/>
      <c r="AF21" s="231"/>
      <c r="AG21" s="231"/>
      <c r="AH21" s="235">
        <v>20.909090909090907</v>
      </c>
      <c r="AI21" s="231"/>
      <c r="AJ21" s="231"/>
      <c r="AK21" s="286"/>
      <c r="AL21" s="231"/>
      <c r="AM21" s="235"/>
      <c r="AN21" s="235"/>
      <c r="AO21" s="231" t="s">
        <v>350</v>
      </c>
      <c r="AP21" s="234" t="s">
        <v>313</v>
      </c>
      <c r="AQ21" s="234"/>
      <c r="AR21" s="234"/>
      <c r="AS21" s="237"/>
      <c r="AT21" s="234">
        <v>7</v>
      </c>
      <c r="AU21" s="234"/>
      <c r="AV21" s="234"/>
      <c r="AW21" s="234"/>
      <c r="AX21" s="234" t="s">
        <v>318</v>
      </c>
      <c r="AY21" s="231"/>
      <c r="AZ21" s="234">
        <v>0</v>
      </c>
      <c r="BA21" s="234">
        <v>0</v>
      </c>
      <c r="BB21" s="234">
        <v>0</v>
      </c>
      <c r="BC21" s="234">
        <v>0</v>
      </c>
      <c r="BD21" s="234">
        <v>0</v>
      </c>
      <c r="BE21" s="234">
        <v>0</v>
      </c>
      <c r="BF21" s="234">
        <v>0</v>
      </c>
      <c r="BG21" s="234">
        <v>0</v>
      </c>
      <c r="BH21" s="234">
        <v>0</v>
      </c>
      <c r="BI21" s="234">
        <v>0</v>
      </c>
      <c r="BJ21" s="234">
        <v>0</v>
      </c>
      <c r="BK21" s="234">
        <v>0</v>
      </c>
      <c r="BL21" s="234"/>
      <c r="BM21" s="234" t="s">
        <v>313</v>
      </c>
      <c r="BN21" s="234"/>
      <c r="BO21" s="234" t="s">
        <v>313</v>
      </c>
      <c r="BP21" s="238">
        <v>141.70909090909089</v>
      </c>
      <c r="BQ21" s="234"/>
      <c r="BR21" s="234"/>
      <c r="BS21" s="239"/>
      <c r="BT21" s="159"/>
      <c r="BU21" s="240"/>
      <c r="BV21" s="234"/>
      <c r="BW21" s="234" t="s">
        <v>319</v>
      </c>
      <c r="BX21" s="234"/>
      <c r="BY21" s="240" t="s">
        <v>402</v>
      </c>
      <c r="BZ21" s="240" t="s">
        <v>296</v>
      </c>
      <c r="CA21" s="240" t="s">
        <v>281</v>
      </c>
    </row>
    <row r="22" spans="1:79" customFormat="1" x14ac:dyDescent="0.15">
      <c r="A22" s="231">
        <v>13270</v>
      </c>
      <c r="B22" s="232">
        <v>42926</v>
      </c>
      <c r="C22" s="233" t="s">
        <v>309</v>
      </c>
      <c r="D22" s="231" t="s">
        <v>310</v>
      </c>
      <c r="E22" s="231"/>
      <c r="F22" s="231" t="s">
        <v>385</v>
      </c>
      <c r="G22" s="245">
        <v>42916</v>
      </c>
      <c r="H22" s="234" t="s">
        <v>337</v>
      </c>
      <c r="I22" s="234" t="s">
        <v>324</v>
      </c>
      <c r="J22" s="234"/>
      <c r="K22" s="231" t="s">
        <v>381</v>
      </c>
      <c r="L22" s="231" t="s">
        <v>382</v>
      </c>
      <c r="M22" s="235">
        <v>97.536363636363632</v>
      </c>
      <c r="N22" s="235">
        <v>29.36363636363636</v>
      </c>
      <c r="O22" s="231"/>
      <c r="P22" s="231"/>
      <c r="Q22" s="286"/>
      <c r="R22" s="236"/>
      <c r="S22" s="286"/>
      <c r="T22" s="231"/>
      <c r="U22" s="286"/>
      <c r="V22" s="286"/>
      <c r="W22" s="235">
        <v>15.199999999999998</v>
      </c>
      <c r="X22" s="231"/>
      <c r="Y22" s="235"/>
      <c r="Z22" s="235"/>
      <c r="AA22" s="235"/>
      <c r="AB22" s="235"/>
      <c r="AC22" s="235"/>
      <c r="AD22" s="286"/>
      <c r="AE22" s="235"/>
      <c r="AF22" s="231"/>
      <c r="AG22" s="231"/>
      <c r="AH22" s="235">
        <v>20.618181818181817</v>
      </c>
      <c r="AI22" s="231"/>
      <c r="AJ22" s="231"/>
      <c r="AK22" s="235"/>
      <c r="AL22" s="231"/>
      <c r="AM22" s="235"/>
      <c r="AN22" s="235"/>
      <c r="AO22" s="231" t="s">
        <v>386</v>
      </c>
      <c r="AP22" s="234" t="s">
        <v>313</v>
      </c>
      <c r="AQ22" s="234"/>
      <c r="AR22" s="234"/>
      <c r="AS22" s="234"/>
      <c r="AT22" s="234">
        <v>4</v>
      </c>
      <c r="AU22" s="234"/>
      <c r="AV22" s="234"/>
      <c r="AW22" s="234"/>
      <c r="AX22" s="234" t="s">
        <v>313</v>
      </c>
      <c r="AY22" s="231"/>
      <c r="AZ22" s="234">
        <v>0</v>
      </c>
      <c r="BA22" s="234">
        <v>0</v>
      </c>
      <c r="BB22" s="234">
        <v>0</v>
      </c>
      <c r="BC22" s="234">
        <v>0</v>
      </c>
      <c r="BD22" s="234">
        <v>0</v>
      </c>
      <c r="BE22" s="234">
        <v>0</v>
      </c>
      <c r="BF22" s="234">
        <v>0</v>
      </c>
      <c r="BG22" s="234">
        <v>0</v>
      </c>
      <c r="BH22" s="234">
        <v>0</v>
      </c>
      <c r="BI22" s="234">
        <v>0</v>
      </c>
      <c r="BJ22" s="234">
        <v>0</v>
      </c>
      <c r="BK22" s="234">
        <v>0</v>
      </c>
      <c r="BL22" s="234"/>
      <c r="BM22" s="234" t="s">
        <v>313</v>
      </c>
      <c r="BN22" s="234"/>
      <c r="BO22" s="234" t="s">
        <v>313</v>
      </c>
      <c r="BP22" s="238">
        <v>35.454545454545453</v>
      </c>
      <c r="BQ22" s="234"/>
      <c r="BR22" s="234"/>
      <c r="BS22" s="234"/>
      <c r="BT22" s="231"/>
      <c r="BU22" s="231"/>
      <c r="BV22" s="234"/>
      <c r="BW22" s="234" t="s">
        <v>319</v>
      </c>
      <c r="BX22" s="234">
        <v>1</v>
      </c>
      <c r="BY22" s="231" t="s">
        <v>383</v>
      </c>
      <c r="BZ22" s="289" t="s">
        <v>419</v>
      </c>
      <c r="CA22" s="231" t="s">
        <v>281</v>
      </c>
    </row>
    <row r="23" spans="1:79" x14ac:dyDescent="0.15">
      <c r="A23" s="231">
        <v>183</v>
      </c>
      <c r="B23" s="232">
        <v>42928</v>
      </c>
      <c r="C23" s="233" t="s">
        <v>309</v>
      </c>
      <c r="D23" s="231" t="s">
        <v>310</v>
      </c>
      <c r="E23" s="231"/>
      <c r="F23" s="231" t="s">
        <v>349</v>
      </c>
      <c r="G23" s="245">
        <v>42858</v>
      </c>
      <c r="H23" s="234" t="s">
        <v>337</v>
      </c>
      <c r="I23" s="234" t="s">
        <v>313</v>
      </c>
      <c r="J23" s="234"/>
      <c r="K23" s="231" t="s">
        <v>408</v>
      </c>
      <c r="L23" s="231" t="s">
        <v>409</v>
      </c>
      <c r="M23" s="235">
        <v>67</v>
      </c>
      <c r="N23" s="235">
        <v>29.5</v>
      </c>
      <c r="O23" s="231"/>
      <c r="P23" s="231"/>
      <c r="Q23" s="286"/>
      <c r="R23" s="236"/>
      <c r="S23" s="286"/>
      <c r="T23" s="231"/>
      <c r="U23" s="286"/>
      <c r="V23" s="286"/>
      <c r="W23" s="235">
        <v>13.799999999999999</v>
      </c>
      <c r="X23" s="231"/>
      <c r="Y23" s="235"/>
      <c r="Z23" s="235"/>
      <c r="AA23" s="235"/>
      <c r="AB23" s="235"/>
      <c r="AC23" s="235"/>
      <c r="AD23" s="235"/>
      <c r="AE23" s="235"/>
      <c r="AF23" s="231"/>
      <c r="AG23" s="231"/>
      <c r="AH23" s="235">
        <v>16.8</v>
      </c>
      <c r="AI23" s="231"/>
      <c r="AJ23" s="231"/>
      <c r="AK23" s="286"/>
      <c r="AL23" s="231"/>
      <c r="AM23" s="235"/>
      <c r="AN23" s="235"/>
      <c r="AO23" s="231" t="s">
        <v>350</v>
      </c>
      <c r="AP23" s="234" t="s">
        <v>313</v>
      </c>
      <c r="AQ23" s="234"/>
      <c r="AR23" s="234"/>
      <c r="AS23" s="237"/>
      <c r="AT23" s="234">
        <v>6</v>
      </c>
      <c r="AU23" s="234"/>
      <c r="AV23" s="234"/>
      <c r="AW23" s="234"/>
      <c r="AX23" s="234" t="s">
        <v>410</v>
      </c>
      <c r="AY23" s="231"/>
      <c r="AZ23" s="234">
        <v>0</v>
      </c>
      <c r="BA23" s="234">
        <v>0</v>
      </c>
      <c r="BB23" s="234">
        <v>0</v>
      </c>
      <c r="BC23" s="234">
        <v>0</v>
      </c>
      <c r="BD23" s="234">
        <v>0</v>
      </c>
      <c r="BE23" s="234">
        <v>0</v>
      </c>
      <c r="BF23" s="234">
        <v>0</v>
      </c>
      <c r="BG23" s="234">
        <v>0</v>
      </c>
      <c r="BH23" s="234">
        <v>0</v>
      </c>
      <c r="BI23" s="234">
        <v>0</v>
      </c>
      <c r="BJ23" s="234">
        <v>0</v>
      </c>
      <c r="BK23" s="234">
        <v>0</v>
      </c>
      <c r="BL23" s="234"/>
      <c r="BM23" s="234" t="s">
        <v>313</v>
      </c>
      <c r="BN23" s="234"/>
      <c r="BO23" s="234" t="s">
        <v>313</v>
      </c>
      <c r="BP23" s="287"/>
      <c r="BQ23" s="234"/>
      <c r="BR23" s="234"/>
      <c r="BS23" s="234"/>
      <c r="BT23" s="240"/>
      <c r="BU23" s="240"/>
      <c r="BV23" s="234"/>
      <c r="BW23" s="234" t="s">
        <v>327</v>
      </c>
      <c r="BX23" s="234">
        <v>1</v>
      </c>
      <c r="BY23" s="231"/>
      <c r="BZ23" s="244" t="s">
        <v>420</v>
      </c>
      <c r="CA23" s="231" t="s">
        <v>297</v>
      </c>
    </row>
  </sheetData>
  <sheetProtection algorithmName="SHA-512" hashValue="mb9U5yp34h9zy8JVYKe1anyYUzzqlSkF2uVfQA1l9CG39NU1EGJibZlxcMCKH3oOJLG4TmxJQ9iOzzL0CL/7Kg==" saltValue="HAJYmdtWT03cqaeocOO8Kg==" spinCount="100000" sheet="1" objects="1" scenarios="1"/>
  <hyperlinks>
    <hyperlink ref="BZ5" r:id="rId1" xr:uid="{186C2474-5938-8F41-BE54-31F5031CA741}"/>
    <hyperlink ref="BZ2" r:id="rId2" xr:uid="{F09C1B0A-9FE3-054A-BEBC-AC37F3AF3ACC}"/>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8D0F-18BE-9F4C-A53C-CB79F1A90832}">
  <sheetPr codeName="Sheet7"/>
  <dimension ref="A1:CA20"/>
  <sheetViews>
    <sheetView zoomScale="118" workbookViewId="0">
      <selection activeCell="F7" sqref="F7"/>
    </sheetView>
  </sheetViews>
  <sheetFormatPr baseColWidth="10" defaultColWidth="11.1640625" defaultRowHeight="13" x14ac:dyDescent="0.15"/>
  <cols>
    <col min="1" max="10" width="11.1640625" style="195"/>
    <col min="11" max="11" width="14.33203125" style="195" bestFit="1" customWidth="1"/>
    <col min="12" max="12" width="19" style="195" customWidth="1"/>
    <col min="13" max="40" width="11.1640625" style="195"/>
    <col min="41" max="41" width="12.83203125" style="195" customWidth="1"/>
    <col min="42" max="16384" width="11.1640625" style="195"/>
  </cols>
  <sheetData>
    <row r="1" spans="1:79" ht="84" x14ac:dyDescent="0.15">
      <c r="A1" s="170" t="s">
        <v>137</v>
      </c>
      <c r="B1" s="170" t="s">
        <v>138</v>
      </c>
      <c r="C1" s="171" t="s">
        <v>139</v>
      </c>
      <c r="D1" s="172" t="s">
        <v>140</v>
      </c>
      <c r="E1" s="172" t="s">
        <v>141</v>
      </c>
      <c r="F1" s="172" t="s">
        <v>50</v>
      </c>
      <c r="G1" s="170" t="s">
        <v>51</v>
      </c>
      <c r="H1" s="173" t="s">
        <v>52</v>
      </c>
      <c r="I1" s="173" t="s">
        <v>53</v>
      </c>
      <c r="J1" s="173" t="s">
        <v>146</v>
      </c>
      <c r="K1" s="172" t="s">
        <v>147</v>
      </c>
      <c r="L1" s="174" t="s">
        <v>148</v>
      </c>
      <c r="M1" s="175" t="s">
        <v>201</v>
      </c>
      <c r="N1" s="176" t="s">
        <v>202</v>
      </c>
      <c r="O1" s="176" t="s">
        <v>203</v>
      </c>
      <c r="P1" s="176" t="s">
        <v>204</v>
      </c>
      <c r="Q1" s="176" t="s">
        <v>205</v>
      </c>
      <c r="R1" s="176" t="s">
        <v>157</v>
      </c>
      <c r="S1" s="176" t="s">
        <v>61</v>
      </c>
      <c r="T1" s="176" t="s">
        <v>62</v>
      </c>
      <c r="U1" s="176" t="s">
        <v>103</v>
      </c>
      <c r="V1" s="177" t="s">
        <v>3</v>
      </c>
      <c r="W1" s="178" t="s">
        <v>4</v>
      </c>
      <c r="X1" s="178" t="s">
        <v>5</v>
      </c>
      <c r="Y1" s="178" t="s">
        <v>104</v>
      </c>
      <c r="Z1" s="178" t="s">
        <v>105</v>
      </c>
      <c r="AA1" s="178" t="s">
        <v>106</v>
      </c>
      <c r="AB1" s="178" t="s">
        <v>107</v>
      </c>
      <c r="AC1" s="178" t="s">
        <v>108</v>
      </c>
      <c r="AD1" s="178" t="s">
        <v>95</v>
      </c>
      <c r="AE1" s="179" t="s">
        <v>96</v>
      </c>
      <c r="AF1" s="180" t="s">
        <v>97</v>
      </c>
      <c r="AG1" s="180" t="s">
        <v>98</v>
      </c>
      <c r="AH1" s="181" t="s">
        <v>99</v>
      </c>
      <c r="AI1" s="181" t="s">
        <v>27</v>
      </c>
      <c r="AJ1" s="181" t="s">
        <v>28</v>
      </c>
      <c r="AK1" s="181" t="s">
        <v>21</v>
      </c>
      <c r="AL1" s="182" t="s">
        <v>354</v>
      </c>
      <c r="AM1" s="183" t="s">
        <v>355</v>
      </c>
      <c r="AN1" s="183" t="s">
        <v>356</v>
      </c>
      <c r="AO1" s="184" t="s">
        <v>22</v>
      </c>
      <c r="AP1" s="185" t="s">
        <v>23</v>
      </c>
      <c r="AQ1" s="185" t="s">
        <v>24</v>
      </c>
      <c r="AR1" s="186" t="s">
        <v>25</v>
      </c>
      <c r="AS1" s="187" t="s">
        <v>26</v>
      </c>
      <c r="AT1" s="188" t="s">
        <v>59</v>
      </c>
      <c r="AU1" s="189" t="s">
        <v>357</v>
      </c>
      <c r="AV1" s="189" t="s">
        <v>358</v>
      </c>
      <c r="AW1" s="189" t="s">
        <v>359</v>
      </c>
      <c r="AX1" s="190" t="s">
        <v>60</v>
      </c>
      <c r="AY1" s="191" t="s">
        <v>128</v>
      </c>
      <c r="AZ1" s="192" t="s">
        <v>129</v>
      </c>
      <c r="BA1" s="193" t="s">
        <v>130</v>
      </c>
      <c r="BB1" s="192" t="s">
        <v>131</v>
      </c>
      <c r="BC1" s="193" t="s">
        <v>206</v>
      </c>
      <c r="BD1" s="192" t="s">
        <v>207</v>
      </c>
      <c r="BE1" s="193" t="s">
        <v>208</v>
      </c>
      <c r="BF1" s="192" t="s">
        <v>209</v>
      </c>
      <c r="BG1" s="194" t="s">
        <v>210</v>
      </c>
      <c r="BH1" s="192" t="s">
        <v>303</v>
      </c>
      <c r="BI1" s="194" t="s">
        <v>304</v>
      </c>
      <c r="BJ1" s="192" t="s">
        <v>211</v>
      </c>
      <c r="BK1" s="194" t="s">
        <v>212</v>
      </c>
      <c r="BL1" s="173" t="s">
        <v>176</v>
      </c>
      <c r="BM1" s="173" t="s">
        <v>170</v>
      </c>
      <c r="BN1" s="173" t="s">
        <v>171</v>
      </c>
      <c r="BO1" s="173" t="s">
        <v>172</v>
      </c>
      <c r="BP1" s="173" t="s">
        <v>305</v>
      </c>
      <c r="BQ1" s="173" t="s">
        <v>306</v>
      </c>
      <c r="BR1" s="173" t="s">
        <v>307</v>
      </c>
      <c r="BS1" s="173" t="s">
        <v>308</v>
      </c>
      <c r="BT1" s="171" t="s">
        <v>232</v>
      </c>
      <c r="BU1" s="171" t="s">
        <v>233</v>
      </c>
      <c r="BV1" s="173" t="s">
        <v>7</v>
      </c>
      <c r="BW1" s="173" t="s">
        <v>8</v>
      </c>
      <c r="BX1" s="171" t="s">
        <v>9</v>
      </c>
      <c r="BY1" s="173" t="s">
        <v>10</v>
      </c>
      <c r="BZ1" s="170" t="s">
        <v>153</v>
      </c>
    </row>
    <row r="2" spans="1:79" customFormat="1" x14ac:dyDescent="0.15">
      <c r="A2" s="231">
        <v>12919</v>
      </c>
      <c r="B2" s="232">
        <v>42567</v>
      </c>
      <c r="C2" s="233" t="s">
        <v>309</v>
      </c>
      <c r="D2" s="231" t="s">
        <v>310</v>
      </c>
      <c r="E2" s="231"/>
      <c r="F2" s="231" t="s">
        <v>311</v>
      </c>
      <c r="G2" s="232">
        <v>42551</v>
      </c>
      <c r="H2" s="234" t="s">
        <v>312</v>
      </c>
      <c r="I2" s="234" t="s">
        <v>313</v>
      </c>
      <c r="J2" s="234"/>
      <c r="K2" s="231" t="s">
        <v>314</v>
      </c>
      <c r="L2" s="231" t="s">
        <v>392</v>
      </c>
      <c r="M2" s="235">
        <v>89.75454545454545</v>
      </c>
      <c r="N2" s="235">
        <v>22.490909090909089</v>
      </c>
      <c r="O2" s="231"/>
      <c r="P2" s="231"/>
      <c r="Q2" s="235"/>
      <c r="R2" s="236"/>
      <c r="S2" s="235"/>
      <c r="T2" s="231"/>
      <c r="U2" s="235"/>
      <c r="V2" s="235"/>
      <c r="W2" s="235"/>
      <c r="X2" s="231"/>
      <c r="Y2" s="235"/>
      <c r="Z2" s="235"/>
      <c r="AA2" s="235"/>
      <c r="AB2" s="235"/>
      <c r="AC2" s="235"/>
      <c r="AD2" s="235"/>
      <c r="AE2" s="235"/>
      <c r="AF2" s="231"/>
      <c r="AG2" s="231"/>
      <c r="AH2" s="235"/>
      <c r="AI2" s="231"/>
      <c r="AJ2" s="231"/>
      <c r="AK2" s="235"/>
      <c r="AL2" s="231"/>
      <c r="AM2" s="235"/>
      <c r="AN2" s="235"/>
      <c r="AO2" s="231" t="s">
        <v>317</v>
      </c>
      <c r="AP2" s="234" t="s">
        <v>313</v>
      </c>
      <c r="AQ2" s="234"/>
      <c r="AR2" s="234"/>
      <c r="AS2" s="237"/>
      <c r="AT2" s="234">
        <v>8</v>
      </c>
      <c r="AU2" s="234"/>
      <c r="AV2" s="234"/>
      <c r="AW2" s="234"/>
      <c r="AX2" s="234" t="s">
        <v>318</v>
      </c>
      <c r="AY2" s="231"/>
      <c r="AZ2" s="234">
        <v>0</v>
      </c>
      <c r="BA2" s="234">
        <v>20</v>
      </c>
      <c r="BB2" s="234">
        <v>0</v>
      </c>
      <c r="BC2" s="234">
        <v>0</v>
      </c>
      <c r="BD2" s="234">
        <v>0</v>
      </c>
      <c r="BE2" s="234">
        <v>0</v>
      </c>
      <c r="BF2" s="234">
        <v>0</v>
      </c>
      <c r="BG2" s="234">
        <v>0</v>
      </c>
      <c r="BH2" s="234">
        <v>0</v>
      </c>
      <c r="BI2" s="234">
        <v>0</v>
      </c>
      <c r="BJ2" s="234">
        <v>0</v>
      </c>
      <c r="BK2" s="234">
        <v>0</v>
      </c>
      <c r="BL2" s="234">
        <v>12</v>
      </c>
      <c r="BM2" s="234" t="s">
        <v>313</v>
      </c>
      <c r="BN2" s="234">
        <v>12</v>
      </c>
      <c r="BO2" s="234" t="s">
        <v>313</v>
      </c>
      <c r="BP2" s="238"/>
      <c r="BQ2" s="234"/>
      <c r="BR2" s="234"/>
      <c r="BS2" s="234"/>
      <c r="BT2" s="231"/>
      <c r="BU2" s="231"/>
      <c r="BV2" s="234"/>
      <c r="BW2" s="234" t="s">
        <v>319</v>
      </c>
      <c r="BX2" s="234"/>
      <c r="BY2" s="231"/>
      <c r="BZ2" s="247" t="s">
        <v>296</v>
      </c>
      <c r="CA2" s="240" t="s">
        <v>297</v>
      </c>
    </row>
    <row r="3" spans="1:79" customFormat="1" x14ac:dyDescent="0.15">
      <c r="A3" s="231">
        <v>10278</v>
      </c>
      <c r="B3" s="232">
        <v>42566</v>
      </c>
      <c r="C3" s="233" t="s">
        <v>309</v>
      </c>
      <c r="D3" s="231" t="s">
        <v>310</v>
      </c>
      <c r="E3" s="231"/>
      <c r="F3" s="231" t="s">
        <v>311</v>
      </c>
      <c r="G3" s="232">
        <v>42551</v>
      </c>
      <c r="H3" s="234" t="s">
        <v>312</v>
      </c>
      <c r="I3" s="234" t="s">
        <v>313</v>
      </c>
      <c r="J3" s="234"/>
      <c r="K3" s="231" t="s">
        <v>321</v>
      </c>
      <c r="L3" s="231" t="s">
        <v>322</v>
      </c>
      <c r="M3" s="235">
        <v>80.799999999999983</v>
      </c>
      <c r="N3" s="235">
        <v>22.209090909090907</v>
      </c>
      <c r="O3" s="231"/>
      <c r="P3" s="231"/>
      <c r="Q3" s="235"/>
      <c r="R3" s="236"/>
      <c r="S3" s="235"/>
      <c r="T3" s="231"/>
      <c r="U3" s="235"/>
      <c r="V3" s="235"/>
      <c r="W3" s="235"/>
      <c r="X3" s="231"/>
      <c r="Y3" s="235"/>
      <c r="Z3" s="235"/>
      <c r="AA3" s="235"/>
      <c r="AB3" s="235"/>
      <c r="AC3" s="235"/>
      <c r="AD3" s="235"/>
      <c r="AE3" s="235"/>
      <c r="AF3" s="231"/>
      <c r="AG3" s="231"/>
      <c r="AH3" s="235"/>
      <c r="AI3" s="231"/>
      <c r="AJ3" s="231"/>
      <c r="AK3" s="235"/>
      <c r="AL3" s="231"/>
      <c r="AM3" s="235"/>
      <c r="AN3" s="235"/>
      <c r="AO3" s="231" t="s">
        <v>317</v>
      </c>
      <c r="AP3" s="234" t="s">
        <v>313</v>
      </c>
      <c r="AQ3" s="234"/>
      <c r="AR3" s="234"/>
      <c r="AS3" s="237"/>
      <c r="AT3" s="234">
        <v>10.5</v>
      </c>
      <c r="AU3" s="234"/>
      <c r="AV3" s="234"/>
      <c r="AW3" s="234"/>
      <c r="AX3" s="234" t="s">
        <v>318</v>
      </c>
      <c r="AY3" s="231"/>
      <c r="AZ3" s="234">
        <v>9</v>
      </c>
      <c r="BA3" s="234">
        <v>0</v>
      </c>
      <c r="BB3" s="234">
        <v>0</v>
      </c>
      <c r="BC3" s="234">
        <v>0</v>
      </c>
      <c r="BD3" s="234">
        <v>0</v>
      </c>
      <c r="BE3" s="234">
        <v>0</v>
      </c>
      <c r="BF3" s="234">
        <v>0</v>
      </c>
      <c r="BG3" s="234">
        <v>0</v>
      </c>
      <c r="BH3" s="234">
        <v>0</v>
      </c>
      <c r="BI3" s="234">
        <v>0</v>
      </c>
      <c r="BJ3" s="234">
        <v>0</v>
      </c>
      <c r="BK3" s="234">
        <v>0</v>
      </c>
      <c r="BL3" s="234"/>
      <c r="BM3" s="234" t="s">
        <v>313</v>
      </c>
      <c r="BN3" s="234">
        <v>12</v>
      </c>
      <c r="BO3" s="234" t="s">
        <v>313</v>
      </c>
      <c r="BP3" s="238"/>
      <c r="BQ3" s="234"/>
      <c r="BR3" s="234">
        <v>12</v>
      </c>
      <c r="BS3" s="234"/>
      <c r="BT3" s="231"/>
      <c r="BU3" s="231"/>
      <c r="BV3" s="234"/>
      <c r="BW3" s="234" t="s">
        <v>319</v>
      </c>
      <c r="BX3" s="234"/>
      <c r="BY3" s="231"/>
      <c r="BZ3" s="243" t="s">
        <v>370</v>
      </c>
      <c r="CA3" s="240" t="s">
        <v>297</v>
      </c>
    </row>
    <row r="4" spans="1:79" customFormat="1" x14ac:dyDescent="0.15">
      <c r="A4" s="231">
        <v>10584</v>
      </c>
      <c r="B4" s="232">
        <v>42566</v>
      </c>
      <c r="C4" s="233" t="s">
        <v>309</v>
      </c>
      <c r="D4" s="231" t="s">
        <v>310</v>
      </c>
      <c r="E4" s="231"/>
      <c r="F4" s="231" t="s">
        <v>311</v>
      </c>
      <c r="G4" s="245">
        <v>42551</v>
      </c>
      <c r="H4" s="234" t="s">
        <v>312</v>
      </c>
      <c r="I4" s="234" t="s">
        <v>324</v>
      </c>
      <c r="J4" s="234"/>
      <c r="K4" s="231" t="s">
        <v>325</v>
      </c>
      <c r="L4" s="231" t="s">
        <v>326</v>
      </c>
      <c r="M4" s="235">
        <v>90.236363636363635</v>
      </c>
      <c r="N4" s="235">
        <v>21.809090909090905</v>
      </c>
      <c r="O4" s="231"/>
      <c r="P4" s="231"/>
      <c r="Q4" s="235"/>
      <c r="R4" s="236"/>
      <c r="S4" s="235"/>
      <c r="T4" s="231"/>
      <c r="U4" s="235"/>
      <c r="V4" s="235"/>
      <c r="W4" s="235"/>
      <c r="X4" s="231"/>
      <c r="Y4" s="235"/>
      <c r="Z4" s="235"/>
      <c r="AA4" s="235"/>
      <c r="AB4" s="235"/>
      <c r="AC4" s="235"/>
      <c r="AD4" s="235"/>
      <c r="AE4" s="235"/>
      <c r="AF4" s="231"/>
      <c r="AG4" s="231"/>
      <c r="AH4" s="235"/>
      <c r="AI4" s="231"/>
      <c r="AJ4" s="231"/>
      <c r="AK4" s="235"/>
      <c r="AL4" s="231"/>
      <c r="AM4" s="235"/>
      <c r="AN4" s="235"/>
      <c r="AO4" s="231" t="s">
        <v>317</v>
      </c>
      <c r="AP4" s="234" t="s">
        <v>313</v>
      </c>
      <c r="AQ4" s="234"/>
      <c r="AR4" s="234"/>
      <c r="AS4" s="237">
        <v>10</v>
      </c>
      <c r="AT4" s="234">
        <v>11</v>
      </c>
      <c r="AU4" s="234"/>
      <c r="AV4" s="234"/>
      <c r="AW4" s="234"/>
      <c r="AX4" s="234" t="s">
        <v>318</v>
      </c>
      <c r="AY4" s="231"/>
      <c r="AZ4" s="234">
        <v>0</v>
      </c>
      <c r="BA4" s="234">
        <v>0</v>
      </c>
      <c r="BB4" s="234">
        <v>0</v>
      </c>
      <c r="BC4" s="234">
        <v>0</v>
      </c>
      <c r="BD4" s="234">
        <v>0</v>
      </c>
      <c r="BE4" s="234">
        <v>0</v>
      </c>
      <c r="BF4" s="234">
        <v>0</v>
      </c>
      <c r="BG4" s="234">
        <v>0</v>
      </c>
      <c r="BH4" s="234">
        <v>0</v>
      </c>
      <c r="BI4" s="234">
        <v>0</v>
      </c>
      <c r="BJ4" s="234">
        <v>0</v>
      </c>
      <c r="BK4" s="234">
        <v>0</v>
      </c>
      <c r="BL4" s="234"/>
      <c r="BM4" s="234" t="s">
        <v>313</v>
      </c>
      <c r="BN4" s="234">
        <v>12</v>
      </c>
      <c r="BO4" s="234" t="s">
        <v>313</v>
      </c>
      <c r="BP4" s="238"/>
      <c r="BQ4" s="234"/>
      <c r="BR4" s="234"/>
      <c r="BS4" s="234"/>
      <c r="BT4" s="240"/>
      <c r="BU4" s="240"/>
      <c r="BV4" s="234"/>
      <c r="BW4" s="234" t="s">
        <v>327</v>
      </c>
      <c r="BX4" s="234"/>
      <c r="BY4" s="240" t="s">
        <v>373</v>
      </c>
      <c r="BZ4" s="244" t="s">
        <v>374</v>
      </c>
      <c r="CA4" s="231" t="s">
        <v>297</v>
      </c>
    </row>
    <row r="5" spans="1:79" customFormat="1" x14ac:dyDescent="0.15">
      <c r="A5" s="231">
        <v>11600</v>
      </c>
      <c r="B5" s="232">
        <v>42566</v>
      </c>
      <c r="C5" s="233" t="s">
        <v>309</v>
      </c>
      <c r="D5" s="231" t="s">
        <v>310</v>
      </c>
      <c r="E5" s="231"/>
      <c r="F5" s="231" t="s">
        <v>311</v>
      </c>
      <c r="G5" s="245">
        <v>42551</v>
      </c>
      <c r="H5" s="234" t="s">
        <v>312</v>
      </c>
      <c r="I5" s="234" t="s">
        <v>313</v>
      </c>
      <c r="J5" s="234"/>
      <c r="K5" s="231" t="s">
        <v>353</v>
      </c>
      <c r="L5" s="231" t="s">
        <v>388</v>
      </c>
      <c r="M5" s="235">
        <v>88.499999999999986</v>
      </c>
      <c r="N5" s="235">
        <v>19.709090909090907</v>
      </c>
      <c r="O5" s="231"/>
      <c r="P5" s="231"/>
      <c r="Q5" s="235"/>
      <c r="R5" s="236"/>
      <c r="S5" s="235"/>
      <c r="T5" s="231"/>
      <c r="U5" s="235"/>
      <c r="V5" s="235"/>
      <c r="W5" s="235"/>
      <c r="X5" s="231"/>
      <c r="Y5" s="235"/>
      <c r="Z5" s="235"/>
      <c r="AA5" s="235"/>
      <c r="AB5" s="235"/>
      <c r="AC5" s="235"/>
      <c r="AD5" s="235"/>
      <c r="AE5" s="235"/>
      <c r="AF5" s="231"/>
      <c r="AG5" s="231"/>
      <c r="AH5" s="235"/>
      <c r="AI5" s="231"/>
      <c r="AJ5" s="231"/>
      <c r="AK5" s="235"/>
      <c r="AL5" s="231"/>
      <c r="AM5" s="235"/>
      <c r="AN5" s="235"/>
      <c r="AO5" s="231" t="s">
        <v>317</v>
      </c>
      <c r="AP5" s="234" t="s">
        <v>313</v>
      </c>
      <c r="AQ5" s="234"/>
      <c r="AR5" s="234"/>
      <c r="AS5" s="237"/>
      <c r="AT5" s="234">
        <v>9.4</v>
      </c>
      <c r="AU5" s="234"/>
      <c r="AV5" s="234"/>
      <c r="AW5" s="234"/>
      <c r="AX5" s="234" t="s">
        <v>318</v>
      </c>
      <c r="AY5" s="231"/>
      <c r="AZ5" s="234">
        <v>0</v>
      </c>
      <c r="BA5" s="234">
        <v>0</v>
      </c>
      <c r="BB5" s="234">
        <v>0</v>
      </c>
      <c r="BC5" s="234">
        <v>0</v>
      </c>
      <c r="BD5" s="234">
        <v>0</v>
      </c>
      <c r="BE5" s="234">
        <v>0</v>
      </c>
      <c r="BF5" s="234">
        <v>0</v>
      </c>
      <c r="BG5" s="234">
        <v>0</v>
      </c>
      <c r="BH5" s="234">
        <v>0</v>
      </c>
      <c r="BI5" s="234">
        <v>0</v>
      </c>
      <c r="BJ5" s="234">
        <v>0</v>
      </c>
      <c r="BK5" s="234">
        <v>0</v>
      </c>
      <c r="BL5" s="234"/>
      <c r="BM5" s="234" t="s">
        <v>313</v>
      </c>
      <c r="BN5" s="234"/>
      <c r="BO5" s="234" t="s">
        <v>313</v>
      </c>
      <c r="BP5" s="238"/>
      <c r="BQ5" s="234"/>
      <c r="BR5" s="234"/>
      <c r="BS5" s="234"/>
      <c r="BT5" s="240"/>
      <c r="BU5" s="240"/>
      <c r="BV5" s="234"/>
      <c r="BW5" s="234" t="s">
        <v>327</v>
      </c>
      <c r="BX5" s="234"/>
      <c r="BY5" s="240"/>
      <c r="BZ5" s="167" t="s">
        <v>389</v>
      </c>
      <c r="CA5" s="231" t="s">
        <v>297</v>
      </c>
    </row>
    <row r="6" spans="1:79" customFormat="1" x14ac:dyDescent="0.15">
      <c r="A6" s="231">
        <v>10944</v>
      </c>
      <c r="B6" s="232">
        <v>42566</v>
      </c>
      <c r="C6" s="233" t="s">
        <v>309</v>
      </c>
      <c r="D6" s="231" t="s">
        <v>310</v>
      </c>
      <c r="E6" s="231"/>
      <c r="F6" s="231" t="s">
        <v>311</v>
      </c>
      <c r="G6" s="232">
        <v>42475</v>
      </c>
      <c r="H6" s="234" t="s">
        <v>312</v>
      </c>
      <c r="I6" s="234" t="s">
        <v>313</v>
      </c>
      <c r="J6" s="234"/>
      <c r="K6" s="231" t="s">
        <v>364</v>
      </c>
      <c r="L6" s="231" t="s">
        <v>365</v>
      </c>
      <c r="M6" s="235">
        <v>44.999999999999993</v>
      </c>
      <c r="N6" s="235">
        <v>22.27272727272727</v>
      </c>
      <c r="O6" s="231"/>
      <c r="P6" s="231"/>
      <c r="Q6" s="235"/>
      <c r="R6" s="236"/>
      <c r="S6" s="235"/>
      <c r="T6" s="231"/>
      <c r="U6" s="235"/>
      <c r="V6" s="235"/>
      <c r="W6" s="235"/>
      <c r="X6" s="231"/>
      <c r="Y6" s="235"/>
      <c r="Z6" s="235"/>
      <c r="AA6" s="235"/>
      <c r="AB6" s="235"/>
      <c r="AC6" s="235"/>
      <c r="AD6" s="235"/>
      <c r="AE6" s="235"/>
      <c r="AF6" s="231"/>
      <c r="AG6" s="231"/>
      <c r="AH6" s="235"/>
      <c r="AI6" s="231"/>
      <c r="AJ6" s="231"/>
      <c r="AK6" s="235"/>
      <c r="AL6" s="231"/>
      <c r="AM6" s="235"/>
      <c r="AN6" s="235"/>
      <c r="AO6" s="231" t="s">
        <v>317</v>
      </c>
      <c r="AP6" s="234" t="s">
        <v>313</v>
      </c>
      <c r="AQ6" s="234"/>
      <c r="AR6" s="234"/>
      <c r="AS6" s="237"/>
      <c r="AT6" s="234">
        <v>16</v>
      </c>
      <c r="AU6" s="234"/>
      <c r="AV6" s="234"/>
      <c r="AW6" s="234"/>
      <c r="AX6" s="234" t="s">
        <v>318</v>
      </c>
      <c r="AY6" s="231"/>
      <c r="AZ6" s="234">
        <v>0</v>
      </c>
      <c r="BA6" s="234">
        <v>0</v>
      </c>
      <c r="BB6" s="234">
        <v>0</v>
      </c>
      <c r="BC6" s="234">
        <v>0</v>
      </c>
      <c r="BD6" s="234">
        <v>0</v>
      </c>
      <c r="BE6" s="234">
        <v>0</v>
      </c>
      <c r="BF6" s="234">
        <v>0</v>
      </c>
      <c r="BG6" s="234">
        <v>0</v>
      </c>
      <c r="BH6" s="234">
        <v>0</v>
      </c>
      <c r="BI6" s="234">
        <v>0</v>
      </c>
      <c r="BJ6" s="234">
        <v>0</v>
      </c>
      <c r="BK6" s="234">
        <v>0</v>
      </c>
      <c r="BL6" s="234"/>
      <c r="BM6" s="234" t="s">
        <v>313</v>
      </c>
      <c r="BN6" s="234"/>
      <c r="BO6" s="234" t="s">
        <v>313</v>
      </c>
      <c r="BP6" s="238">
        <v>174.43636363636361</v>
      </c>
      <c r="BQ6" s="234"/>
      <c r="BR6" s="234"/>
      <c r="BS6" s="239">
        <v>42551</v>
      </c>
      <c r="BT6" s="231"/>
      <c r="BU6" s="240"/>
      <c r="BV6" s="234"/>
      <c r="BW6" s="234" t="s">
        <v>319</v>
      </c>
      <c r="BX6" s="234"/>
      <c r="BY6" s="240" t="s">
        <v>366</v>
      </c>
      <c r="BZ6" s="241" t="s">
        <v>367</v>
      </c>
      <c r="CA6" s="240" t="s">
        <v>297</v>
      </c>
    </row>
    <row r="7" spans="1:79" customFormat="1" x14ac:dyDescent="0.15">
      <c r="A7" s="231">
        <v>10059</v>
      </c>
      <c r="B7" s="232">
        <v>42570</v>
      </c>
      <c r="C7" s="233" t="s">
        <v>309</v>
      </c>
      <c r="D7" s="231" t="s">
        <v>310</v>
      </c>
      <c r="E7" s="231"/>
      <c r="F7" s="231" t="s">
        <v>311</v>
      </c>
      <c r="G7" s="232">
        <v>42565</v>
      </c>
      <c r="H7" s="234" t="s">
        <v>337</v>
      </c>
      <c r="I7" s="234" t="s">
        <v>324</v>
      </c>
      <c r="J7" s="234"/>
      <c r="K7" s="231" t="s">
        <v>381</v>
      </c>
      <c r="L7" s="231" t="s">
        <v>382</v>
      </c>
      <c r="M7" s="235">
        <v>92.499999999999986</v>
      </c>
      <c r="N7" s="235">
        <v>17.827272727272724</v>
      </c>
      <c r="O7" s="231"/>
      <c r="P7" s="231"/>
      <c r="Q7" s="235"/>
      <c r="R7" s="236"/>
      <c r="S7" s="235"/>
      <c r="T7" s="231"/>
      <c r="U7" s="235"/>
      <c r="V7" s="235"/>
      <c r="W7" s="235"/>
      <c r="X7" s="231"/>
      <c r="Y7" s="235"/>
      <c r="Z7" s="235"/>
      <c r="AA7" s="235"/>
      <c r="AB7" s="235"/>
      <c r="AC7" s="235"/>
      <c r="AD7" s="235"/>
      <c r="AE7" s="235"/>
      <c r="AF7" s="231"/>
      <c r="AG7" s="231"/>
      <c r="AH7" s="235"/>
      <c r="AI7" s="231"/>
      <c r="AJ7" s="231"/>
      <c r="AK7" s="235"/>
      <c r="AL7" s="231"/>
      <c r="AM7" s="235"/>
      <c r="AN7" s="235"/>
      <c r="AO7" s="231" t="s">
        <v>317</v>
      </c>
      <c r="AP7" s="234" t="s">
        <v>313</v>
      </c>
      <c r="AQ7" s="234"/>
      <c r="AR7" s="234"/>
      <c r="AS7" s="234"/>
      <c r="AT7" s="234">
        <v>7</v>
      </c>
      <c r="AU7" s="234"/>
      <c r="AV7" s="234"/>
      <c r="AW7" s="234"/>
      <c r="AX7" s="234" t="s">
        <v>313</v>
      </c>
      <c r="AY7" s="231"/>
      <c r="AZ7" s="234">
        <v>0</v>
      </c>
      <c r="BA7" s="234">
        <v>0</v>
      </c>
      <c r="BB7" s="234">
        <v>0</v>
      </c>
      <c r="BC7" s="234">
        <v>0</v>
      </c>
      <c r="BD7" s="234">
        <v>0</v>
      </c>
      <c r="BE7" s="234">
        <v>0</v>
      </c>
      <c r="BF7" s="234">
        <v>0</v>
      </c>
      <c r="BG7" s="234">
        <v>0</v>
      </c>
      <c r="BH7" s="234">
        <v>0</v>
      </c>
      <c r="BI7" s="234">
        <v>0</v>
      </c>
      <c r="BJ7" s="234">
        <v>0</v>
      </c>
      <c r="BK7" s="234">
        <v>0</v>
      </c>
      <c r="BL7" s="234"/>
      <c r="BM7" s="234" t="s">
        <v>313</v>
      </c>
      <c r="BN7" s="234"/>
      <c r="BO7" s="234" t="s">
        <v>313</v>
      </c>
      <c r="BP7" s="238">
        <v>35.454545454545453</v>
      </c>
      <c r="BQ7" s="234"/>
      <c r="BR7" s="234"/>
      <c r="BS7" s="234"/>
      <c r="BT7" s="231"/>
      <c r="BU7" s="231"/>
      <c r="BV7" s="234"/>
      <c r="BW7" s="234" t="s">
        <v>319</v>
      </c>
      <c r="BX7" s="234">
        <v>1</v>
      </c>
      <c r="BY7" s="231" t="s">
        <v>383</v>
      </c>
      <c r="BZ7" s="246" t="s">
        <v>384</v>
      </c>
      <c r="CA7" s="240" t="s">
        <v>281</v>
      </c>
    </row>
    <row r="8" spans="1:79" customFormat="1" x14ac:dyDescent="0.15">
      <c r="A8" s="231">
        <v>8656</v>
      </c>
      <c r="B8" s="232">
        <v>42567</v>
      </c>
      <c r="C8" s="233" t="s">
        <v>309</v>
      </c>
      <c r="D8" s="231" t="s">
        <v>310</v>
      </c>
      <c r="E8" s="231"/>
      <c r="F8" s="231" t="s">
        <v>341</v>
      </c>
      <c r="G8" s="232">
        <v>42551</v>
      </c>
      <c r="H8" s="234" t="s">
        <v>312</v>
      </c>
      <c r="I8" s="234" t="s">
        <v>313</v>
      </c>
      <c r="J8" s="234"/>
      <c r="K8" s="231" t="s">
        <v>314</v>
      </c>
      <c r="L8" s="231" t="s">
        <v>393</v>
      </c>
      <c r="M8" s="235">
        <v>112</v>
      </c>
      <c r="N8" s="235">
        <v>21.454545454545453</v>
      </c>
      <c r="O8" s="231" t="s">
        <v>343</v>
      </c>
      <c r="P8" s="231">
        <v>5500</v>
      </c>
      <c r="Q8" s="235">
        <v>21.999999999999996</v>
      </c>
      <c r="R8" s="236"/>
      <c r="S8" s="235"/>
      <c r="T8" s="231"/>
      <c r="U8" s="235"/>
      <c r="V8" s="235"/>
      <c r="W8" s="235"/>
      <c r="X8" s="231"/>
      <c r="Y8" s="235"/>
      <c r="Z8" s="235"/>
      <c r="AA8" s="235"/>
      <c r="AB8" s="235"/>
      <c r="AC8" s="235"/>
      <c r="AD8" s="235"/>
      <c r="AE8" s="235"/>
      <c r="AF8" s="231"/>
      <c r="AG8" s="231"/>
      <c r="AH8" s="235"/>
      <c r="AI8" s="231"/>
      <c r="AJ8" s="231"/>
      <c r="AK8" s="235"/>
      <c r="AL8" s="231"/>
      <c r="AM8" s="235"/>
      <c r="AN8" s="235"/>
      <c r="AO8" s="231" t="s">
        <v>344</v>
      </c>
      <c r="AP8" s="234" t="s">
        <v>313</v>
      </c>
      <c r="AQ8" s="234"/>
      <c r="AR8" s="234"/>
      <c r="AS8" s="237"/>
      <c r="AT8" s="234">
        <v>8</v>
      </c>
      <c r="AU8" s="234"/>
      <c r="AV8" s="234"/>
      <c r="AW8" s="234"/>
      <c r="AX8" s="234" t="s">
        <v>318</v>
      </c>
      <c r="AY8" s="231"/>
      <c r="AZ8" s="234">
        <v>0</v>
      </c>
      <c r="BA8" s="234">
        <v>0</v>
      </c>
      <c r="BB8" s="234">
        <v>0</v>
      </c>
      <c r="BC8" s="234">
        <v>0</v>
      </c>
      <c r="BD8" s="234">
        <v>0</v>
      </c>
      <c r="BE8" s="234">
        <v>0</v>
      </c>
      <c r="BF8" s="234">
        <v>0</v>
      </c>
      <c r="BG8" s="234">
        <v>0</v>
      </c>
      <c r="BH8" s="234">
        <v>0</v>
      </c>
      <c r="BI8" s="234">
        <v>0</v>
      </c>
      <c r="BJ8" s="234">
        <v>0</v>
      </c>
      <c r="BK8" s="234">
        <v>0</v>
      </c>
      <c r="BL8" s="234"/>
      <c r="BM8" s="234" t="s">
        <v>313</v>
      </c>
      <c r="BN8" s="234"/>
      <c r="BO8" s="234" t="s">
        <v>313</v>
      </c>
      <c r="BP8" s="238"/>
      <c r="BQ8" s="234"/>
      <c r="BR8" s="234"/>
      <c r="BS8" s="234"/>
      <c r="BT8" s="231"/>
      <c r="BU8" s="231"/>
      <c r="BV8" s="234"/>
      <c r="BW8" s="234" t="s">
        <v>319</v>
      </c>
      <c r="BX8" s="234"/>
      <c r="BY8" s="231"/>
      <c r="BZ8" s="244" t="s">
        <v>394</v>
      </c>
      <c r="CA8" s="240" t="s">
        <v>297</v>
      </c>
    </row>
    <row r="9" spans="1:79" customFormat="1" x14ac:dyDescent="0.15">
      <c r="A9" s="231">
        <v>10585</v>
      </c>
      <c r="B9" s="232">
        <v>42566</v>
      </c>
      <c r="C9" s="233" t="s">
        <v>309</v>
      </c>
      <c r="D9" s="231" t="s">
        <v>310</v>
      </c>
      <c r="E9" s="231"/>
      <c r="F9" s="231" t="s">
        <v>341</v>
      </c>
      <c r="G9" s="245">
        <v>42551</v>
      </c>
      <c r="H9" s="234" t="s">
        <v>312</v>
      </c>
      <c r="I9" s="234" t="s">
        <v>324</v>
      </c>
      <c r="J9" s="234"/>
      <c r="K9" s="231" t="s">
        <v>325</v>
      </c>
      <c r="L9" s="231" t="s">
        <v>326</v>
      </c>
      <c r="M9" s="235">
        <v>112.75454545454545</v>
      </c>
      <c r="N9" s="235">
        <v>19.77272727272727</v>
      </c>
      <c r="O9" s="231" t="s">
        <v>343</v>
      </c>
      <c r="P9" s="231">
        <v>5500</v>
      </c>
      <c r="Q9" s="235">
        <v>21.454545454545453</v>
      </c>
      <c r="R9" s="236"/>
      <c r="S9" s="235"/>
      <c r="T9" s="231"/>
      <c r="U9" s="235"/>
      <c r="V9" s="235"/>
      <c r="W9" s="235"/>
      <c r="X9" s="231"/>
      <c r="Y9" s="235"/>
      <c r="Z9" s="235"/>
      <c r="AA9" s="235"/>
      <c r="AB9" s="235"/>
      <c r="AC9" s="235"/>
      <c r="AD9" s="235"/>
      <c r="AE9" s="235"/>
      <c r="AF9" s="231"/>
      <c r="AG9" s="231"/>
      <c r="AH9" s="235"/>
      <c r="AI9" s="231"/>
      <c r="AJ9" s="231"/>
      <c r="AK9" s="235"/>
      <c r="AL9" s="231"/>
      <c r="AM9" s="235"/>
      <c r="AN9" s="235"/>
      <c r="AO9" s="231" t="s">
        <v>344</v>
      </c>
      <c r="AP9" s="234" t="s">
        <v>313</v>
      </c>
      <c r="AQ9" s="234"/>
      <c r="AR9" s="234"/>
      <c r="AS9" s="237">
        <v>10</v>
      </c>
      <c r="AT9" s="234">
        <v>11</v>
      </c>
      <c r="AU9" s="234"/>
      <c r="AV9" s="234"/>
      <c r="AW9" s="234"/>
      <c r="AX9" s="234" t="s">
        <v>318</v>
      </c>
      <c r="AY9" s="231"/>
      <c r="AZ9" s="234">
        <v>0</v>
      </c>
      <c r="BA9" s="234">
        <v>0</v>
      </c>
      <c r="BB9" s="234">
        <v>0</v>
      </c>
      <c r="BC9" s="234">
        <v>0</v>
      </c>
      <c r="BD9" s="234">
        <v>0</v>
      </c>
      <c r="BE9" s="234">
        <v>0</v>
      </c>
      <c r="BF9" s="234">
        <v>0</v>
      </c>
      <c r="BG9" s="234">
        <v>0</v>
      </c>
      <c r="BH9" s="234">
        <v>0</v>
      </c>
      <c r="BI9" s="234">
        <v>0</v>
      </c>
      <c r="BJ9" s="234">
        <v>0</v>
      </c>
      <c r="BK9" s="234">
        <v>0</v>
      </c>
      <c r="BL9" s="234"/>
      <c r="BM9" s="234" t="s">
        <v>313</v>
      </c>
      <c r="BN9" s="234">
        <v>12</v>
      </c>
      <c r="BO9" s="234" t="s">
        <v>313</v>
      </c>
      <c r="BP9" s="238"/>
      <c r="BQ9" s="234"/>
      <c r="BR9" s="234"/>
      <c r="BS9" s="234"/>
      <c r="BT9" s="240"/>
      <c r="BU9" s="240"/>
      <c r="BV9" s="234"/>
      <c r="BW9" s="234" t="s">
        <v>327</v>
      </c>
      <c r="BX9" s="234"/>
      <c r="BY9" s="240" t="s">
        <v>373</v>
      </c>
      <c r="BZ9" s="244" t="s">
        <v>375</v>
      </c>
      <c r="CA9" s="231" t="s">
        <v>297</v>
      </c>
    </row>
    <row r="10" spans="1:79" customFormat="1" x14ac:dyDescent="0.15">
      <c r="A10" s="231">
        <v>12920</v>
      </c>
      <c r="B10" s="232">
        <v>42567</v>
      </c>
      <c r="C10" s="233" t="s">
        <v>309</v>
      </c>
      <c r="D10" s="231" t="s">
        <v>310</v>
      </c>
      <c r="E10" s="231"/>
      <c r="F10" s="231" t="s">
        <v>345</v>
      </c>
      <c r="G10" s="232">
        <v>42551</v>
      </c>
      <c r="H10" s="234" t="s">
        <v>312</v>
      </c>
      <c r="I10" s="234" t="s">
        <v>313</v>
      </c>
      <c r="J10" s="234"/>
      <c r="K10" s="231" t="s">
        <v>314</v>
      </c>
      <c r="L10" s="231" t="s">
        <v>392</v>
      </c>
      <c r="M10" s="235">
        <v>89.75454545454545</v>
      </c>
      <c r="N10" s="235">
        <v>22.490909090909089</v>
      </c>
      <c r="O10" s="231"/>
      <c r="P10" s="231"/>
      <c r="Q10" s="235"/>
      <c r="R10" s="236"/>
      <c r="S10" s="235"/>
      <c r="T10" s="231"/>
      <c r="U10" s="235"/>
      <c r="V10" s="235"/>
      <c r="W10" s="235"/>
      <c r="X10" s="231"/>
      <c r="Y10" s="235"/>
      <c r="Z10" s="235"/>
      <c r="AA10" s="235"/>
      <c r="AB10" s="235"/>
      <c r="AC10" s="235"/>
      <c r="AD10" s="235"/>
      <c r="AE10" s="235">
        <v>14.099999999999998</v>
      </c>
      <c r="AF10" s="231"/>
      <c r="AG10" s="231"/>
      <c r="AH10" s="235"/>
      <c r="AI10" s="231"/>
      <c r="AJ10" s="231"/>
      <c r="AK10" s="235"/>
      <c r="AL10" s="231"/>
      <c r="AM10" s="235"/>
      <c r="AN10" s="235"/>
      <c r="AO10" s="231" t="s">
        <v>346</v>
      </c>
      <c r="AP10" s="234" t="s">
        <v>313</v>
      </c>
      <c r="AQ10" s="234"/>
      <c r="AR10" s="234"/>
      <c r="AS10" s="237"/>
      <c r="AT10" s="234">
        <v>8</v>
      </c>
      <c r="AU10" s="234"/>
      <c r="AV10" s="234"/>
      <c r="AW10" s="234"/>
      <c r="AX10" s="234" t="s">
        <v>318</v>
      </c>
      <c r="AY10" s="231"/>
      <c r="AZ10" s="234">
        <v>0</v>
      </c>
      <c r="BA10" s="234">
        <v>20</v>
      </c>
      <c r="BB10" s="234">
        <v>0</v>
      </c>
      <c r="BC10" s="234">
        <v>0</v>
      </c>
      <c r="BD10" s="234">
        <v>0</v>
      </c>
      <c r="BE10" s="234">
        <v>0</v>
      </c>
      <c r="BF10" s="234">
        <v>0</v>
      </c>
      <c r="BG10" s="234">
        <v>0</v>
      </c>
      <c r="BH10" s="234">
        <v>0</v>
      </c>
      <c r="BI10" s="234">
        <v>0</v>
      </c>
      <c r="BJ10" s="234">
        <v>0</v>
      </c>
      <c r="BK10" s="234">
        <v>0</v>
      </c>
      <c r="BL10" s="234">
        <v>12</v>
      </c>
      <c r="BM10" s="234" t="s">
        <v>313</v>
      </c>
      <c r="BN10" s="234">
        <v>12</v>
      </c>
      <c r="BO10" s="234" t="s">
        <v>313</v>
      </c>
      <c r="BP10" s="238"/>
      <c r="BQ10" s="234"/>
      <c r="BR10" s="234"/>
      <c r="BS10" s="234"/>
      <c r="BT10" s="231"/>
      <c r="BU10" s="231"/>
      <c r="BV10" s="234"/>
      <c r="BW10" s="234" t="s">
        <v>319</v>
      </c>
      <c r="BX10" s="234"/>
      <c r="BY10" s="231"/>
      <c r="BZ10" s="247" t="s">
        <v>296</v>
      </c>
      <c r="CA10" s="240" t="s">
        <v>297</v>
      </c>
    </row>
    <row r="11" spans="1:79" customFormat="1" x14ac:dyDescent="0.15">
      <c r="A11" s="231">
        <v>10279</v>
      </c>
      <c r="B11" s="232">
        <v>42566</v>
      </c>
      <c r="C11" s="233" t="s">
        <v>309</v>
      </c>
      <c r="D11" s="231" t="s">
        <v>310</v>
      </c>
      <c r="E11" s="231"/>
      <c r="F11" s="231" t="s">
        <v>345</v>
      </c>
      <c r="G11" s="232">
        <v>42551</v>
      </c>
      <c r="H11" s="234" t="s">
        <v>312</v>
      </c>
      <c r="I11" s="234" t="s">
        <v>313</v>
      </c>
      <c r="J11" s="234"/>
      <c r="K11" s="231" t="s">
        <v>321</v>
      </c>
      <c r="L11" s="231" t="s">
        <v>322</v>
      </c>
      <c r="M11" s="235">
        <v>80.799999999999983</v>
      </c>
      <c r="N11" s="235">
        <v>22.209090909090907</v>
      </c>
      <c r="O11" s="231"/>
      <c r="P11" s="231"/>
      <c r="Q11" s="235"/>
      <c r="R11" s="236"/>
      <c r="S11" s="235"/>
      <c r="T11" s="231"/>
      <c r="U11" s="235"/>
      <c r="V11" s="235"/>
      <c r="W11" s="235"/>
      <c r="X11" s="231"/>
      <c r="Y11" s="235"/>
      <c r="Z11" s="235"/>
      <c r="AA11" s="235"/>
      <c r="AB11" s="235"/>
      <c r="AC11" s="235"/>
      <c r="AD11" s="235"/>
      <c r="AE11" s="235">
        <v>11.609090909090908</v>
      </c>
      <c r="AF11" s="231"/>
      <c r="AG11" s="231"/>
      <c r="AH11" s="235"/>
      <c r="AI11" s="231"/>
      <c r="AJ11" s="231"/>
      <c r="AK11" s="235"/>
      <c r="AL11" s="231"/>
      <c r="AM11" s="235"/>
      <c r="AN11" s="235"/>
      <c r="AO11" s="231" t="s">
        <v>346</v>
      </c>
      <c r="AP11" s="234" t="s">
        <v>313</v>
      </c>
      <c r="AQ11" s="234"/>
      <c r="AR11" s="234"/>
      <c r="AS11" s="237"/>
      <c r="AT11" s="234">
        <v>10.5</v>
      </c>
      <c r="AU11" s="234"/>
      <c r="AV11" s="234"/>
      <c r="AW11" s="234"/>
      <c r="AX11" s="234" t="s">
        <v>318</v>
      </c>
      <c r="AY11" s="231"/>
      <c r="AZ11" s="234">
        <v>9</v>
      </c>
      <c r="BA11" s="234">
        <v>0</v>
      </c>
      <c r="BB11" s="234">
        <v>0</v>
      </c>
      <c r="BC11" s="234">
        <v>0</v>
      </c>
      <c r="BD11" s="234">
        <v>0</v>
      </c>
      <c r="BE11" s="234">
        <v>0</v>
      </c>
      <c r="BF11" s="234">
        <v>0</v>
      </c>
      <c r="BG11" s="234">
        <v>0</v>
      </c>
      <c r="BH11" s="234">
        <v>0</v>
      </c>
      <c r="BI11" s="234">
        <v>0</v>
      </c>
      <c r="BJ11" s="234">
        <v>0</v>
      </c>
      <c r="BK11" s="234">
        <v>0</v>
      </c>
      <c r="BL11" s="234"/>
      <c r="BM11" s="234" t="s">
        <v>313</v>
      </c>
      <c r="BN11" s="234">
        <v>12</v>
      </c>
      <c r="BO11" s="234" t="s">
        <v>313</v>
      </c>
      <c r="BP11" s="238"/>
      <c r="BQ11" s="234"/>
      <c r="BR11" s="234">
        <v>12</v>
      </c>
      <c r="BS11" s="234"/>
      <c r="BT11" s="231"/>
      <c r="BU11" s="231"/>
      <c r="BV11" s="234"/>
      <c r="BW11" s="234" t="s">
        <v>319</v>
      </c>
      <c r="BX11" s="234"/>
      <c r="BY11" s="231"/>
      <c r="BZ11" s="244" t="s">
        <v>371</v>
      </c>
      <c r="CA11" s="240" t="s">
        <v>297</v>
      </c>
    </row>
    <row r="12" spans="1:79" customFormat="1" x14ac:dyDescent="0.15">
      <c r="A12" s="231">
        <v>12707</v>
      </c>
      <c r="B12" s="232">
        <v>42566</v>
      </c>
      <c r="C12" s="233" t="s">
        <v>309</v>
      </c>
      <c r="D12" s="231" t="s">
        <v>310</v>
      </c>
      <c r="E12" s="231"/>
      <c r="F12" s="231" t="s">
        <v>376</v>
      </c>
      <c r="G12" s="245">
        <v>42551</v>
      </c>
      <c r="H12" s="234" t="s">
        <v>312</v>
      </c>
      <c r="I12" s="234" t="s">
        <v>324</v>
      </c>
      <c r="J12" s="234"/>
      <c r="K12" s="231" t="s">
        <v>325</v>
      </c>
      <c r="L12" s="231" t="s">
        <v>326</v>
      </c>
      <c r="M12" s="235">
        <v>90.236363636363635</v>
      </c>
      <c r="N12" s="235">
        <v>21.809090909090905</v>
      </c>
      <c r="O12" s="231"/>
      <c r="P12" s="231"/>
      <c r="Q12" s="235"/>
      <c r="R12" s="236"/>
      <c r="S12" s="235"/>
      <c r="T12" s="231"/>
      <c r="U12" s="235"/>
      <c r="V12" s="235"/>
      <c r="W12" s="235"/>
      <c r="X12" s="231"/>
      <c r="Y12" s="235"/>
      <c r="Z12" s="235"/>
      <c r="AA12" s="235"/>
      <c r="AB12" s="235"/>
      <c r="AC12" s="235"/>
      <c r="AD12" s="235"/>
      <c r="AE12" s="235">
        <v>12.981818181818181</v>
      </c>
      <c r="AF12" s="231"/>
      <c r="AG12" s="231"/>
      <c r="AH12" s="235"/>
      <c r="AI12" s="231"/>
      <c r="AJ12" s="231"/>
      <c r="AK12" s="235"/>
      <c r="AL12" s="231"/>
      <c r="AM12" s="235"/>
      <c r="AN12" s="235"/>
      <c r="AO12" s="231" t="s">
        <v>377</v>
      </c>
      <c r="AP12" s="234" t="s">
        <v>313</v>
      </c>
      <c r="AQ12" s="234"/>
      <c r="AR12" s="234"/>
      <c r="AS12" s="237">
        <v>10</v>
      </c>
      <c r="AT12" s="234">
        <v>11</v>
      </c>
      <c r="AU12" s="234"/>
      <c r="AV12" s="234"/>
      <c r="AW12" s="234"/>
      <c r="AX12" s="234" t="s">
        <v>318</v>
      </c>
      <c r="AY12" s="231"/>
      <c r="AZ12" s="234">
        <v>0</v>
      </c>
      <c r="BA12" s="234">
        <v>0</v>
      </c>
      <c r="BB12" s="234">
        <v>0</v>
      </c>
      <c r="BC12" s="234">
        <v>0</v>
      </c>
      <c r="BD12" s="234">
        <v>0</v>
      </c>
      <c r="BE12" s="234">
        <v>0</v>
      </c>
      <c r="BF12" s="234">
        <v>0</v>
      </c>
      <c r="BG12" s="234">
        <v>0</v>
      </c>
      <c r="BH12" s="234">
        <v>0</v>
      </c>
      <c r="BI12" s="234">
        <v>0</v>
      </c>
      <c r="BJ12" s="234">
        <v>0</v>
      </c>
      <c r="BK12" s="234">
        <v>0</v>
      </c>
      <c r="BL12" s="234"/>
      <c r="BM12" s="234" t="s">
        <v>313</v>
      </c>
      <c r="BN12" s="234">
        <v>12</v>
      </c>
      <c r="BO12" s="234" t="s">
        <v>313</v>
      </c>
      <c r="BP12" s="238"/>
      <c r="BQ12" s="234"/>
      <c r="BR12" s="234"/>
      <c r="BS12" s="234"/>
      <c r="BT12" s="240"/>
      <c r="BU12" s="240"/>
      <c r="BV12" s="234"/>
      <c r="BW12" s="234" t="s">
        <v>327</v>
      </c>
      <c r="BX12" s="234"/>
      <c r="BY12" s="240" t="s">
        <v>373</v>
      </c>
      <c r="BZ12" s="244" t="s">
        <v>296</v>
      </c>
      <c r="CA12" s="231" t="s">
        <v>297</v>
      </c>
    </row>
    <row r="13" spans="1:79" customFormat="1" x14ac:dyDescent="0.15">
      <c r="A13" s="231">
        <v>11602</v>
      </c>
      <c r="B13" s="232">
        <v>42566</v>
      </c>
      <c r="C13" s="233" t="s">
        <v>309</v>
      </c>
      <c r="D13" s="231" t="s">
        <v>310</v>
      </c>
      <c r="E13" s="231"/>
      <c r="F13" s="231" t="s">
        <v>345</v>
      </c>
      <c r="G13" s="245">
        <v>42551</v>
      </c>
      <c r="H13" s="234" t="s">
        <v>312</v>
      </c>
      <c r="I13" s="234" t="s">
        <v>313</v>
      </c>
      <c r="J13" s="234"/>
      <c r="K13" s="231" t="s">
        <v>353</v>
      </c>
      <c r="L13" s="231" t="s">
        <v>388</v>
      </c>
      <c r="M13" s="235">
        <v>88.499999999999986</v>
      </c>
      <c r="N13" s="235">
        <v>19.709090909090907</v>
      </c>
      <c r="O13" s="231"/>
      <c r="P13" s="231"/>
      <c r="Q13" s="235"/>
      <c r="R13" s="236"/>
      <c r="S13" s="235"/>
      <c r="T13" s="231"/>
      <c r="U13" s="235"/>
      <c r="V13" s="235"/>
      <c r="W13" s="235"/>
      <c r="X13" s="231"/>
      <c r="Y13" s="235"/>
      <c r="Z13" s="235"/>
      <c r="AA13" s="235"/>
      <c r="AB13" s="235"/>
      <c r="AC13" s="235"/>
      <c r="AD13" s="235"/>
      <c r="AE13" s="235">
        <v>12.827272727272726</v>
      </c>
      <c r="AF13" s="231"/>
      <c r="AG13" s="231"/>
      <c r="AH13" s="235"/>
      <c r="AI13" s="231"/>
      <c r="AJ13" s="231"/>
      <c r="AK13" s="235"/>
      <c r="AL13" s="231"/>
      <c r="AM13" s="235"/>
      <c r="AN13" s="235"/>
      <c r="AO13" s="231" t="s">
        <v>346</v>
      </c>
      <c r="AP13" s="234" t="s">
        <v>313</v>
      </c>
      <c r="AQ13" s="234"/>
      <c r="AR13" s="234"/>
      <c r="AS13" s="237"/>
      <c r="AT13" s="234">
        <v>9.4</v>
      </c>
      <c r="AU13" s="234"/>
      <c r="AV13" s="234"/>
      <c r="AW13" s="234"/>
      <c r="AX13" s="234" t="s">
        <v>318</v>
      </c>
      <c r="AY13" s="231"/>
      <c r="AZ13" s="234">
        <v>0</v>
      </c>
      <c r="BA13" s="234">
        <v>0</v>
      </c>
      <c r="BB13" s="234">
        <v>0</v>
      </c>
      <c r="BC13" s="234">
        <v>0</v>
      </c>
      <c r="BD13" s="234">
        <v>0</v>
      </c>
      <c r="BE13" s="234">
        <v>0</v>
      </c>
      <c r="BF13" s="234">
        <v>0</v>
      </c>
      <c r="BG13" s="234">
        <v>0</v>
      </c>
      <c r="BH13" s="234">
        <v>0</v>
      </c>
      <c r="BI13" s="234">
        <v>0</v>
      </c>
      <c r="BJ13" s="234">
        <v>0</v>
      </c>
      <c r="BK13" s="234">
        <v>0</v>
      </c>
      <c r="BL13" s="234"/>
      <c r="BM13" s="234" t="s">
        <v>313</v>
      </c>
      <c r="BN13" s="234"/>
      <c r="BO13" s="234" t="s">
        <v>313</v>
      </c>
      <c r="BP13" s="238"/>
      <c r="BQ13" s="234"/>
      <c r="BR13" s="234"/>
      <c r="BS13" s="234"/>
      <c r="BT13" s="240"/>
      <c r="BU13" s="240"/>
      <c r="BV13" s="234"/>
      <c r="BW13" s="234" t="s">
        <v>327</v>
      </c>
      <c r="BX13" s="234"/>
      <c r="BY13" s="240"/>
      <c r="BZ13" s="167" t="s">
        <v>390</v>
      </c>
      <c r="CA13" s="231" t="s">
        <v>297</v>
      </c>
    </row>
    <row r="14" spans="1:79" customFormat="1" x14ac:dyDescent="0.15">
      <c r="A14" s="231">
        <v>10945</v>
      </c>
      <c r="B14" s="232">
        <v>42566</v>
      </c>
      <c r="C14" s="233" t="s">
        <v>309</v>
      </c>
      <c r="D14" s="231" t="s">
        <v>310</v>
      </c>
      <c r="E14" s="231"/>
      <c r="F14" s="231" t="s">
        <v>345</v>
      </c>
      <c r="G14" s="232">
        <v>42475</v>
      </c>
      <c r="H14" s="234" t="s">
        <v>312</v>
      </c>
      <c r="I14" s="234" t="s">
        <v>313</v>
      </c>
      <c r="J14" s="234"/>
      <c r="K14" s="231" t="s">
        <v>364</v>
      </c>
      <c r="L14" s="231" t="s">
        <v>365</v>
      </c>
      <c r="M14" s="235">
        <v>44.999999999999993</v>
      </c>
      <c r="N14" s="235">
        <v>22.27272727272727</v>
      </c>
      <c r="O14" s="231"/>
      <c r="P14" s="231"/>
      <c r="Q14" s="235"/>
      <c r="R14" s="236"/>
      <c r="S14" s="235"/>
      <c r="T14" s="231"/>
      <c r="U14" s="235"/>
      <c r="V14" s="235"/>
      <c r="W14" s="235"/>
      <c r="X14" s="231"/>
      <c r="Y14" s="235"/>
      <c r="Z14" s="235"/>
      <c r="AA14" s="235"/>
      <c r="AB14" s="235"/>
      <c r="AC14" s="235"/>
      <c r="AD14" s="235"/>
      <c r="AE14" s="235">
        <v>16.818181818181817</v>
      </c>
      <c r="AF14" s="231"/>
      <c r="AG14" s="231"/>
      <c r="AH14" s="235"/>
      <c r="AI14" s="231"/>
      <c r="AJ14" s="231"/>
      <c r="AK14" s="235"/>
      <c r="AL14" s="231"/>
      <c r="AM14" s="235"/>
      <c r="AN14" s="235"/>
      <c r="AO14" s="231" t="s">
        <v>346</v>
      </c>
      <c r="AP14" s="234" t="s">
        <v>313</v>
      </c>
      <c r="AQ14" s="234"/>
      <c r="AR14" s="234"/>
      <c r="AS14" s="237"/>
      <c r="AT14" s="234">
        <v>16</v>
      </c>
      <c r="AU14" s="234"/>
      <c r="AV14" s="234"/>
      <c r="AW14" s="234"/>
      <c r="AX14" s="234" t="s">
        <v>318</v>
      </c>
      <c r="AY14" s="231"/>
      <c r="AZ14" s="234">
        <v>0</v>
      </c>
      <c r="BA14" s="234">
        <v>0</v>
      </c>
      <c r="BB14" s="234">
        <v>0</v>
      </c>
      <c r="BC14" s="234">
        <v>0</v>
      </c>
      <c r="BD14" s="234">
        <v>0</v>
      </c>
      <c r="BE14" s="234">
        <v>0</v>
      </c>
      <c r="BF14" s="234">
        <v>0</v>
      </c>
      <c r="BG14" s="234">
        <v>0</v>
      </c>
      <c r="BH14" s="234">
        <v>0</v>
      </c>
      <c r="BI14" s="234">
        <v>0</v>
      </c>
      <c r="BJ14" s="234">
        <v>0</v>
      </c>
      <c r="BK14" s="234">
        <v>0</v>
      </c>
      <c r="BL14" s="234"/>
      <c r="BM14" s="234" t="s">
        <v>313</v>
      </c>
      <c r="BN14" s="234"/>
      <c r="BO14" s="234" t="s">
        <v>313</v>
      </c>
      <c r="BP14" s="238">
        <v>174.43636363636361</v>
      </c>
      <c r="BQ14" s="234"/>
      <c r="BR14" s="234"/>
      <c r="BS14" s="239">
        <v>42551</v>
      </c>
      <c r="BT14" s="231"/>
      <c r="BU14" s="240"/>
      <c r="BV14" s="234"/>
      <c r="BW14" s="234" t="s">
        <v>319</v>
      </c>
      <c r="BX14" s="234"/>
      <c r="BY14" s="240" t="s">
        <v>366</v>
      </c>
      <c r="BZ14" s="241" t="s">
        <v>368</v>
      </c>
      <c r="CA14" s="240" t="s">
        <v>297</v>
      </c>
    </row>
    <row r="15" spans="1:79" customFormat="1" x14ac:dyDescent="0.15">
      <c r="A15" s="231">
        <v>12922</v>
      </c>
      <c r="B15" s="232">
        <v>42567</v>
      </c>
      <c r="C15" s="233" t="s">
        <v>309</v>
      </c>
      <c r="D15" s="231" t="s">
        <v>310</v>
      </c>
      <c r="E15" s="231"/>
      <c r="F15" s="231" t="s">
        <v>349</v>
      </c>
      <c r="G15" s="232">
        <v>42551</v>
      </c>
      <c r="H15" s="234" t="s">
        <v>312</v>
      </c>
      <c r="I15" s="234" t="s">
        <v>313</v>
      </c>
      <c r="J15" s="234"/>
      <c r="K15" s="231" t="s">
        <v>314</v>
      </c>
      <c r="L15" s="231" t="s">
        <v>392</v>
      </c>
      <c r="M15" s="235">
        <v>89.75454545454545</v>
      </c>
      <c r="N15" s="235">
        <v>29.75454545454545</v>
      </c>
      <c r="O15" s="231"/>
      <c r="P15" s="231"/>
      <c r="Q15" s="235"/>
      <c r="R15" s="236"/>
      <c r="S15" s="235"/>
      <c r="T15" s="231"/>
      <c r="U15" s="235"/>
      <c r="V15" s="235"/>
      <c r="W15" s="235">
        <v>16.999999999999996</v>
      </c>
      <c r="X15" s="231"/>
      <c r="Y15" s="235"/>
      <c r="Z15" s="235"/>
      <c r="AA15" s="235"/>
      <c r="AB15" s="235"/>
      <c r="AC15" s="235"/>
      <c r="AD15" s="235"/>
      <c r="AE15" s="235"/>
      <c r="AF15" s="231"/>
      <c r="AG15" s="231"/>
      <c r="AH15" s="235">
        <v>21.099999999999998</v>
      </c>
      <c r="AI15" s="231"/>
      <c r="AJ15" s="231"/>
      <c r="AK15" s="235"/>
      <c r="AL15" s="231"/>
      <c r="AM15" s="235"/>
      <c r="AN15" s="235"/>
      <c r="AO15" s="231" t="s">
        <v>350</v>
      </c>
      <c r="AP15" s="234" t="s">
        <v>313</v>
      </c>
      <c r="AQ15" s="234"/>
      <c r="AR15" s="234"/>
      <c r="AS15" s="237"/>
      <c r="AT15" s="234">
        <v>8</v>
      </c>
      <c r="AU15" s="234"/>
      <c r="AV15" s="234"/>
      <c r="AW15" s="234"/>
      <c r="AX15" s="234" t="s">
        <v>318</v>
      </c>
      <c r="AY15" s="231"/>
      <c r="AZ15" s="234">
        <v>0</v>
      </c>
      <c r="BA15" s="234">
        <v>20</v>
      </c>
      <c r="BB15" s="234">
        <v>0</v>
      </c>
      <c r="BC15" s="234">
        <v>0</v>
      </c>
      <c r="BD15" s="234">
        <v>0</v>
      </c>
      <c r="BE15" s="234">
        <v>0</v>
      </c>
      <c r="BF15" s="234">
        <v>0</v>
      </c>
      <c r="BG15" s="234">
        <v>0</v>
      </c>
      <c r="BH15" s="234">
        <v>0</v>
      </c>
      <c r="BI15" s="234">
        <v>0</v>
      </c>
      <c r="BJ15" s="234">
        <v>0</v>
      </c>
      <c r="BK15" s="234">
        <v>0</v>
      </c>
      <c r="BL15" s="234">
        <v>12</v>
      </c>
      <c r="BM15" s="234" t="s">
        <v>313</v>
      </c>
      <c r="BN15" s="234">
        <v>12</v>
      </c>
      <c r="BO15" s="234" t="s">
        <v>313</v>
      </c>
      <c r="BP15" s="238"/>
      <c r="BQ15" s="234"/>
      <c r="BR15" s="234"/>
      <c r="BS15" s="234"/>
      <c r="BT15" s="231"/>
      <c r="BU15" s="231"/>
      <c r="BV15" s="234"/>
      <c r="BW15" s="234" t="s">
        <v>319</v>
      </c>
      <c r="BX15" s="234"/>
      <c r="BY15" s="231"/>
      <c r="BZ15" s="247" t="s">
        <v>296</v>
      </c>
      <c r="CA15" s="240" t="s">
        <v>297</v>
      </c>
    </row>
    <row r="16" spans="1:79" customFormat="1" x14ac:dyDescent="0.15">
      <c r="A16" s="231">
        <v>10281</v>
      </c>
      <c r="B16" s="232">
        <v>42566</v>
      </c>
      <c r="C16" s="233" t="s">
        <v>309</v>
      </c>
      <c r="D16" s="231" t="s">
        <v>310</v>
      </c>
      <c r="E16" s="231"/>
      <c r="F16" s="231" t="s">
        <v>349</v>
      </c>
      <c r="G16" s="232">
        <v>42551</v>
      </c>
      <c r="H16" s="234" t="s">
        <v>312</v>
      </c>
      <c r="I16" s="234" t="s">
        <v>313</v>
      </c>
      <c r="J16" s="234"/>
      <c r="K16" s="231" t="s">
        <v>321</v>
      </c>
      <c r="L16" s="231" t="s">
        <v>322</v>
      </c>
      <c r="M16" s="235">
        <v>74.899999999999991</v>
      </c>
      <c r="N16" s="235">
        <v>26.963636363636361</v>
      </c>
      <c r="O16" s="231"/>
      <c r="P16" s="231"/>
      <c r="Q16" s="235"/>
      <c r="R16" s="236"/>
      <c r="S16" s="235"/>
      <c r="T16" s="231"/>
      <c r="U16" s="235"/>
      <c r="V16" s="235"/>
      <c r="W16" s="235">
        <v>13.681818181818182</v>
      </c>
      <c r="X16" s="231"/>
      <c r="Y16" s="235"/>
      <c r="Z16" s="235"/>
      <c r="AA16" s="235"/>
      <c r="AB16" s="235"/>
      <c r="AC16" s="235"/>
      <c r="AD16" s="235"/>
      <c r="AE16" s="235"/>
      <c r="AF16" s="231"/>
      <c r="AG16" s="231"/>
      <c r="AH16" s="235">
        <v>18.281818181818181</v>
      </c>
      <c r="AI16" s="231"/>
      <c r="AJ16" s="231"/>
      <c r="AK16" s="235"/>
      <c r="AL16" s="231"/>
      <c r="AM16" s="235"/>
      <c r="AN16" s="235"/>
      <c r="AO16" s="231" t="s">
        <v>350</v>
      </c>
      <c r="AP16" s="234" t="s">
        <v>313</v>
      </c>
      <c r="AQ16" s="234"/>
      <c r="AR16" s="234"/>
      <c r="AS16" s="237"/>
      <c r="AT16" s="234">
        <v>10.5</v>
      </c>
      <c r="AU16" s="234"/>
      <c r="AV16" s="234"/>
      <c r="AW16" s="234"/>
      <c r="AX16" s="234" t="s">
        <v>318</v>
      </c>
      <c r="AY16" s="231"/>
      <c r="AZ16" s="234">
        <v>9</v>
      </c>
      <c r="BA16" s="234">
        <v>0</v>
      </c>
      <c r="BB16" s="234">
        <v>0</v>
      </c>
      <c r="BC16" s="234">
        <v>0</v>
      </c>
      <c r="BD16" s="234">
        <v>0</v>
      </c>
      <c r="BE16" s="234">
        <v>0</v>
      </c>
      <c r="BF16" s="234">
        <v>0</v>
      </c>
      <c r="BG16" s="234">
        <v>0</v>
      </c>
      <c r="BH16" s="234">
        <v>0</v>
      </c>
      <c r="BI16" s="234">
        <v>0</v>
      </c>
      <c r="BJ16" s="234">
        <v>0</v>
      </c>
      <c r="BK16" s="234">
        <v>0</v>
      </c>
      <c r="BL16" s="234"/>
      <c r="BM16" s="234" t="s">
        <v>313</v>
      </c>
      <c r="BN16" s="234">
        <v>12</v>
      </c>
      <c r="BO16" s="234" t="s">
        <v>313</v>
      </c>
      <c r="BP16" s="238"/>
      <c r="BQ16" s="234"/>
      <c r="BR16" s="234">
        <v>12</v>
      </c>
      <c r="BS16" s="234"/>
      <c r="BT16" s="231"/>
      <c r="BU16" s="231"/>
      <c r="BV16" s="234"/>
      <c r="BW16" s="234" t="s">
        <v>319</v>
      </c>
      <c r="BX16" s="234"/>
      <c r="BY16" s="231"/>
      <c r="BZ16" s="243" t="s">
        <v>372</v>
      </c>
      <c r="CA16" s="240" t="s">
        <v>297</v>
      </c>
    </row>
    <row r="17" spans="1:79" customFormat="1" x14ac:dyDescent="0.15">
      <c r="A17" s="231">
        <v>10770</v>
      </c>
      <c r="B17" s="232">
        <v>42566</v>
      </c>
      <c r="C17" s="233" t="s">
        <v>309</v>
      </c>
      <c r="D17" s="231" t="s">
        <v>310</v>
      </c>
      <c r="E17" s="231"/>
      <c r="F17" s="231" t="s">
        <v>349</v>
      </c>
      <c r="G17" s="245">
        <v>42551</v>
      </c>
      <c r="H17" s="234" t="s">
        <v>312</v>
      </c>
      <c r="I17" s="234" t="s">
        <v>313</v>
      </c>
      <c r="J17" s="234"/>
      <c r="K17" s="231" t="s">
        <v>325</v>
      </c>
      <c r="L17" s="231" t="s">
        <v>378</v>
      </c>
      <c r="M17" s="235">
        <v>90.236363636363635</v>
      </c>
      <c r="N17" s="235">
        <v>28.072727272727271</v>
      </c>
      <c r="O17" s="231"/>
      <c r="P17" s="231"/>
      <c r="Q17" s="235"/>
      <c r="R17" s="236"/>
      <c r="S17" s="235"/>
      <c r="T17" s="231"/>
      <c r="U17" s="235"/>
      <c r="V17" s="235"/>
      <c r="W17" s="235">
        <v>15.654545454545453</v>
      </c>
      <c r="X17" s="231"/>
      <c r="Y17" s="235"/>
      <c r="Z17" s="235"/>
      <c r="AA17" s="235"/>
      <c r="AB17" s="235"/>
      <c r="AC17" s="235"/>
      <c r="AD17" s="235"/>
      <c r="AE17" s="235"/>
      <c r="AF17" s="231"/>
      <c r="AG17" s="231"/>
      <c r="AH17" s="235">
        <v>19.936363636363634</v>
      </c>
      <c r="AI17" s="231"/>
      <c r="AJ17" s="231"/>
      <c r="AK17" s="235"/>
      <c r="AL17" s="231"/>
      <c r="AM17" s="235"/>
      <c r="AN17" s="235"/>
      <c r="AO17" s="231" t="s">
        <v>350</v>
      </c>
      <c r="AP17" s="234" t="s">
        <v>313</v>
      </c>
      <c r="AQ17" s="234"/>
      <c r="AR17" s="234"/>
      <c r="AS17" s="237">
        <v>10</v>
      </c>
      <c r="AT17" s="234">
        <v>7</v>
      </c>
      <c r="AU17" s="234"/>
      <c r="AV17" s="234"/>
      <c r="AW17" s="234"/>
      <c r="AX17" s="234" t="s">
        <v>318</v>
      </c>
      <c r="AY17" s="231"/>
      <c r="AZ17" s="234">
        <v>0</v>
      </c>
      <c r="BA17" s="234">
        <v>0</v>
      </c>
      <c r="BB17" s="234">
        <v>0</v>
      </c>
      <c r="BC17" s="234">
        <v>0</v>
      </c>
      <c r="BD17" s="234">
        <v>0</v>
      </c>
      <c r="BE17" s="234">
        <v>0</v>
      </c>
      <c r="BF17" s="234">
        <v>0</v>
      </c>
      <c r="BG17" s="234">
        <v>0</v>
      </c>
      <c r="BH17" s="234">
        <v>0</v>
      </c>
      <c r="BI17" s="234">
        <v>15</v>
      </c>
      <c r="BJ17" s="234">
        <v>0</v>
      </c>
      <c r="BK17" s="234">
        <v>0</v>
      </c>
      <c r="BL17" s="234"/>
      <c r="BM17" s="234" t="s">
        <v>313</v>
      </c>
      <c r="BN17" s="234">
        <v>12</v>
      </c>
      <c r="BO17" s="234" t="s">
        <v>313</v>
      </c>
      <c r="BP17" s="238"/>
      <c r="BQ17" s="234"/>
      <c r="BR17" s="234"/>
      <c r="BS17" s="234"/>
      <c r="BT17" s="240"/>
      <c r="BU17" s="240"/>
      <c r="BV17" s="234"/>
      <c r="BW17" s="234" t="s">
        <v>327</v>
      </c>
      <c r="BX17" s="234"/>
      <c r="BY17" s="240" t="s">
        <v>379</v>
      </c>
      <c r="BZ17" s="244" t="s">
        <v>380</v>
      </c>
      <c r="CA17" s="231" t="s">
        <v>297</v>
      </c>
    </row>
    <row r="18" spans="1:79" customFormat="1" x14ac:dyDescent="0.15">
      <c r="A18" s="231">
        <v>11604</v>
      </c>
      <c r="B18" s="232">
        <v>42566</v>
      </c>
      <c r="C18" s="233" t="s">
        <v>309</v>
      </c>
      <c r="D18" s="231" t="s">
        <v>310</v>
      </c>
      <c r="E18" s="231"/>
      <c r="F18" s="231" t="s">
        <v>349</v>
      </c>
      <c r="G18" s="245">
        <v>42551</v>
      </c>
      <c r="H18" s="234" t="s">
        <v>312</v>
      </c>
      <c r="I18" s="234" t="s">
        <v>313</v>
      </c>
      <c r="J18" s="234"/>
      <c r="K18" s="231" t="s">
        <v>353</v>
      </c>
      <c r="L18" s="231" t="s">
        <v>388</v>
      </c>
      <c r="M18" s="235">
        <v>88.499999999999986</v>
      </c>
      <c r="N18" s="235">
        <v>24.290909090909089</v>
      </c>
      <c r="O18" s="231"/>
      <c r="P18" s="231"/>
      <c r="Q18" s="235"/>
      <c r="R18" s="236"/>
      <c r="S18" s="235"/>
      <c r="T18" s="231"/>
      <c r="U18" s="235"/>
      <c r="V18" s="235"/>
      <c r="W18" s="235">
        <v>15.172727272727272</v>
      </c>
      <c r="X18" s="231"/>
      <c r="Y18" s="235"/>
      <c r="Z18" s="235"/>
      <c r="AA18" s="235"/>
      <c r="AB18" s="235"/>
      <c r="AC18" s="235"/>
      <c r="AD18" s="235"/>
      <c r="AE18" s="235"/>
      <c r="AF18" s="231"/>
      <c r="AG18" s="231"/>
      <c r="AH18" s="235">
        <v>19.290909090909089</v>
      </c>
      <c r="AI18" s="231"/>
      <c r="AJ18" s="231"/>
      <c r="AK18" s="235"/>
      <c r="AL18" s="231"/>
      <c r="AM18" s="235"/>
      <c r="AN18" s="235"/>
      <c r="AO18" s="231" t="s">
        <v>350</v>
      </c>
      <c r="AP18" s="234" t="s">
        <v>313</v>
      </c>
      <c r="AQ18" s="234"/>
      <c r="AR18" s="234"/>
      <c r="AS18" s="237"/>
      <c r="AT18" s="234">
        <v>9.4</v>
      </c>
      <c r="AU18" s="234"/>
      <c r="AV18" s="234"/>
      <c r="AW18" s="234"/>
      <c r="AX18" s="234" t="s">
        <v>318</v>
      </c>
      <c r="AY18" s="231"/>
      <c r="AZ18" s="234">
        <v>0</v>
      </c>
      <c r="BA18" s="234">
        <v>0</v>
      </c>
      <c r="BB18" s="234">
        <v>0</v>
      </c>
      <c r="BC18" s="234">
        <v>0</v>
      </c>
      <c r="BD18" s="234">
        <v>0</v>
      </c>
      <c r="BE18" s="234">
        <v>0</v>
      </c>
      <c r="BF18" s="234">
        <v>0</v>
      </c>
      <c r="BG18" s="234">
        <v>0</v>
      </c>
      <c r="BH18" s="234">
        <v>0</v>
      </c>
      <c r="BI18" s="234">
        <v>0</v>
      </c>
      <c r="BJ18" s="234">
        <v>0</v>
      </c>
      <c r="BK18" s="234">
        <v>0</v>
      </c>
      <c r="BL18" s="234"/>
      <c r="BM18" s="234" t="s">
        <v>313</v>
      </c>
      <c r="BN18" s="234"/>
      <c r="BO18" s="234" t="s">
        <v>313</v>
      </c>
      <c r="BP18" s="238"/>
      <c r="BQ18" s="234"/>
      <c r="BR18" s="234"/>
      <c r="BS18" s="234"/>
      <c r="BT18" s="240"/>
      <c r="BU18" s="240"/>
      <c r="BV18" s="234"/>
      <c r="BW18" s="234" t="s">
        <v>327</v>
      </c>
      <c r="BX18" s="234"/>
      <c r="BY18" s="240"/>
      <c r="BZ18" s="167" t="s">
        <v>391</v>
      </c>
      <c r="CA18" s="231" t="s">
        <v>297</v>
      </c>
    </row>
    <row r="19" spans="1:79" customFormat="1" x14ac:dyDescent="0.15">
      <c r="A19" s="231">
        <v>10947</v>
      </c>
      <c r="B19" s="232">
        <v>42566</v>
      </c>
      <c r="C19" s="233" t="s">
        <v>309</v>
      </c>
      <c r="D19" s="231" t="s">
        <v>310</v>
      </c>
      <c r="E19" s="231"/>
      <c r="F19" s="231" t="s">
        <v>349</v>
      </c>
      <c r="G19" s="232">
        <v>42475</v>
      </c>
      <c r="H19" s="234" t="s">
        <v>312</v>
      </c>
      <c r="I19" s="234" t="s">
        <v>313</v>
      </c>
      <c r="J19" s="234"/>
      <c r="K19" s="231" t="s">
        <v>364</v>
      </c>
      <c r="L19" s="231" t="s">
        <v>365</v>
      </c>
      <c r="M19" s="235">
        <v>44.999999999999993</v>
      </c>
      <c r="N19" s="235">
        <v>28.636363636363633</v>
      </c>
      <c r="O19" s="231"/>
      <c r="P19" s="231"/>
      <c r="Q19" s="235"/>
      <c r="R19" s="236"/>
      <c r="S19" s="235"/>
      <c r="T19" s="231"/>
      <c r="U19" s="235"/>
      <c r="V19" s="235"/>
      <c r="W19" s="235">
        <v>17.727272727272727</v>
      </c>
      <c r="X19" s="231"/>
      <c r="Y19" s="235"/>
      <c r="Z19" s="235"/>
      <c r="AA19" s="235"/>
      <c r="AB19" s="235"/>
      <c r="AC19" s="235"/>
      <c r="AD19" s="235"/>
      <c r="AE19" s="235"/>
      <c r="AF19" s="231"/>
      <c r="AG19" s="231"/>
      <c r="AH19" s="235">
        <v>20.909090909090907</v>
      </c>
      <c r="AI19" s="231"/>
      <c r="AJ19" s="231"/>
      <c r="AK19" s="235"/>
      <c r="AL19" s="231"/>
      <c r="AM19" s="235"/>
      <c r="AN19" s="235"/>
      <c r="AO19" s="231" t="s">
        <v>350</v>
      </c>
      <c r="AP19" s="234" t="s">
        <v>313</v>
      </c>
      <c r="AQ19" s="234"/>
      <c r="AR19" s="234"/>
      <c r="AS19" s="237"/>
      <c r="AT19" s="234">
        <v>16</v>
      </c>
      <c r="AU19" s="234"/>
      <c r="AV19" s="234"/>
      <c r="AW19" s="234"/>
      <c r="AX19" s="234" t="s">
        <v>318</v>
      </c>
      <c r="AY19" s="231"/>
      <c r="AZ19" s="234">
        <v>0</v>
      </c>
      <c r="BA19" s="234">
        <v>0</v>
      </c>
      <c r="BB19" s="234">
        <v>0</v>
      </c>
      <c r="BC19" s="234">
        <v>0</v>
      </c>
      <c r="BD19" s="234">
        <v>0</v>
      </c>
      <c r="BE19" s="234">
        <v>0</v>
      </c>
      <c r="BF19" s="234">
        <v>0</v>
      </c>
      <c r="BG19" s="234">
        <v>0</v>
      </c>
      <c r="BH19" s="234">
        <v>0</v>
      </c>
      <c r="BI19" s="234">
        <v>0</v>
      </c>
      <c r="BJ19" s="234">
        <v>0</v>
      </c>
      <c r="BK19" s="234">
        <v>0</v>
      </c>
      <c r="BL19" s="234"/>
      <c r="BM19" s="234" t="s">
        <v>313</v>
      </c>
      <c r="BN19" s="234"/>
      <c r="BO19" s="234" t="s">
        <v>313</v>
      </c>
      <c r="BP19" s="238">
        <v>174.43636363636361</v>
      </c>
      <c r="BQ19" s="234"/>
      <c r="BR19" s="234"/>
      <c r="BS19" s="239">
        <v>42551</v>
      </c>
      <c r="BT19" s="231"/>
      <c r="BU19" s="240"/>
      <c r="BV19" s="234"/>
      <c r="BW19" s="234" t="s">
        <v>319</v>
      </c>
      <c r="BX19" s="234"/>
      <c r="BY19" s="242" t="s">
        <v>366</v>
      </c>
      <c r="BZ19" s="241" t="s">
        <v>369</v>
      </c>
      <c r="CA19" s="240" t="s">
        <v>297</v>
      </c>
    </row>
    <row r="20" spans="1:79" customFormat="1" x14ac:dyDescent="0.15">
      <c r="A20" s="231">
        <v>13270</v>
      </c>
      <c r="B20" s="232">
        <v>42570</v>
      </c>
      <c r="C20" s="233" t="s">
        <v>309</v>
      </c>
      <c r="D20" s="231" t="s">
        <v>310</v>
      </c>
      <c r="E20" s="231"/>
      <c r="F20" s="231" t="s">
        <v>385</v>
      </c>
      <c r="G20" s="232">
        <v>42565</v>
      </c>
      <c r="H20" s="234" t="s">
        <v>337</v>
      </c>
      <c r="I20" s="234" t="s">
        <v>324</v>
      </c>
      <c r="J20" s="234"/>
      <c r="K20" s="231" t="s">
        <v>381</v>
      </c>
      <c r="L20" s="231" t="s">
        <v>382</v>
      </c>
      <c r="M20" s="235">
        <v>92.499999999999986</v>
      </c>
      <c r="N20" s="235">
        <v>24.209090909090907</v>
      </c>
      <c r="O20" s="231"/>
      <c r="P20" s="231"/>
      <c r="Q20" s="235"/>
      <c r="R20" s="236"/>
      <c r="S20" s="235"/>
      <c r="T20" s="231"/>
      <c r="U20" s="235"/>
      <c r="V20" s="235"/>
      <c r="W20" s="235">
        <v>12.981818181818181</v>
      </c>
      <c r="X20" s="231"/>
      <c r="Y20" s="235"/>
      <c r="Z20" s="235"/>
      <c r="AA20" s="235"/>
      <c r="AB20" s="235"/>
      <c r="AC20" s="235"/>
      <c r="AD20" s="235"/>
      <c r="AE20" s="235"/>
      <c r="AF20" s="231"/>
      <c r="AG20" s="231"/>
      <c r="AH20" s="235">
        <v>16.318181818181817</v>
      </c>
      <c r="AI20" s="231"/>
      <c r="AJ20" s="231"/>
      <c r="AK20" s="235"/>
      <c r="AL20" s="231"/>
      <c r="AM20" s="235"/>
      <c r="AN20" s="235"/>
      <c r="AO20" s="231" t="s">
        <v>386</v>
      </c>
      <c r="AP20" s="234" t="s">
        <v>313</v>
      </c>
      <c r="AQ20" s="234"/>
      <c r="AR20" s="234"/>
      <c r="AS20" s="234"/>
      <c r="AT20" s="234">
        <v>7</v>
      </c>
      <c r="AU20" s="234"/>
      <c r="AV20" s="234"/>
      <c r="AW20" s="234"/>
      <c r="AX20" s="234" t="s">
        <v>313</v>
      </c>
      <c r="AY20" s="231"/>
      <c r="AZ20" s="234">
        <v>0</v>
      </c>
      <c r="BA20" s="234">
        <v>0</v>
      </c>
      <c r="BB20" s="234">
        <v>0</v>
      </c>
      <c r="BC20" s="234">
        <v>0</v>
      </c>
      <c r="BD20" s="234">
        <v>0</v>
      </c>
      <c r="BE20" s="234">
        <v>0</v>
      </c>
      <c r="BF20" s="234">
        <v>0</v>
      </c>
      <c r="BG20" s="234">
        <v>0</v>
      </c>
      <c r="BH20" s="234">
        <v>0</v>
      </c>
      <c r="BI20" s="234">
        <v>0</v>
      </c>
      <c r="BJ20" s="234">
        <v>0</v>
      </c>
      <c r="BK20" s="234">
        <v>0</v>
      </c>
      <c r="BL20" s="234"/>
      <c r="BM20" s="234" t="s">
        <v>313</v>
      </c>
      <c r="BN20" s="234"/>
      <c r="BO20" s="234" t="s">
        <v>313</v>
      </c>
      <c r="BP20" s="238">
        <v>35.454545454545453</v>
      </c>
      <c r="BQ20" s="234"/>
      <c r="BR20" s="234"/>
      <c r="BS20" s="234"/>
      <c r="BT20" s="231"/>
      <c r="BU20" s="231"/>
      <c r="BV20" s="234"/>
      <c r="BW20" s="234" t="s">
        <v>319</v>
      </c>
      <c r="BX20" s="234">
        <v>1</v>
      </c>
      <c r="BY20" s="231" t="s">
        <v>383</v>
      </c>
      <c r="BZ20" s="246" t="s">
        <v>387</v>
      </c>
      <c r="CA20" s="240" t="s">
        <v>301</v>
      </c>
    </row>
  </sheetData>
  <sheetProtection algorithmName="SHA-512" hashValue="EtayfgrZ+cFmdf2Niso95GCd6QfqUzKIogARyXo6BxfIDQ8bwZu+nHvxpY8YCkE9jf4aUbd8Eh3saMzrxsKvxg==" saltValue="64veTfv3KhUDqX2nCcKpsg==" spinCount="100000" sheet="1" objects="1" scenarios="1"/>
  <hyperlinks>
    <hyperlink ref="BZ3" r:id="rId1" xr:uid="{080729FC-BF30-9D4B-9EEF-6F717FC7CE55}"/>
    <hyperlink ref="BZ11" r:id="rId2" xr:uid="{49B6007F-7998-C24F-9538-054222D23CD6}"/>
    <hyperlink ref="BZ16" r:id="rId3" xr:uid="{DBC0B92A-5A22-B340-98D3-21D9BB12D9AC}"/>
    <hyperlink ref="BZ5" r:id="rId4" xr:uid="{21CFAA95-1F40-5A42-BBD2-A4E8609BECBF}"/>
    <hyperlink ref="BZ13" r:id="rId5" xr:uid="{45313213-2CF8-8F42-BF98-184CBBD8F075}"/>
    <hyperlink ref="BZ18" r:id="rId6" xr:uid="{E2858CF5-FBF3-F44E-A1AD-A8C17DF4E4AC}"/>
    <hyperlink ref="BZ8" r:id="rId7" xr:uid="{14678FE1-3954-6B4E-9AC3-56A515FE956E}"/>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DB8E-4235-C843-816D-DBB159F0BBF9}">
  <sheetPr codeName="Sheet8"/>
  <dimension ref="A1:DJ20"/>
  <sheetViews>
    <sheetView zoomScale="118" workbookViewId="0">
      <selection activeCell="F6" sqref="F6"/>
    </sheetView>
  </sheetViews>
  <sheetFormatPr baseColWidth="10" defaultColWidth="11.1640625" defaultRowHeight="13" x14ac:dyDescent="0.15"/>
  <cols>
    <col min="11" max="11" width="14.33203125" bestFit="1" customWidth="1"/>
    <col min="12" max="12" width="19" customWidth="1"/>
    <col min="38" max="38" width="12.83203125" customWidth="1"/>
  </cols>
  <sheetData>
    <row r="1" spans="1:114" ht="70" x14ac:dyDescent="0.15">
      <c r="A1" s="53" t="s">
        <v>137</v>
      </c>
      <c r="B1" s="53" t="s">
        <v>138</v>
      </c>
      <c r="C1" s="54" t="s">
        <v>139</v>
      </c>
      <c r="D1" s="55" t="s">
        <v>140</v>
      </c>
      <c r="E1" s="55" t="s">
        <v>141</v>
      </c>
      <c r="F1" s="55" t="s">
        <v>50</v>
      </c>
      <c r="G1" s="53" t="s">
        <v>51</v>
      </c>
      <c r="H1" s="56" t="s">
        <v>52</v>
      </c>
      <c r="I1" s="56" t="s">
        <v>53</v>
      </c>
      <c r="J1" s="56" t="s">
        <v>146</v>
      </c>
      <c r="K1" s="55" t="s">
        <v>147</v>
      </c>
      <c r="L1" s="57" t="s">
        <v>148</v>
      </c>
      <c r="M1" s="58" t="s">
        <v>201</v>
      </c>
      <c r="N1" s="59" t="s">
        <v>202</v>
      </c>
      <c r="O1" s="59" t="s">
        <v>203</v>
      </c>
      <c r="P1" s="59" t="s">
        <v>204</v>
      </c>
      <c r="Q1" s="59" t="s">
        <v>205</v>
      </c>
      <c r="R1" s="59" t="s">
        <v>157</v>
      </c>
      <c r="S1" s="59" t="s">
        <v>61</v>
      </c>
      <c r="T1" s="59" t="s">
        <v>62</v>
      </c>
      <c r="U1" s="59" t="s">
        <v>103</v>
      </c>
      <c r="V1" s="60" t="s">
        <v>3</v>
      </c>
      <c r="W1" s="61" t="s">
        <v>4</v>
      </c>
      <c r="X1" s="61" t="s">
        <v>5</v>
      </c>
      <c r="Y1" s="61" t="s">
        <v>104</v>
      </c>
      <c r="Z1" s="61" t="s">
        <v>105</v>
      </c>
      <c r="AA1" s="61" t="s">
        <v>106</v>
      </c>
      <c r="AB1" s="61" t="s">
        <v>107</v>
      </c>
      <c r="AC1" s="61" t="s">
        <v>108</v>
      </c>
      <c r="AD1" s="61" t="s">
        <v>95</v>
      </c>
      <c r="AE1" s="62" t="s">
        <v>96</v>
      </c>
      <c r="AF1" s="63" t="s">
        <v>97</v>
      </c>
      <c r="AG1" s="63" t="s">
        <v>98</v>
      </c>
      <c r="AH1" s="64" t="s">
        <v>99</v>
      </c>
      <c r="AI1" s="64" t="s">
        <v>27</v>
      </c>
      <c r="AJ1" s="64" t="s">
        <v>28</v>
      </c>
      <c r="AK1" s="64" t="s">
        <v>21</v>
      </c>
      <c r="AL1" s="65" t="s">
        <v>22</v>
      </c>
      <c r="AM1" s="66" t="s">
        <v>23</v>
      </c>
      <c r="AN1" s="66" t="s">
        <v>24</v>
      </c>
      <c r="AO1" s="67" t="s">
        <v>25</v>
      </c>
      <c r="AP1" s="68" t="s">
        <v>26</v>
      </c>
      <c r="AQ1" s="69" t="s">
        <v>59</v>
      </c>
      <c r="AR1" s="70" t="s">
        <v>60</v>
      </c>
      <c r="AS1" s="71" t="s">
        <v>128</v>
      </c>
      <c r="AT1" s="72" t="s">
        <v>129</v>
      </c>
      <c r="AU1" s="73" t="s">
        <v>130</v>
      </c>
      <c r="AV1" s="72" t="s">
        <v>131</v>
      </c>
      <c r="AW1" s="73" t="s">
        <v>206</v>
      </c>
      <c r="AX1" s="72" t="s">
        <v>207</v>
      </c>
      <c r="AY1" s="73" t="s">
        <v>208</v>
      </c>
      <c r="AZ1" s="72" t="s">
        <v>209</v>
      </c>
      <c r="BA1" s="74" t="s">
        <v>210</v>
      </c>
      <c r="BB1" s="155" t="s">
        <v>303</v>
      </c>
      <c r="BC1" s="156" t="s">
        <v>304</v>
      </c>
      <c r="BD1" s="72" t="s">
        <v>211</v>
      </c>
      <c r="BE1" s="74" t="s">
        <v>212</v>
      </c>
      <c r="BF1" s="56" t="s">
        <v>176</v>
      </c>
      <c r="BG1" s="56" t="s">
        <v>170</v>
      </c>
      <c r="BH1" s="56" t="s">
        <v>171</v>
      </c>
      <c r="BI1" s="56" t="s">
        <v>172</v>
      </c>
      <c r="BJ1" s="56" t="s">
        <v>305</v>
      </c>
      <c r="BK1" s="56" t="s">
        <v>306</v>
      </c>
      <c r="BL1" s="56" t="s">
        <v>307</v>
      </c>
      <c r="BM1" s="56" t="s">
        <v>308</v>
      </c>
      <c r="BN1" s="54" t="s">
        <v>232</v>
      </c>
      <c r="BO1" s="54" t="s">
        <v>233</v>
      </c>
      <c r="BP1" s="56" t="s">
        <v>7</v>
      </c>
      <c r="BQ1" s="56" t="s">
        <v>8</v>
      </c>
      <c r="BR1" s="54" t="s">
        <v>9</v>
      </c>
      <c r="BS1" s="56" t="s">
        <v>10</v>
      </c>
      <c r="BT1" s="53" t="s">
        <v>153</v>
      </c>
    </row>
    <row r="2" spans="1:114" x14ac:dyDescent="0.15">
      <c r="A2" s="75">
        <v>10062</v>
      </c>
      <c r="B2" s="157">
        <v>42203</v>
      </c>
      <c r="C2" s="158" t="s">
        <v>309</v>
      </c>
      <c r="D2" s="159" t="s">
        <v>310</v>
      </c>
      <c r="E2" s="160"/>
      <c r="F2" s="78" t="s">
        <v>311</v>
      </c>
      <c r="G2" s="76">
        <v>42195</v>
      </c>
      <c r="H2" s="79" t="s">
        <v>312</v>
      </c>
      <c r="I2" s="79" t="s">
        <v>313</v>
      </c>
      <c r="J2" s="79"/>
      <c r="K2" s="78" t="s">
        <v>314</v>
      </c>
      <c r="L2" s="159" t="s">
        <v>315</v>
      </c>
      <c r="M2" s="161">
        <v>98.327272727272714</v>
      </c>
      <c r="N2" s="161">
        <v>22.954545454545453</v>
      </c>
      <c r="O2" s="78"/>
      <c r="P2" s="78"/>
      <c r="Q2" s="161"/>
      <c r="R2" s="80"/>
      <c r="S2" s="162" t="s">
        <v>316</v>
      </c>
      <c r="T2" s="78"/>
      <c r="U2" s="162" t="s">
        <v>316</v>
      </c>
      <c r="V2" s="162" t="s">
        <v>316</v>
      </c>
      <c r="W2" s="161"/>
      <c r="X2" s="78"/>
      <c r="Y2" s="78"/>
      <c r="Z2" s="78"/>
      <c r="AA2" s="78"/>
      <c r="AB2" s="78"/>
      <c r="AC2" s="78"/>
      <c r="AD2" s="162" t="s">
        <v>316</v>
      </c>
      <c r="AE2" s="161"/>
      <c r="AF2" s="78"/>
      <c r="AG2" s="78"/>
      <c r="AH2" s="161"/>
      <c r="AI2" s="78"/>
      <c r="AJ2" s="78"/>
      <c r="AK2" s="162" t="s">
        <v>316</v>
      </c>
      <c r="AL2" s="78" t="s">
        <v>317</v>
      </c>
      <c r="AM2" s="79" t="s">
        <v>313</v>
      </c>
      <c r="AN2" s="79"/>
      <c r="AO2" s="79"/>
      <c r="AP2" s="81">
        <v>10</v>
      </c>
      <c r="AQ2" s="79">
        <v>8</v>
      </c>
      <c r="AR2" s="79" t="s">
        <v>318</v>
      </c>
      <c r="AS2" s="78"/>
      <c r="AT2" s="79">
        <v>0</v>
      </c>
      <c r="AU2" s="79">
        <v>0</v>
      </c>
      <c r="AV2" s="79">
        <v>0</v>
      </c>
      <c r="AW2" s="79">
        <v>25</v>
      </c>
      <c r="AX2" s="79">
        <v>0</v>
      </c>
      <c r="AY2" s="79">
        <v>0</v>
      </c>
      <c r="AZ2" s="79">
        <v>0</v>
      </c>
      <c r="BA2" s="79">
        <v>0</v>
      </c>
      <c r="BB2" s="79">
        <v>0</v>
      </c>
      <c r="BC2" s="79">
        <v>0</v>
      </c>
      <c r="BD2" s="79">
        <v>0</v>
      </c>
      <c r="BE2" s="79">
        <v>0</v>
      </c>
      <c r="BF2" s="79"/>
      <c r="BG2" s="79" t="s">
        <v>313</v>
      </c>
      <c r="BH2" s="79">
        <v>12</v>
      </c>
      <c r="BI2" s="79" t="s">
        <v>313</v>
      </c>
      <c r="BJ2" s="79"/>
      <c r="BK2" s="79"/>
      <c r="BL2" s="79"/>
      <c r="BM2" s="79"/>
      <c r="BN2" s="78"/>
      <c r="BO2" s="78"/>
      <c r="BP2" s="79"/>
      <c r="BQ2" s="79" t="s">
        <v>319</v>
      </c>
      <c r="BR2" s="78" t="s">
        <v>320</v>
      </c>
      <c r="BS2" s="146" t="s">
        <v>296</v>
      </c>
      <c r="BT2" s="82" t="s">
        <v>281</v>
      </c>
    </row>
    <row r="3" spans="1:114" x14ac:dyDescent="0.15">
      <c r="A3" s="75">
        <v>10278</v>
      </c>
      <c r="B3" s="157">
        <v>42202</v>
      </c>
      <c r="C3" s="158" t="s">
        <v>309</v>
      </c>
      <c r="D3" s="159" t="s">
        <v>310</v>
      </c>
      <c r="E3" s="160"/>
      <c r="F3" s="78" t="s">
        <v>311</v>
      </c>
      <c r="G3" s="76">
        <v>42195</v>
      </c>
      <c r="H3" s="79" t="s">
        <v>312</v>
      </c>
      <c r="I3" s="79" t="s">
        <v>313</v>
      </c>
      <c r="J3" s="79"/>
      <c r="K3" s="78" t="s">
        <v>321</v>
      </c>
      <c r="L3" s="78" t="s">
        <v>322</v>
      </c>
      <c r="M3" s="161">
        <v>78.900000000000006</v>
      </c>
      <c r="N3" s="161">
        <v>22.74</v>
      </c>
      <c r="O3" s="78"/>
      <c r="P3" s="78"/>
      <c r="Q3" s="159"/>
      <c r="R3" s="80"/>
      <c r="S3" s="162" t="s">
        <v>316</v>
      </c>
      <c r="T3" s="78"/>
      <c r="U3" s="162" t="s">
        <v>316</v>
      </c>
      <c r="V3" s="162" t="s">
        <v>316</v>
      </c>
      <c r="W3" s="161"/>
      <c r="X3" s="78"/>
      <c r="Y3" s="78"/>
      <c r="Z3" s="78"/>
      <c r="AA3" s="78"/>
      <c r="AB3" s="78"/>
      <c r="AC3" s="78"/>
      <c r="AD3" s="162" t="s">
        <v>316</v>
      </c>
      <c r="AE3" s="161"/>
      <c r="AF3" s="78"/>
      <c r="AG3" s="78"/>
      <c r="AH3" s="161"/>
      <c r="AI3" s="78"/>
      <c r="AJ3" s="78"/>
      <c r="AK3" s="162" t="s">
        <v>316</v>
      </c>
      <c r="AL3" s="78" t="s">
        <v>317</v>
      </c>
      <c r="AM3" s="79" t="s">
        <v>313</v>
      </c>
      <c r="AN3" s="79"/>
      <c r="AO3" s="79"/>
      <c r="AP3" s="81"/>
      <c r="AQ3" s="79"/>
      <c r="AR3" s="79" t="s">
        <v>318</v>
      </c>
      <c r="AS3" s="78"/>
      <c r="AT3" s="79">
        <v>9</v>
      </c>
      <c r="AU3" s="79">
        <v>0</v>
      </c>
      <c r="AV3" s="79">
        <v>0</v>
      </c>
      <c r="AW3" s="79">
        <v>0</v>
      </c>
      <c r="AX3" s="79">
        <v>0</v>
      </c>
      <c r="AY3" s="79">
        <v>0</v>
      </c>
      <c r="AZ3" s="79">
        <v>0</v>
      </c>
      <c r="BA3" s="79">
        <v>0</v>
      </c>
      <c r="BB3" s="79">
        <v>0</v>
      </c>
      <c r="BC3" s="79">
        <v>0</v>
      </c>
      <c r="BD3" s="79">
        <v>0</v>
      </c>
      <c r="BE3" s="79">
        <v>0</v>
      </c>
      <c r="BF3" s="79"/>
      <c r="BG3" s="79" t="s">
        <v>313</v>
      </c>
      <c r="BH3" s="79">
        <v>12</v>
      </c>
      <c r="BI3" s="79" t="s">
        <v>313</v>
      </c>
      <c r="BJ3" s="79"/>
      <c r="BK3" s="79"/>
      <c r="BL3" s="79">
        <v>12</v>
      </c>
      <c r="BM3" s="79"/>
      <c r="BN3" s="78"/>
      <c r="BO3" s="78"/>
      <c r="BP3" s="79"/>
      <c r="BQ3" s="79" t="s">
        <v>319</v>
      </c>
      <c r="BR3" s="78"/>
      <c r="BS3" t="s">
        <v>323</v>
      </c>
      <c r="BT3" s="82" t="s">
        <v>301</v>
      </c>
    </row>
    <row r="4" spans="1:114" x14ac:dyDescent="0.15">
      <c r="A4" s="75">
        <v>10584</v>
      </c>
      <c r="B4" s="163">
        <v>42202</v>
      </c>
      <c r="C4" s="158" t="s">
        <v>309</v>
      </c>
      <c r="D4" s="159" t="s">
        <v>310</v>
      </c>
      <c r="E4" s="160"/>
      <c r="F4" s="78" t="s">
        <v>311</v>
      </c>
      <c r="G4" s="147">
        <v>42192</v>
      </c>
      <c r="H4" s="79" t="s">
        <v>312</v>
      </c>
      <c r="I4" s="79" t="s">
        <v>324</v>
      </c>
      <c r="J4" s="79"/>
      <c r="K4" s="78" t="s">
        <v>325</v>
      </c>
      <c r="L4" s="78" t="s">
        <v>326</v>
      </c>
      <c r="M4" s="161">
        <v>90.236363636363635</v>
      </c>
      <c r="N4" s="161">
        <v>21.90909090909091</v>
      </c>
      <c r="O4" s="78"/>
      <c r="P4" s="78"/>
      <c r="Q4" s="159"/>
      <c r="R4" s="80"/>
      <c r="S4" s="162" t="s">
        <v>316</v>
      </c>
      <c r="T4" s="78"/>
      <c r="U4" s="162" t="s">
        <v>316</v>
      </c>
      <c r="V4" s="162" t="s">
        <v>316</v>
      </c>
      <c r="W4" s="161"/>
      <c r="X4" s="78"/>
      <c r="Y4" s="78"/>
      <c r="Z4" s="78"/>
      <c r="AA4" s="78"/>
      <c r="AB4" s="78"/>
      <c r="AC4" s="78"/>
      <c r="AD4" s="162" t="s">
        <v>316</v>
      </c>
      <c r="AE4" s="161"/>
      <c r="AF4" s="78"/>
      <c r="AG4" s="78"/>
      <c r="AH4" s="161"/>
      <c r="AI4" s="78"/>
      <c r="AJ4" s="78"/>
      <c r="AK4" s="162" t="s">
        <v>316</v>
      </c>
      <c r="AL4" s="78" t="s">
        <v>317</v>
      </c>
      <c r="AM4" s="79" t="s">
        <v>313</v>
      </c>
      <c r="AN4" s="79"/>
      <c r="AO4" s="79"/>
      <c r="AP4" s="81">
        <v>30</v>
      </c>
      <c r="AQ4" s="79">
        <v>15</v>
      </c>
      <c r="AR4" s="79" t="s">
        <v>318</v>
      </c>
      <c r="AS4" s="78"/>
      <c r="AT4" s="79">
        <v>10</v>
      </c>
      <c r="AU4" s="79">
        <v>0</v>
      </c>
      <c r="AV4" s="79">
        <v>0</v>
      </c>
      <c r="AW4" s="79">
        <v>0</v>
      </c>
      <c r="AX4" s="79">
        <v>0</v>
      </c>
      <c r="AY4" s="79">
        <v>0</v>
      </c>
      <c r="AZ4" s="79">
        <v>0</v>
      </c>
      <c r="BA4" s="79">
        <v>0</v>
      </c>
      <c r="BB4" s="79">
        <v>0</v>
      </c>
      <c r="BC4" s="79">
        <v>0</v>
      </c>
      <c r="BD4" s="79">
        <v>0</v>
      </c>
      <c r="BE4" s="79">
        <v>0</v>
      </c>
      <c r="BF4" s="79"/>
      <c r="BG4" s="79" t="s">
        <v>313</v>
      </c>
      <c r="BH4" s="79">
        <v>12</v>
      </c>
      <c r="BI4" s="79" t="s">
        <v>313</v>
      </c>
      <c r="BJ4" s="79"/>
      <c r="BK4" s="79"/>
      <c r="BL4" s="79"/>
      <c r="BM4" s="79"/>
      <c r="BN4" s="83"/>
      <c r="BO4" s="83"/>
      <c r="BP4" s="79"/>
      <c r="BQ4" s="164" t="s">
        <v>327</v>
      </c>
      <c r="BR4" s="165"/>
      <c r="BS4" s="146" t="s">
        <v>296</v>
      </c>
      <c r="BT4" s="146" t="s">
        <v>301</v>
      </c>
    </row>
    <row r="5" spans="1:114" x14ac:dyDescent="0.15">
      <c r="A5" s="75">
        <v>10236</v>
      </c>
      <c r="B5" s="163">
        <v>42202</v>
      </c>
      <c r="C5" s="158" t="s">
        <v>309</v>
      </c>
      <c r="D5" s="159" t="s">
        <v>310</v>
      </c>
      <c r="E5" s="160"/>
      <c r="F5" s="78" t="s">
        <v>311</v>
      </c>
      <c r="G5" s="147">
        <v>42185</v>
      </c>
      <c r="H5" s="79" t="s">
        <v>312</v>
      </c>
      <c r="I5" s="79" t="s">
        <v>313</v>
      </c>
      <c r="J5" s="79"/>
      <c r="K5" s="78" t="s">
        <v>328</v>
      </c>
      <c r="L5" s="159" t="s">
        <v>329</v>
      </c>
      <c r="M5" s="161">
        <v>98.327272727272714</v>
      </c>
      <c r="N5" s="161">
        <v>22.954545454545453</v>
      </c>
      <c r="O5" s="78"/>
      <c r="P5" s="78"/>
      <c r="Q5" s="161"/>
      <c r="R5" s="80"/>
      <c r="S5" s="162" t="s">
        <v>316</v>
      </c>
      <c r="T5" s="78"/>
      <c r="U5" s="162" t="s">
        <v>316</v>
      </c>
      <c r="V5" s="162" t="s">
        <v>316</v>
      </c>
      <c r="W5" s="161"/>
      <c r="X5" s="78"/>
      <c r="Y5" s="78"/>
      <c r="Z5" s="78"/>
      <c r="AA5" s="78"/>
      <c r="AB5" s="78"/>
      <c r="AC5" s="78"/>
      <c r="AD5" s="162" t="s">
        <v>316</v>
      </c>
      <c r="AE5" s="161"/>
      <c r="AF5" s="78"/>
      <c r="AG5" s="78"/>
      <c r="AH5" s="161"/>
      <c r="AI5" s="78"/>
      <c r="AJ5" s="78"/>
      <c r="AK5" s="162" t="s">
        <v>316</v>
      </c>
      <c r="AL5" s="78" t="s">
        <v>317</v>
      </c>
      <c r="AM5" s="79" t="s">
        <v>313</v>
      </c>
      <c r="AN5" s="79"/>
      <c r="AO5" s="79"/>
      <c r="AP5" s="79"/>
      <c r="AQ5" s="79"/>
      <c r="AR5" s="79" t="s">
        <v>318</v>
      </c>
      <c r="AS5" s="78"/>
      <c r="AT5" s="79">
        <v>0</v>
      </c>
      <c r="AU5" s="79">
        <v>0</v>
      </c>
      <c r="AV5" s="79">
        <v>10</v>
      </c>
      <c r="AW5" s="79">
        <v>0</v>
      </c>
      <c r="AX5" s="79">
        <v>0</v>
      </c>
      <c r="AY5" s="79">
        <v>0</v>
      </c>
      <c r="AZ5" s="79">
        <v>0</v>
      </c>
      <c r="BA5" s="79">
        <v>0</v>
      </c>
      <c r="BB5" s="79">
        <v>0</v>
      </c>
      <c r="BC5" s="79">
        <v>0</v>
      </c>
      <c r="BD5" s="79">
        <v>0</v>
      </c>
      <c r="BE5" s="79">
        <v>0</v>
      </c>
      <c r="BF5" s="79"/>
      <c r="BG5" s="79" t="s">
        <v>313</v>
      </c>
      <c r="BH5" s="79"/>
      <c r="BI5" s="79" t="s">
        <v>313</v>
      </c>
      <c r="BJ5" s="79"/>
      <c r="BK5" s="79"/>
      <c r="BL5" s="79"/>
      <c r="BM5" s="79"/>
      <c r="BN5" s="83"/>
      <c r="BO5" s="83"/>
      <c r="BP5" s="79"/>
      <c r="BQ5" s="164" t="s">
        <v>327</v>
      </c>
      <c r="BR5" s="166" t="s">
        <v>330</v>
      </c>
      <c r="BS5" s="167" t="s">
        <v>331</v>
      </c>
      <c r="BT5" s="146" t="s">
        <v>281</v>
      </c>
    </row>
    <row r="6" spans="1:114" x14ac:dyDescent="0.15">
      <c r="A6" s="75"/>
      <c r="B6" s="163">
        <v>42203</v>
      </c>
      <c r="C6" s="158" t="s">
        <v>309</v>
      </c>
      <c r="D6" s="159" t="s">
        <v>310</v>
      </c>
      <c r="E6" s="160"/>
      <c r="F6" s="78" t="s">
        <v>311</v>
      </c>
      <c r="G6" s="147">
        <v>42187</v>
      </c>
      <c r="H6" s="79" t="s">
        <v>312</v>
      </c>
      <c r="I6" s="79" t="s">
        <v>313</v>
      </c>
      <c r="J6" s="79"/>
      <c r="K6" s="78" t="s">
        <v>332</v>
      </c>
      <c r="L6" s="78" t="s">
        <v>333</v>
      </c>
      <c r="M6" s="161">
        <v>83.181818181818173</v>
      </c>
      <c r="N6" s="161">
        <v>20</v>
      </c>
      <c r="O6" s="78"/>
      <c r="P6" s="78"/>
      <c r="Q6" s="159"/>
      <c r="R6" s="80"/>
      <c r="S6" s="162" t="s">
        <v>316</v>
      </c>
      <c r="T6" s="78"/>
      <c r="U6" s="162" t="s">
        <v>316</v>
      </c>
      <c r="V6" s="162" t="s">
        <v>316</v>
      </c>
      <c r="W6" s="161"/>
      <c r="X6" s="78"/>
      <c r="Y6" s="78"/>
      <c r="Z6" s="78"/>
      <c r="AA6" s="78"/>
      <c r="AB6" s="78"/>
      <c r="AC6" s="78"/>
      <c r="AD6" s="162" t="s">
        <v>316</v>
      </c>
      <c r="AE6" s="159"/>
      <c r="AF6" s="78"/>
      <c r="AG6" s="78"/>
      <c r="AH6" s="161"/>
      <c r="AI6" s="78"/>
      <c r="AJ6" s="78"/>
      <c r="AK6" s="162" t="s">
        <v>316</v>
      </c>
      <c r="AL6" s="78" t="s">
        <v>317</v>
      </c>
      <c r="AM6" s="79" t="s">
        <v>313</v>
      </c>
      <c r="AN6" s="79"/>
      <c r="AO6" s="79"/>
      <c r="AP6" s="81"/>
      <c r="AQ6" s="79">
        <v>16</v>
      </c>
      <c r="AR6" s="79" t="s">
        <v>318</v>
      </c>
      <c r="AS6" s="78"/>
      <c r="AT6" s="79">
        <v>0</v>
      </c>
      <c r="AU6" s="79">
        <v>0</v>
      </c>
      <c r="AV6" s="79">
        <v>0</v>
      </c>
      <c r="AW6" s="79">
        <v>0</v>
      </c>
      <c r="AX6" s="79">
        <v>0</v>
      </c>
      <c r="AY6" s="79">
        <v>0</v>
      </c>
      <c r="AZ6" s="79">
        <v>0</v>
      </c>
      <c r="BA6" s="79">
        <v>0</v>
      </c>
      <c r="BB6" s="79">
        <v>0</v>
      </c>
      <c r="BC6" s="79">
        <v>0</v>
      </c>
      <c r="BD6" s="79">
        <v>0</v>
      </c>
      <c r="BE6" s="79">
        <v>0</v>
      </c>
      <c r="BF6" s="79"/>
      <c r="BG6" s="79" t="s">
        <v>313</v>
      </c>
      <c r="BH6" s="79"/>
      <c r="BI6" s="79" t="s">
        <v>313</v>
      </c>
      <c r="BJ6" s="168">
        <v>212.72727272727272</v>
      </c>
      <c r="BK6" s="79"/>
      <c r="BL6" s="79"/>
      <c r="BM6" s="79"/>
      <c r="BN6" s="83"/>
      <c r="BO6" s="83"/>
      <c r="BP6" s="79"/>
      <c r="BQ6" s="164" t="s">
        <v>327</v>
      </c>
      <c r="BR6" s="83" t="s">
        <v>334</v>
      </c>
      <c r="BS6" s="146" t="s">
        <v>335</v>
      </c>
      <c r="BT6" s="146" t="s">
        <v>301</v>
      </c>
    </row>
    <row r="7" spans="1:114" x14ac:dyDescent="0.15">
      <c r="A7" s="75"/>
      <c r="B7" s="163">
        <v>42203</v>
      </c>
      <c r="C7" s="158" t="s">
        <v>309</v>
      </c>
      <c r="D7" s="159" t="s">
        <v>310</v>
      </c>
      <c r="E7" s="160"/>
      <c r="F7" s="78" t="s">
        <v>336</v>
      </c>
      <c r="G7" s="147">
        <v>42184</v>
      </c>
      <c r="H7" s="79" t="s">
        <v>337</v>
      </c>
      <c r="I7" s="79" t="s">
        <v>324</v>
      </c>
      <c r="J7" s="79"/>
      <c r="K7" s="78" t="s">
        <v>338</v>
      </c>
      <c r="L7" s="78" t="s">
        <v>339</v>
      </c>
      <c r="M7" s="161">
        <v>66.563636363636363</v>
      </c>
      <c r="N7" s="161">
        <v>20.018181818181816</v>
      </c>
      <c r="O7" s="78"/>
      <c r="P7" s="78"/>
      <c r="Q7" s="159"/>
      <c r="R7" s="80"/>
      <c r="S7" s="162" t="s">
        <v>316</v>
      </c>
      <c r="T7" s="78"/>
      <c r="U7" s="162" t="s">
        <v>316</v>
      </c>
      <c r="V7" s="162" t="s">
        <v>316</v>
      </c>
      <c r="W7" s="159"/>
      <c r="X7" s="78"/>
      <c r="Y7" s="78"/>
      <c r="Z7" s="78"/>
      <c r="AA7" s="78"/>
      <c r="AB7" s="78"/>
      <c r="AC7" s="78"/>
      <c r="AD7" s="162" t="s">
        <v>316</v>
      </c>
      <c r="AE7" s="159"/>
      <c r="AF7" s="78"/>
      <c r="AG7" s="78"/>
      <c r="AH7" s="159"/>
      <c r="AI7" s="78"/>
      <c r="AJ7" s="78"/>
      <c r="AK7" s="162" t="s">
        <v>316</v>
      </c>
      <c r="AL7" s="78" t="s">
        <v>317</v>
      </c>
      <c r="AM7" s="79" t="s">
        <v>313</v>
      </c>
      <c r="AN7" s="79"/>
      <c r="AO7" s="79"/>
      <c r="AP7" s="81"/>
      <c r="AQ7" s="79">
        <v>10</v>
      </c>
      <c r="AR7" s="79" t="s">
        <v>318</v>
      </c>
      <c r="AS7" s="78"/>
      <c r="AT7" s="79">
        <v>0</v>
      </c>
      <c r="AU7" s="79">
        <v>0</v>
      </c>
      <c r="AV7" s="79">
        <v>0</v>
      </c>
      <c r="AW7" s="79">
        <v>0</v>
      </c>
      <c r="AX7" s="79">
        <v>0</v>
      </c>
      <c r="AY7" s="79">
        <v>0</v>
      </c>
      <c r="AZ7" s="79">
        <v>0</v>
      </c>
      <c r="BA7" s="79">
        <v>0</v>
      </c>
      <c r="BB7" s="79">
        <v>0</v>
      </c>
      <c r="BC7" s="79">
        <v>0</v>
      </c>
      <c r="BD7" s="79">
        <v>0</v>
      </c>
      <c r="BE7" s="79">
        <v>0</v>
      </c>
      <c r="BF7" s="79"/>
      <c r="BG7" s="79" t="s">
        <v>313</v>
      </c>
      <c r="BH7" s="79"/>
      <c r="BI7" s="79" t="s">
        <v>313</v>
      </c>
      <c r="BJ7" s="168">
        <v>35.454545454545453</v>
      </c>
      <c r="BK7" s="79"/>
      <c r="BL7" s="79"/>
      <c r="BM7" s="79"/>
      <c r="BN7" s="83"/>
      <c r="BO7" s="83"/>
      <c r="BP7" s="79"/>
      <c r="BQ7" s="164" t="s">
        <v>327</v>
      </c>
      <c r="BR7" s="159" t="s">
        <v>330</v>
      </c>
      <c r="BS7" s="146" t="s">
        <v>340</v>
      </c>
      <c r="BT7" s="146" t="s">
        <v>301</v>
      </c>
    </row>
    <row r="8" spans="1:114" x14ac:dyDescent="0.15">
      <c r="A8" s="75">
        <v>10067</v>
      </c>
      <c r="B8" s="157">
        <v>42203</v>
      </c>
      <c r="C8" s="158" t="s">
        <v>309</v>
      </c>
      <c r="D8" s="159" t="s">
        <v>310</v>
      </c>
      <c r="E8" s="160"/>
      <c r="F8" s="78" t="s">
        <v>341</v>
      </c>
      <c r="G8" s="76">
        <v>42195</v>
      </c>
      <c r="H8" s="79" t="s">
        <v>312</v>
      </c>
      <c r="I8" s="79" t="s">
        <v>313</v>
      </c>
      <c r="J8" s="79"/>
      <c r="K8" s="78" t="s">
        <v>314</v>
      </c>
      <c r="L8" s="159" t="s">
        <v>342</v>
      </c>
      <c r="M8" s="161">
        <v>120.45454545454544</v>
      </c>
      <c r="N8" s="161">
        <v>21.727272727272723</v>
      </c>
      <c r="O8" s="78" t="s">
        <v>343</v>
      </c>
      <c r="P8" s="78">
        <v>5500</v>
      </c>
      <c r="Q8" s="161">
        <v>23.027272727272724</v>
      </c>
      <c r="R8" s="80"/>
      <c r="S8" s="162" t="s">
        <v>316</v>
      </c>
      <c r="T8" s="78"/>
      <c r="U8" s="162" t="s">
        <v>316</v>
      </c>
      <c r="V8" s="162" t="s">
        <v>316</v>
      </c>
      <c r="W8" s="161"/>
      <c r="X8" s="78"/>
      <c r="Y8" s="78"/>
      <c r="Z8" s="78"/>
      <c r="AA8" s="78"/>
      <c r="AB8" s="78"/>
      <c r="AC8" s="78"/>
      <c r="AD8" s="162" t="s">
        <v>316</v>
      </c>
      <c r="AE8" s="161"/>
      <c r="AF8" s="78"/>
      <c r="AG8" s="78"/>
      <c r="AH8" s="161"/>
      <c r="AI8" s="78"/>
      <c r="AJ8" s="78"/>
      <c r="AK8" s="162" t="s">
        <v>316</v>
      </c>
      <c r="AL8" s="78" t="s">
        <v>344</v>
      </c>
      <c r="AM8" s="79" t="s">
        <v>313</v>
      </c>
      <c r="AN8" s="79"/>
      <c r="AO8" s="79"/>
      <c r="AP8" s="81">
        <v>10</v>
      </c>
      <c r="AQ8" s="79">
        <v>8</v>
      </c>
      <c r="AR8" s="79" t="s">
        <v>318</v>
      </c>
      <c r="AS8" s="78"/>
      <c r="AT8" s="79">
        <v>0</v>
      </c>
      <c r="AU8" s="79">
        <v>0</v>
      </c>
      <c r="AV8" s="79">
        <v>0</v>
      </c>
      <c r="AW8" s="79">
        <v>25</v>
      </c>
      <c r="AX8" s="79">
        <v>0</v>
      </c>
      <c r="AY8" s="79">
        <v>0</v>
      </c>
      <c r="AZ8" s="79">
        <v>0</v>
      </c>
      <c r="BA8" s="79">
        <v>0</v>
      </c>
      <c r="BB8" s="79">
        <v>0</v>
      </c>
      <c r="BC8" s="79">
        <v>0</v>
      </c>
      <c r="BD8" s="79">
        <v>0</v>
      </c>
      <c r="BE8" s="79">
        <v>0</v>
      </c>
      <c r="BF8" s="79"/>
      <c r="BG8" s="79" t="s">
        <v>313</v>
      </c>
      <c r="BH8" s="79">
        <v>12</v>
      </c>
      <c r="BI8" s="79" t="s">
        <v>313</v>
      </c>
      <c r="BJ8" s="79"/>
      <c r="BK8" s="79"/>
      <c r="BL8" s="79"/>
      <c r="BM8" s="79"/>
      <c r="BN8" s="78"/>
      <c r="BO8" s="78"/>
      <c r="BP8" s="79"/>
      <c r="BQ8" s="79" t="s">
        <v>319</v>
      </c>
      <c r="BR8" s="78" t="s">
        <v>320</v>
      </c>
      <c r="BS8" s="146" t="s">
        <v>296</v>
      </c>
      <c r="BT8" s="82" t="s">
        <v>281</v>
      </c>
    </row>
    <row r="9" spans="1:114" x14ac:dyDescent="0.15">
      <c r="A9" s="75">
        <v>10585</v>
      </c>
      <c r="B9" s="163">
        <v>42202</v>
      </c>
      <c r="C9" s="158" t="s">
        <v>309</v>
      </c>
      <c r="D9" s="159" t="s">
        <v>310</v>
      </c>
      <c r="E9" s="160"/>
      <c r="F9" s="78" t="s">
        <v>341</v>
      </c>
      <c r="G9" s="147">
        <v>42192</v>
      </c>
      <c r="H9" s="79" t="s">
        <v>312</v>
      </c>
      <c r="I9" s="79" t="s">
        <v>324</v>
      </c>
      <c r="J9" s="79"/>
      <c r="K9" s="78" t="s">
        <v>325</v>
      </c>
      <c r="L9" s="78" t="s">
        <v>326</v>
      </c>
      <c r="M9" s="161">
        <v>112.75454545454545</v>
      </c>
      <c r="N9" s="161">
        <v>19.890909090909087</v>
      </c>
      <c r="O9" s="78" t="s">
        <v>343</v>
      </c>
      <c r="P9" s="78">
        <v>5500</v>
      </c>
      <c r="Q9" s="161">
        <v>21.536363636363635</v>
      </c>
      <c r="R9" s="80"/>
      <c r="S9" s="162" t="s">
        <v>316</v>
      </c>
      <c r="T9" s="78"/>
      <c r="U9" s="162" t="s">
        <v>316</v>
      </c>
      <c r="V9" s="162" t="s">
        <v>316</v>
      </c>
      <c r="W9" s="161"/>
      <c r="X9" s="78"/>
      <c r="Y9" s="78"/>
      <c r="Z9" s="78"/>
      <c r="AA9" s="78"/>
      <c r="AB9" s="78"/>
      <c r="AC9" s="78"/>
      <c r="AD9" s="162" t="s">
        <v>316</v>
      </c>
      <c r="AE9" s="161"/>
      <c r="AF9" s="78"/>
      <c r="AG9" s="78"/>
      <c r="AH9" s="161"/>
      <c r="AI9" s="78"/>
      <c r="AJ9" s="78"/>
      <c r="AK9" s="162" t="s">
        <v>316</v>
      </c>
      <c r="AL9" s="78" t="s">
        <v>344</v>
      </c>
      <c r="AM9" s="79" t="s">
        <v>313</v>
      </c>
      <c r="AN9" s="79"/>
      <c r="AO9" s="79"/>
      <c r="AP9" s="81">
        <v>30</v>
      </c>
      <c r="AQ9" s="79">
        <v>15</v>
      </c>
      <c r="AR9" s="79" t="s">
        <v>318</v>
      </c>
      <c r="AS9" s="78"/>
      <c r="AT9" s="79">
        <v>10</v>
      </c>
      <c r="AU9" s="79">
        <v>0</v>
      </c>
      <c r="AV9" s="79">
        <v>0</v>
      </c>
      <c r="AW9" s="79">
        <v>0</v>
      </c>
      <c r="AX9" s="79">
        <v>0</v>
      </c>
      <c r="AY9" s="79">
        <v>0</v>
      </c>
      <c r="AZ9" s="79">
        <v>0</v>
      </c>
      <c r="BA9" s="79">
        <v>0</v>
      </c>
      <c r="BB9" s="79">
        <v>0</v>
      </c>
      <c r="BC9" s="79">
        <v>0</v>
      </c>
      <c r="BD9" s="79">
        <v>0</v>
      </c>
      <c r="BE9" s="79">
        <v>0</v>
      </c>
      <c r="BF9" s="79"/>
      <c r="BG9" s="79" t="s">
        <v>313</v>
      </c>
      <c r="BH9" s="79">
        <v>12</v>
      </c>
      <c r="BI9" s="79" t="s">
        <v>313</v>
      </c>
      <c r="BJ9" s="79"/>
      <c r="BK9" s="79"/>
      <c r="BL9" s="79"/>
      <c r="BM9" s="79"/>
      <c r="BN9" s="83"/>
      <c r="BO9" s="83"/>
      <c r="BP9" s="79"/>
      <c r="BQ9" s="164" t="s">
        <v>327</v>
      </c>
      <c r="BR9" s="165"/>
      <c r="BS9" s="146" t="s">
        <v>296</v>
      </c>
      <c r="BT9" s="146" t="s">
        <v>301</v>
      </c>
    </row>
    <row r="10" spans="1:114" x14ac:dyDescent="0.15">
      <c r="A10" s="75">
        <v>10063</v>
      </c>
      <c r="B10" s="157">
        <v>42203</v>
      </c>
      <c r="C10" s="158" t="s">
        <v>309</v>
      </c>
      <c r="D10" s="159" t="s">
        <v>310</v>
      </c>
      <c r="E10" s="160"/>
      <c r="F10" s="78" t="s">
        <v>345</v>
      </c>
      <c r="G10" s="76">
        <v>42195</v>
      </c>
      <c r="H10" s="79" t="s">
        <v>312</v>
      </c>
      <c r="I10" s="79" t="s">
        <v>313</v>
      </c>
      <c r="J10" s="79"/>
      <c r="K10" s="78" t="s">
        <v>314</v>
      </c>
      <c r="L10" s="159" t="s">
        <v>315</v>
      </c>
      <c r="M10" s="161">
        <v>98.327272727272714</v>
      </c>
      <c r="N10" s="161">
        <v>22.954545454545453</v>
      </c>
      <c r="O10" s="78"/>
      <c r="P10" s="78"/>
      <c r="Q10" s="161"/>
      <c r="R10" s="80"/>
      <c r="S10" s="162" t="s">
        <v>316</v>
      </c>
      <c r="T10" s="78"/>
      <c r="U10" s="162" t="s">
        <v>316</v>
      </c>
      <c r="V10" s="162" t="s">
        <v>316</v>
      </c>
      <c r="W10" s="161"/>
      <c r="X10" s="78"/>
      <c r="Y10" s="78"/>
      <c r="Z10" s="78"/>
      <c r="AA10" s="78"/>
      <c r="AB10" s="78"/>
      <c r="AC10" s="78"/>
      <c r="AD10" s="162" t="s">
        <v>316</v>
      </c>
      <c r="AE10" s="161">
        <v>14.254545454545454</v>
      </c>
      <c r="AF10" s="78"/>
      <c r="AG10" s="78"/>
      <c r="AH10" s="161"/>
      <c r="AI10" s="78"/>
      <c r="AJ10" s="78"/>
      <c r="AK10" s="162" t="s">
        <v>316</v>
      </c>
      <c r="AL10" s="78" t="s">
        <v>346</v>
      </c>
      <c r="AM10" s="79" t="s">
        <v>313</v>
      </c>
      <c r="AN10" s="79"/>
      <c r="AO10" s="79"/>
      <c r="AP10" s="81">
        <v>10</v>
      </c>
      <c r="AQ10" s="79">
        <v>8</v>
      </c>
      <c r="AR10" s="79" t="s">
        <v>318</v>
      </c>
      <c r="AS10" s="78"/>
      <c r="AT10" s="79">
        <v>0</v>
      </c>
      <c r="AU10" s="79">
        <v>0</v>
      </c>
      <c r="AV10" s="79">
        <v>0</v>
      </c>
      <c r="AW10" s="79">
        <v>25</v>
      </c>
      <c r="AX10" s="79">
        <v>0</v>
      </c>
      <c r="AY10" s="79">
        <v>0</v>
      </c>
      <c r="AZ10" s="79">
        <v>0</v>
      </c>
      <c r="BA10" s="79">
        <v>0</v>
      </c>
      <c r="BB10" s="79">
        <v>0</v>
      </c>
      <c r="BC10" s="79">
        <v>0</v>
      </c>
      <c r="BD10" s="79">
        <v>0</v>
      </c>
      <c r="BE10" s="79">
        <v>0</v>
      </c>
      <c r="BF10" s="79"/>
      <c r="BG10" s="79" t="s">
        <v>313</v>
      </c>
      <c r="BH10" s="79">
        <v>12</v>
      </c>
      <c r="BI10" s="79" t="s">
        <v>313</v>
      </c>
      <c r="BJ10" s="79"/>
      <c r="BK10" s="79"/>
      <c r="BL10" s="79"/>
      <c r="BM10" s="79"/>
      <c r="BN10" s="78"/>
      <c r="BO10" s="78"/>
      <c r="BP10" s="79"/>
      <c r="BQ10" s="79" t="s">
        <v>319</v>
      </c>
      <c r="BR10" s="78" t="s">
        <v>320</v>
      </c>
      <c r="BS10" s="146" t="s">
        <v>296</v>
      </c>
      <c r="BT10" s="82" t="s">
        <v>281</v>
      </c>
    </row>
    <row r="11" spans="1:114" x14ac:dyDescent="0.15">
      <c r="A11" s="75">
        <v>10279</v>
      </c>
      <c r="B11" s="157">
        <v>42202</v>
      </c>
      <c r="C11" s="158" t="s">
        <v>309</v>
      </c>
      <c r="D11" s="159" t="s">
        <v>310</v>
      </c>
      <c r="E11" s="160"/>
      <c r="F11" s="78" t="s">
        <v>345</v>
      </c>
      <c r="G11" s="76">
        <v>42195</v>
      </c>
      <c r="H11" s="79" t="s">
        <v>312</v>
      </c>
      <c r="I11" s="79" t="s">
        <v>313</v>
      </c>
      <c r="J11" s="79"/>
      <c r="K11" s="78" t="s">
        <v>321</v>
      </c>
      <c r="L11" s="78" t="s">
        <v>322</v>
      </c>
      <c r="M11" s="161">
        <v>78.900000000000006</v>
      </c>
      <c r="N11" s="161">
        <v>22.74</v>
      </c>
      <c r="O11" s="78"/>
      <c r="P11" s="78"/>
      <c r="Q11" s="159"/>
      <c r="R11" s="80"/>
      <c r="S11" s="162" t="s">
        <v>316</v>
      </c>
      <c r="T11" s="78"/>
      <c r="U11" s="162" t="s">
        <v>316</v>
      </c>
      <c r="V11" s="162" t="s">
        <v>316</v>
      </c>
      <c r="W11" s="161"/>
      <c r="X11" s="78"/>
      <c r="Y11" s="78"/>
      <c r="Z11" s="78"/>
      <c r="AA11" s="78"/>
      <c r="AB11" s="78"/>
      <c r="AC11" s="78"/>
      <c r="AD11" s="162" t="s">
        <v>316</v>
      </c>
      <c r="AE11" s="161">
        <v>12.381818181818181</v>
      </c>
      <c r="AF11" s="78"/>
      <c r="AG11" s="78"/>
      <c r="AH11" s="161"/>
      <c r="AI11" s="78"/>
      <c r="AJ11" s="78"/>
      <c r="AK11" s="162" t="s">
        <v>316</v>
      </c>
      <c r="AL11" s="78" t="s">
        <v>346</v>
      </c>
      <c r="AM11" s="79" t="s">
        <v>313</v>
      </c>
      <c r="AN11" s="79"/>
      <c r="AO11" s="79"/>
      <c r="AP11" s="81"/>
      <c r="AQ11" s="79"/>
      <c r="AR11" s="79" t="s">
        <v>318</v>
      </c>
      <c r="AS11" s="78"/>
      <c r="AT11" s="79">
        <v>9</v>
      </c>
      <c r="AU11" s="79">
        <v>0</v>
      </c>
      <c r="AV11" s="79">
        <v>0</v>
      </c>
      <c r="AW11" s="79">
        <v>0</v>
      </c>
      <c r="AX11" s="79">
        <v>0</v>
      </c>
      <c r="AY11" s="79">
        <v>0</v>
      </c>
      <c r="AZ11" s="79">
        <v>0</v>
      </c>
      <c r="BA11" s="79">
        <v>0</v>
      </c>
      <c r="BB11" s="79">
        <v>0</v>
      </c>
      <c r="BC11" s="79">
        <v>0</v>
      </c>
      <c r="BD11" s="79">
        <v>0</v>
      </c>
      <c r="BE11" s="79">
        <v>0</v>
      </c>
      <c r="BF11" s="79"/>
      <c r="BG11" s="79" t="s">
        <v>313</v>
      </c>
      <c r="BH11" s="79">
        <v>12</v>
      </c>
      <c r="BI11" s="79" t="s">
        <v>313</v>
      </c>
      <c r="BJ11" s="79"/>
      <c r="BK11" s="79"/>
      <c r="BL11" s="79">
        <v>12</v>
      </c>
      <c r="BM11" s="79"/>
      <c r="BN11" s="78"/>
      <c r="BO11" s="78"/>
      <c r="BP11" s="79"/>
      <c r="BQ11" s="79" t="s">
        <v>319</v>
      </c>
      <c r="BR11" s="78"/>
      <c r="BS11" t="s">
        <v>347</v>
      </c>
      <c r="BT11" s="82" t="s">
        <v>301</v>
      </c>
    </row>
    <row r="12" spans="1:114" x14ac:dyDescent="0.15">
      <c r="A12" s="75">
        <v>10586</v>
      </c>
      <c r="B12" s="163">
        <v>42202</v>
      </c>
      <c r="C12" s="158" t="s">
        <v>309</v>
      </c>
      <c r="D12" s="159" t="s">
        <v>310</v>
      </c>
      <c r="E12" s="160"/>
      <c r="F12" s="78" t="s">
        <v>345</v>
      </c>
      <c r="G12" s="147">
        <v>42192</v>
      </c>
      <c r="H12" s="79" t="s">
        <v>312</v>
      </c>
      <c r="I12" s="79" t="s">
        <v>324</v>
      </c>
      <c r="J12" s="79"/>
      <c r="K12" s="78" t="s">
        <v>325</v>
      </c>
      <c r="L12" s="78" t="s">
        <v>326</v>
      </c>
      <c r="M12" s="161">
        <v>90.236363636363635</v>
      </c>
      <c r="N12" s="161">
        <v>21.90909090909091</v>
      </c>
      <c r="O12" s="78"/>
      <c r="P12" s="78"/>
      <c r="Q12" s="161"/>
      <c r="R12" s="80"/>
      <c r="S12" s="162" t="s">
        <v>316</v>
      </c>
      <c r="T12" s="78"/>
      <c r="U12" s="162" t="s">
        <v>316</v>
      </c>
      <c r="V12" s="162" t="s">
        <v>316</v>
      </c>
      <c r="W12" s="161"/>
      <c r="X12" s="78"/>
      <c r="Y12" s="78"/>
      <c r="Z12" s="78"/>
      <c r="AA12" s="78"/>
      <c r="AB12" s="78"/>
      <c r="AC12" s="78"/>
      <c r="AD12" s="162" t="s">
        <v>316</v>
      </c>
      <c r="AE12" s="161">
        <v>13.227272727272727</v>
      </c>
      <c r="AF12" s="78"/>
      <c r="AG12" s="78"/>
      <c r="AH12" s="161"/>
      <c r="AI12" s="78"/>
      <c r="AJ12" s="78"/>
      <c r="AK12" s="162" t="s">
        <v>316</v>
      </c>
      <c r="AL12" s="78" t="s">
        <v>346</v>
      </c>
      <c r="AM12" s="79" t="s">
        <v>313</v>
      </c>
      <c r="AN12" s="79"/>
      <c r="AO12" s="79"/>
      <c r="AP12" s="81">
        <v>30</v>
      </c>
      <c r="AQ12" s="79">
        <v>15</v>
      </c>
      <c r="AR12" s="79" t="s">
        <v>318</v>
      </c>
      <c r="AS12" s="78"/>
      <c r="AT12" s="79">
        <v>10</v>
      </c>
      <c r="AU12" s="79">
        <v>0</v>
      </c>
      <c r="AV12" s="79">
        <v>0</v>
      </c>
      <c r="AW12" s="79">
        <v>0</v>
      </c>
      <c r="AX12" s="79">
        <v>0</v>
      </c>
      <c r="AY12" s="79">
        <v>0</v>
      </c>
      <c r="AZ12" s="79">
        <v>0</v>
      </c>
      <c r="BA12" s="79">
        <v>0</v>
      </c>
      <c r="BB12" s="79">
        <v>0</v>
      </c>
      <c r="BC12" s="79">
        <v>0</v>
      </c>
      <c r="BD12" s="79">
        <v>0</v>
      </c>
      <c r="BE12" s="79">
        <v>0</v>
      </c>
      <c r="BF12" s="79"/>
      <c r="BG12" s="79" t="s">
        <v>313</v>
      </c>
      <c r="BH12" s="79">
        <v>12</v>
      </c>
      <c r="BI12" s="79" t="s">
        <v>313</v>
      </c>
      <c r="BJ12" s="79"/>
      <c r="BK12" s="79"/>
      <c r="BL12" s="79"/>
      <c r="BM12" s="79"/>
      <c r="BN12" s="83"/>
      <c r="BO12" s="83"/>
      <c r="BP12" s="79"/>
      <c r="BQ12" s="164" t="s">
        <v>327</v>
      </c>
      <c r="BR12" s="165"/>
      <c r="BS12" s="146" t="s">
        <v>296</v>
      </c>
      <c r="BT12" s="146" t="s">
        <v>301</v>
      </c>
    </row>
    <row r="13" spans="1:114" x14ac:dyDescent="0.15">
      <c r="A13" s="75">
        <v>10238</v>
      </c>
      <c r="B13" s="163">
        <v>42202</v>
      </c>
      <c r="C13" s="158" t="s">
        <v>309</v>
      </c>
      <c r="D13" s="159" t="s">
        <v>310</v>
      </c>
      <c r="E13" s="160"/>
      <c r="F13" s="78" t="s">
        <v>345</v>
      </c>
      <c r="G13" s="147">
        <v>42185</v>
      </c>
      <c r="H13" s="79" t="s">
        <v>312</v>
      </c>
      <c r="I13" s="79" t="s">
        <v>313</v>
      </c>
      <c r="J13" s="79"/>
      <c r="K13" s="78" t="s">
        <v>328</v>
      </c>
      <c r="L13" s="159" t="s">
        <v>329</v>
      </c>
      <c r="M13" s="161">
        <v>98.327272727272714</v>
      </c>
      <c r="N13" s="161">
        <v>22.954545454545453</v>
      </c>
      <c r="O13" s="78"/>
      <c r="P13" s="78"/>
      <c r="Q13" s="161"/>
      <c r="R13" s="80"/>
      <c r="S13" s="162" t="s">
        <v>316</v>
      </c>
      <c r="T13" s="78"/>
      <c r="U13" s="162" t="s">
        <v>316</v>
      </c>
      <c r="V13" s="162" t="s">
        <v>316</v>
      </c>
      <c r="W13" s="161"/>
      <c r="X13" s="78"/>
      <c r="Y13" s="78"/>
      <c r="Z13" s="78"/>
      <c r="AA13" s="78"/>
      <c r="AB13" s="78"/>
      <c r="AC13" s="78"/>
      <c r="AD13" s="162" t="s">
        <v>316</v>
      </c>
      <c r="AE13" s="161">
        <v>14.254545454545454</v>
      </c>
      <c r="AF13" s="78"/>
      <c r="AG13" s="78"/>
      <c r="AH13" s="161"/>
      <c r="AI13" s="78"/>
      <c r="AJ13" s="78"/>
      <c r="AK13" s="162" t="s">
        <v>316</v>
      </c>
      <c r="AL13" s="78" t="s">
        <v>346</v>
      </c>
      <c r="AM13" s="79" t="s">
        <v>313</v>
      </c>
      <c r="AN13" s="79"/>
      <c r="AO13" s="79"/>
      <c r="AP13" s="79"/>
      <c r="AQ13" s="79"/>
      <c r="AR13" s="79" t="s">
        <v>318</v>
      </c>
      <c r="AS13" s="78"/>
      <c r="AT13" s="79">
        <v>0</v>
      </c>
      <c r="AU13" s="79">
        <v>0</v>
      </c>
      <c r="AV13" s="79">
        <v>10</v>
      </c>
      <c r="AW13" s="79">
        <v>0</v>
      </c>
      <c r="AX13" s="79">
        <v>0</v>
      </c>
      <c r="AY13" s="79">
        <v>0</v>
      </c>
      <c r="AZ13" s="79">
        <v>0</v>
      </c>
      <c r="BA13" s="79">
        <v>0</v>
      </c>
      <c r="BB13" s="79">
        <v>0</v>
      </c>
      <c r="BC13" s="79">
        <v>0</v>
      </c>
      <c r="BD13" s="79">
        <v>0</v>
      </c>
      <c r="BE13" s="79">
        <v>0</v>
      </c>
      <c r="BF13" s="79"/>
      <c r="BG13" s="79" t="s">
        <v>313</v>
      </c>
      <c r="BH13" s="79"/>
      <c r="BI13" s="79" t="s">
        <v>313</v>
      </c>
      <c r="BJ13" s="79"/>
      <c r="BK13" s="79"/>
      <c r="BL13" s="79"/>
      <c r="BM13" s="79"/>
      <c r="BN13" s="83"/>
      <c r="BO13" s="83"/>
      <c r="BP13" s="79"/>
      <c r="BQ13" s="164" t="s">
        <v>327</v>
      </c>
      <c r="BR13" s="166" t="s">
        <v>330</v>
      </c>
      <c r="BS13" s="167" t="s">
        <v>348</v>
      </c>
      <c r="BT13" s="146" t="s">
        <v>281</v>
      </c>
    </row>
    <row r="14" spans="1:114" s="169" customFormat="1" x14ac:dyDescent="0.15">
      <c r="A14" s="75"/>
      <c r="B14" s="163">
        <v>42203</v>
      </c>
      <c r="C14" s="158" t="s">
        <v>309</v>
      </c>
      <c r="D14" s="159" t="s">
        <v>310</v>
      </c>
      <c r="E14" s="160"/>
      <c r="F14" s="78" t="s">
        <v>345</v>
      </c>
      <c r="G14" s="147">
        <v>42187</v>
      </c>
      <c r="H14" s="79" t="s">
        <v>312</v>
      </c>
      <c r="I14" s="79" t="s">
        <v>313</v>
      </c>
      <c r="J14" s="79"/>
      <c r="K14" s="78" t="s">
        <v>332</v>
      </c>
      <c r="L14" s="78" t="s">
        <v>333</v>
      </c>
      <c r="M14" s="161">
        <v>83.181818181818173</v>
      </c>
      <c r="N14" s="161">
        <v>20</v>
      </c>
      <c r="O14" s="78"/>
      <c r="P14" s="78"/>
      <c r="Q14" s="159"/>
      <c r="R14" s="80"/>
      <c r="S14" s="162" t="s">
        <v>316</v>
      </c>
      <c r="T14" s="78"/>
      <c r="U14" s="162" t="s">
        <v>316</v>
      </c>
      <c r="V14" s="162" t="s">
        <v>316</v>
      </c>
      <c r="W14" s="161"/>
      <c r="X14" s="78"/>
      <c r="Y14" s="78"/>
      <c r="Z14" s="78"/>
      <c r="AA14" s="78"/>
      <c r="AB14" s="78"/>
      <c r="AC14" s="78"/>
      <c r="AD14" s="162" t="s">
        <v>316</v>
      </c>
      <c r="AE14" s="161">
        <v>14.09090909090909</v>
      </c>
      <c r="AF14" s="78"/>
      <c r="AG14" s="78"/>
      <c r="AH14" s="161"/>
      <c r="AI14" s="78"/>
      <c r="AJ14" s="78"/>
      <c r="AK14" s="162" t="s">
        <v>316</v>
      </c>
      <c r="AL14" s="78" t="s">
        <v>346</v>
      </c>
      <c r="AM14" s="79" t="s">
        <v>313</v>
      </c>
      <c r="AN14" s="79"/>
      <c r="AO14" s="79"/>
      <c r="AP14" s="81"/>
      <c r="AQ14" s="79">
        <v>16</v>
      </c>
      <c r="AR14" s="79" t="s">
        <v>318</v>
      </c>
      <c r="AS14" s="78"/>
      <c r="AT14" s="79">
        <v>0</v>
      </c>
      <c r="AU14" s="79">
        <v>0</v>
      </c>
      <c r="AV14" s="79">
        <v>0</v>
      </c>
      <c r="AW14" s="79">
        <v>0</v>
      </c>
      <c r="AX14" s="79">
        <v>0</v>
      </c>
      <c r="AY14" s="79">
        <v>0</v>
      </c>
      <c r="AZ14" s="79">
        <v>0</v>
      </c>
      <c r="BA14" s="79">
        <v>0</v>
      </c>
      <c r="BB14" s="79">
        <v>0</v>
      </c>
      <c r="BC14" s="79">
        <v>0</v>
      </c>
      <c r="BD14" s="79">
        <v>0</v>
      </c>
      <c r="BE14" s="79">
        <v>0</v>
      </c>
      <c r="BF14" s="79"/>
      <c r="BG14" s="79" t="s">
        <v>313</v>
      </c>
      <c r="BH14" s="79"/>
      <c r="BI14" s="79" t="s">
        <v>313</v>
      </c>
      <c r="BJ14" s="168">
        <v>212.72727272727272</v>
      </c>
      <c r="BK14" s="79"/>
      <c r="BL14" s="79"/>
      <c r="BM14" s="79"/>
      <c r="BN14" s="83"/>
      <c r="BO14" s="83"/>
      <c r="BP14" s="79"/>
      <c r="BQ14" s="164" t="s">
        <v>327</v>
      </c>
      <c r="BR14" s="83" t="s">
        <v>334</v>
      </c>
      <c r="BS14" s="146" t="s">
        <v>296</v>
      </c>
      <c r="BT14" s="146" t="s">
        <v>301</v>
      </c>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15">
      <c r="A15" s="75">
        <v>10065</v>
      </c>
      <c r="B15" s="157">
        <v>42203</v>
      </c>
      <c r="C15" s="158" t="s">
        <v>309</v>
      </c>
      <c r="D15" s="159" t="s">
        <v>310</v>
      </c>
      <c r="E15" s="160"/>
      <c r="F15" s="78" t="s">
        <v>349</v>
      </c>
      <c r="G15" s="76">
        <v>42195</v>
      </c>
      <c r="H15" s="79" t="s">
        <v>312</v>
      </c>
      <c r="I15" s="79" t="s">
        <v>313</v>
      </c>
      <c r="J15" s="79"/>
      <c r="K15" s="78" t="s">
        <v>314</v>
      </c>
      <c r="L15" s="159" t="s">
        <v>315</v>
      </c>
      <c r="M15" s="161">
        <v>98.327272727272714</v>
      </c>
      <c r="N15" s="161">
        <v>29.809090909090905</v>
      </c>
      <c r="O15" s="78"/>
      <c r="P15" s="78"/>
      <c r="Q15" s="161"/>
      <c r="R15" s="80"/>
      <c r="S15" s="162" t="s">
        <v>316</v>
      </c>
      <c r="T15" s="78"/>
      <c r="U15" s="162" t="s">
        <v>316</v>
      </c>
      <c r="V15" s="162" t="s">
        <v>316</v>
      </c>
      <c r="W15" s="161">
        <v>17.081818181818178</v>
      </c>
      <c r="X15" s="78"/>
      <c r="Y15" s="78"/>
      <c r="Z15" s="78"/>
      <c r="AA15" s="78"/>
      <c r="AB15" s="78"/>
      <c r="AC15" s="78"/>
      <c r="AD15" s="162" t="s">
        <v>316</v>
      </c>
      <c r="AE15" s="161"/>
      <c r="AF15" s="78"/>
      <c r="AG15" s="78"/>
      <c r="AH15" s="161">
        <v>21.427272727272726</v>
      </c>
      <c r="AI15" s="78"/>
      <c r="AJ15" s="78"/>
      <c r="AK15" s="162" t="s">
        <v>316</v>
      </c>
      <c r="AL15" s="78" t="s">
        <v>350</v>
      </c>
      <c r="AM15" s="79" t="s">
        <v>313</v>
      </c>
      <c r="AN15" s="79"/>
      <c r="AO15" s="79"/>
      <c r="AP15" s="81">
        <v>10</v>
      </c>
      <c r="AQ15" s="79">
        <v>8</v>
      </c>
      <c r="AR15" s="79" t="s">
        <v>318</v>
      </c>
      <c r="AS15" s="78"/>
      <c r="AT15" s="79">
        <v>0</v>
      </c>
      <c r="AU15" s="79">
        <v>0</v>
      </c>
      <c r="AV15" s="79">
        <v>0</v>
      </c>
      <c r="AW15" s="79">
        <v>25</v>
      </c>
      <c r="AX15" s="79">
        <v>0</v>
      </c>
      <c r="AY15" s="79">
        <v>0</v>
      </c>
      <c r="AZ15" s="79">
        <v>0</v>
      </c>
      <c r="BA15" s="79">
        <v>0</v>
      </c>
      <c r="BB15" s="79">
        <v>0</v>
      </c>
      <c r="BC15" s="79">
        <v>0</v>
      </c>
      <c r="BD15" s="79">
        <v>0</v>
      </c>
      <c r="BE15" s="79">
        <v>0</v>
      </c>
      <c r="BF15" s="79"/>
      <c r="BG15" s="79" t="s">
        <v>313</v>
      </c>
      <c r="BH15" s="79">
        <v>12</v>
      </c>
      <c r="BI15" s="79" t="s">
        <v>313</v>
      </c>
      <c r="BJ15" s="79"/>
      <c r="BK15" s="79"/>
      <c r="BL15" s="79"/>
      <c r="BM15" s="79"/>
      <c r="BN15" s="78"/>
      <c r="BO15" s="78"/>
      <c r="BP15" s="79"/>
      <c r="BQ15" s="79" t="s">
        <v>319</v>
      </c>
      <c r="BR15" s="78" t="s">
        <v>320</v>
      </c>
      <c r="BS15" s="146" t="s">
        <v>296</v>
      </c>
      <c r="BT15" s="82" t="s">
        <v>281</v>
      </c>
    </row>
    <row r="16" spans="1:114" x14ac:dyDescent="0.15">
      <c r="A16" s="75">
        <v>10281</v>
      </c>
      <c r="B16" s="157">
        <v>42202</v>
      </c>
      <c r="C16" s="158" t="s">
        <v>309</v>
      </c>
      <c r="D16" s="159" t="s">
        <v>310</v>
      </c>
      <c r="E16" s="160"/>
      <c r="F16" s="78" t="s">
        <v>349</v>
      </c>
      <c r="G16" s="76">
        <v>42195</v>
      </c>
      <c r="H16" s="79" t="s">
        <v>312</v>
      </c>
      <c r="I16" s="79" t="s">
        <v>313</v>
      </c>
      <c r="J16" s="79"/>
      <c r="K16" s="78" t="s">
        <v>321</v>
      </c>
      <c r="L16" s="78" t="s">
        <v>322</v>
      </c>
      <c r="M16" s="161">
        <v>73</v>
      </c>
      <c r="N16" s="161">
        <v>27.45</v>
      </c>
      <c r="O16" s="78"/>
      <c r="P16" s="78"/>
      <c r="Q16" s="159"/>
      <c r="R16" s="80"/>
      <c r="S16" s="162" t="s">
        <v>316</v>
      </c>
      <c r="T16" s="78"/>
      <c r="U16" s="162" t="s">
        <v>316</v>
      </c>
      <c r="V16" s="162" t="s">
        <v>316</v>
      </c>
      <c r="W16" s="161">
        <v>14.418181818181816</v>
      </c>
      <c r="X16" s="78"/>
      <c r="Y16" s="78"/>
      <c r="Z16" s="78"/>
      <c r="AA16" s="78"/>
      <c r="AB16" s="78"/>
      <c r="AC16" s="78"/>
      <c r="AD16" s="162" t="s">
        <v>316</v>
      </c>
      <c r="AE16" s="159"/>
      <c r="AF16" s="78"/>
      <c r="AG16" s="78"/>
      <c r="AH16" s="161">
        <v>18.972727272727273</v>
      </c>
      <c r="AI16" s="78"/>
      <c r="AJ16" s="78"/>
      <c r="AK16" s="162" t="s">
        <v>316</v>
      </c>
      <c r="AL16" s="78" t="s">
        <v>350</v>
      </c>
      <c r="AM16" s="79" t="s">
        <v>313</v>
      </c>
      <c r="AN16" s="79"/>
      <c r="AO16" s="79"/>
      <c r="AP16" s="81"/>
      <c r="AQ16" s="79"/>
      <c r="AR16" s="79" t="s">
        <v>318</v>
      </c>
      <c r="AS16" s="78"/>
      <c r="AT16" s="79">
        <v>9</v>
      </c>
      <c r="AU16" s="79">
        <v>0</v>
      </c>
      <c r="AV16" s="79">
        <v>0</v>
      </c>
      <c r="AW16" s="79">
        <v>0</v>
      </c>
      <c r="AX16" s="79">
        <v>0</v>
      </c>
      <c r="AY16" s="79">
        <v>0</v>
      </c>
      <c r="AZ16" s="79">
        <v>0</v>
      </c>
      <c r="BA16" s="79">
        <v>0</v>
      </c>
      <c r="BB16" s="79">
        <v>0</v>
      </c>
      <c r="BC16" s="79">
        <v>0</v>
      </c>
      <c r="BD16" s="79">
        <v>0</v>
      </c>
      <c r="BE16" s="79">
        <v>0</v>
      </c>
      <c r="BF16" s="79"/>
      <c r="BG16" s="79" t="s">
        <v>313</v>
      </c>
      <c r="BH16" s="79">
        <v>12</v>
      </c>
      <c r="BI16" s="79" t="s">
        <v>313</v>
      </c>
      <c r="BJ16" s="79"/>
      <c r="BK16" s="79"/>
      <c r="BL16" s="79">
        <v>12</v>
      </c>
      <c r="BM16" s="79"/>
      <c r="BN16" s="78"/>
      <c r="BO16" s="78"/>
      <c r="BP16" s="79"/>
      <c r="BQ16" s="79" t="s">
        <v>319</v>
      </c>
      <c r="BR16" s="78"/>
      <c r="BS16" t="s">
        <v>351</v>
      </c>
      <c r="BT16" s="82" t="s">
        <v>301</v>
      </c>
    </row>
    <row r="17" spans="1:114" x14ac:dyDescent="0.15">
      <c r="A17" s="75">
        <v>10588</v>
      </c>
      <c r="B17" s="163">
        <v>42202</v>
      </c>
      <c r="C17" s="158" t="s">
        <v>309</v>
      </c>
      <c r="D17" s="159" t="s">
        <v>310</v>
      </c>
      <c r="E17" s="160"/>
      <c r="F17" s="78" t="s">
        <v>349</v>
      </c>
      <c r="G17" s="147">
        <v>42192</v>
      </c>
      <c r="H17" s="79" t="s">
        <v>312</v>
      </c>
      <c r="I17" s="79" t="s">
        <v>324</v>
      </c>
      <c r="J17" s="79"/>
      <c r="K17" s="78" t="s">
        <v>325</v>
      </c>
      <c r="L17" s="78" t="s">
        <v>326</v>
      </c>
      <c r="M17" s="161">
        <v>90.236363636363635</v>
      </c>
      <c r="N17" s="161">
        <v>28.072727272727271</v>
      </c>
      <c r="O17" s="78"/>
      <c r="P17" s="78"/>
      <c r="Q17" s="161"/>
      <c r="R17" s="80"/>
      <c r="S17" s="162" t="s">
        <v>316</v>
      </c>
      <c r="T17" s="78"/>
      <c r="U17" s="162" t="s">
        <v>316</v>
      </c>
      <c r="V17" s="162" t="s">
        <v>316</v>
      </c>
      <c r="W17" s="161">
        <v>15.799999999999997</v>
      </c>
      <c r="X17" s="78"/>
      <c r="Y17" s="78"/>
      <c r="Z17" s="78"/>
      <c r="AA17" s="78"/>
      <c r="AB17" s="78"/>
      <c r="AC17" s="78"/>
      <c r="AD17" s="162" t="s">
        <v>316</v>
      </c>
      <c r="AE17" s="161"/>
      <c r="AF17" s="78"/>
      <c r="AG17" s="78"/>
      <c r="AH17" s="161">
        <v>20.027272727272727</v>
      </c>
      <c r="AI17" s="78"/>
      <c r="AJ17" s="78"/>
      <c r="AK17" s="162" t="s">
        <v>316</v>
      </c>
      <c r="AL17" s="78" t="s">
        <v>350</v>
      </c>
      <c r="AM17" s="79" t="s">
        <v>313</v>
      </c>
      <c r="AN17" s="79"/>
      <c r="AO17" s="79"/>
      <c r="AP17" s="81">
        <v>30</v>
      </c>
      <c r="AQ17" s="79">
        <v>15</v>
      </c>
      <c r="AR17" s="79" t="s">
        <v>318</v>
      </c>
      <c r="AS17" s="78"/>
      <c r="AT17" s="79">
        <v>10</v>
      </c>
      <c r="AU17" s="79">
        <v>0</v>
      </c>
      <c r="AV17" s="79">
        <v>0</v>
      </c>
      <c r="AW17" s="79">
        <v>0</v>
      </c>
      <c r="AX17" s="79">
        <v>0</v>
      </c>
      <c r="AY17" s="79">
        <v>0</v>
      </c>
      <c r="AZ17" s="79">
        <v>0</v>
      </c>
      <c r="BA17" s="79">
        <v>0</v>
      </c>
      <c r="BB17" s="79">
        <v>0</v>
      </c>
      <c r="BC17" s="79">
        <v>0</v>
      </c>
      <c r="BD17" s="79">
        <v>0</v>
      </c>
      <c r="BE17" s="79">
        <v>0</v>
      </c>
      <c r="BF17" s="79"/>
      <c r="BG17" s="79" t="s">
        <v>313</v>
      </c>
      <c r="BH17" s="79">
        <v>12</v>
      </c>
      <c r="BI17" s="79" t="s">
        <v>313</v>
      </c>
      <c r="BJ17" s="79"/>
      <c r="BK17" s="79"/>
      <c r="BL17" s="79"/>
      <c r="BM17" s="79"/>
      <c r="BN17" s="83"/>
      <c r="BO17" s="83"/>
      <c r="BP17" s="79"/>
      <c r="BQ17" s="164" t="s">
        <v>327</v>
      </c>
      <c r="BR17" s="165"/>
      <c r="BS17" s="146" t="s">
        <v>296</v>
      </c>
      <c r="BT17" s="146" t="s">
        <v>301</v>
      </c>
    </row>
    <row r="18" spans="1:114" x14ac:dyDescent="0.15">
      <c r="A18" s="75">
        <v>10240</v>
      </c>
      <c r="B18" s="163">
        <v>42202</v>
      </c>
      <c r="C18" s="158" t="s">
        <v>309</v>
      </c>
      <c r="D18" s="159" t="s">
        <v>310</v>
      </c>
      <c r="E18" s="160"/>
      <c r="F18" s="78" t="s">
        <v>349</v>
      </c>
      <c r="G18" s="147">
        <v>42185</v>
      </c>
      <c r="H18" s="79" t="s">
        <v>312</v>
      </c>
      <c r="I18" s="79" t="s">
        <v>313</v>
      </c>
      <c r="J18" s="79"/>
      <c r="K18" s="78" t="s">
        <v>328</v>
      </c>
      <c r="L18" s="159" t="s">
        <v>329</v>
      </c>
      <c r="M18" s="161">
        <v>98.327272727272714</v>
      </c>
      <c r="N18" s="161">
        <v>29.809090909090905</v>
      </c>
      <c r="O18" s="78"/>
      <c r="P18" s="78"/>
      <c r="Q18" s="161"/>
      <c r="R18" s="80"/>
      <c r="S18" s="162" t="s">
        <v>316</v>
      </c>
      <c r="T18" s="78"/>
      <c r="U18" s="162" t="s">
        <v>316</v>
      </c>
      <c r="V18" s="162" t="s">
        <v>316</v>
      </c>
      <c r="W18" s="161">
        <v>17.081818181818178</v>
      </c>
      <c r="X18" s="78"/>
      <c r="Y18" s="78"/>
      <c r="Z18" s="78"/>
      <c r="AA18" s="78"/>
      <c r="AB18" s="78"/>
      <c r="AC18" s="78"/>
      <c r="AD18" s="162" t="s">
        <v>316</v>
      </c>
      <c r="AE18" s="161"/>
      <c r="AF18" s="78"/>
      <c r="AG18" s="78"/>
      <c r="AH18" s="161">
        <v>21.427272727272726</v>
      </c>
      <c r="AI18" s="78"/>
      <c r="AJ18" s="78"/>
      <c r="AK18" s="162" t="s">
        <v>316</v>
      </c>
      <c r="AL18" s="78" t="s">
        <v>350</v>
      </c>
      <c r="AM18" s="79" t="s">
        <v>313</v>
      </c>
      <c r="AN18" s="79"/>
      <c r="AO18" s="79"/>
      <c r="AP18" s="79"/>
      <c r="AQ18" s="79"/>
      <c r="AR18" s="79" t="s">
        <v>318</v>
      </c>
      <c r="AS18" s="78"/>
      <c r="AT18" s="79">
        <v>0</v>
      </c>
      <c r="AU18" s="79">
        <v>0</v>
      </c>
      <c r="AV18" s="79">
        <v>10</v>
      </c>
      <c r="AW18" s="79">
        <v>0</v>
      </c>
      <c r="AX18" s="79">
        <v>0</v>
      </c>
      <c r="AY18" s="79">
        <v>0</v>
      </c>
      <c r="AZ18" s="79">
        <v>0</v>
      </c>
      <c r="BA18" s="79">
        <v>0</v>
      </c>
      <c r="BB18" s="79">
        <v>0</v>
      </c>
      <c r="BC18" s="79">
        <v>0</v>
      </c>
      <c r="BD18" s="79">
        <v>0</v>
      </c>
      <c r="BE18" s="79">
        <v>0</v>
      </c>
      <c r="BF18" s="79"/>
      <c r="BG18" s="79" t="s">
        <v>313</v>
      </c>
      <c r="BH18" s="79"/>
      <c r="BI18" s="79" t="s">
        <v>313</v>
      </c>
      <c r="BJ18" s="79"/>
      <c r="BK18" s="79"/>
      <c r="BL18" s="79"/>
      <c r="BM18" s="79"/>
      <c r="BN18" s="83"/>
      <c r="BO18" s="83"/>
      <c r="BP18" s="79"/>
      <c r="BQ18" s="164" t="s">
        <v>327</v>
      </c>
      <c r="BR18" s="166" t="s">
        <v>330</v>
      </c>
      <c r="BS18" s="167" t="s">
        <v>352</v>
      </c>
      <c r="BT18" s="146" t="s">
        <v>281</v>
      </c>
    </row>
    <row r="19" spans="1:114" s="169" customFormat="1" x14ac:dyDescent="0.15">
      <c r="A19" s="75"/>
      <c r="B19" s="163">
        <v>42203</v>
      </c>
      <c r="C19" s="158" t="s">
        <v>309</v>
      </c>
      <c r="D19" s="159" t="s">
        <v>310</v>
      </c>
      <c r="E19" s="160"/>
      <c r="F19" s="78" t="s">
        <v>349</v>
      </c>
      <c r="G19" s="147">
        <v>42187</v>
      </c>
      <c r="H19" s="79" t="s">
        <v>312</v>
      </c>
      <c r="I19" s="79" t="s">
        <v>313</v>
      </c>
      <c r="J19" s="79"/>
      <c r="K19" s="78" t="s">
        <v>332</v>
      </c>
      <c r="L19" s="78" t="s">
        <v>333</v>
      </c>
      <c r="M19" s="161">
        <v>83.181818181818173</v>
      </c>
      <c r="N19" s="161">
        <v>25.909090909090907</v>
      </c>
      <c r="O19" s="78"/>
      <c r="P19" s="78"/>
      <c r="Q19" s="159"/>
      <c r="R19" s="80"/>
      <c r="S19" s="162" t="s">
        <v>316</v>
      </c>
      <c r="T19" s="78"/>
      <c r="U19" s="162" t="s">
        <v>316</v>
      </c>
      <c r="V19" s="162" t="s">
        <v>316</v>
      </c>
      <c r="W19" s="161">
        <v>14.999999999999998</v>
      </c>
      <c r="X19" s="78"/>
      <c r="Y19" s="78"/>
      <c r="Z19" s="78"/>
      <c r="AA19" s="78"/>
      <c r="AB19" s="78"/>
      <c r="AC19" s="78"/>
      <c r="AD19" s="162" t="s">
        <v>316</v>
      </c>
      <c r="AE19" s="161"/>
      <c r="AF19" s="78"/>
      <c r="AG19" s="78"/>
      <c r="AH19" s="161">
        <v>18.18181818181818</v>
      </c>
      <c r="AI19" s="78"/>
      <c r="AJ19" s="78"/>
      <c r="AK19" s="162" t="s">
        <v>316</v>
      </c>
      <c r="AL19" t="s">
        <v>350</v>
      </c>
      <c r="AM19" s="79" t="s">
        <v>313</v>
      </c>
      <c r="AN19" s="79"/>
      <c r="AO19" s="79"/>
      <c r="AP19" s="81"/>
      <c r="AQ19" s="79">
        <v>16</v>
      </c>
      <c r="AR19" s="79" t="s">
        <v>318</v>
      </c>
      <c r="AS19" s="78"/>
      <c r="AT19" s="79">
        <v>0</v>
      </c>
      <c r="AU19" s="79">
        <v>0</v>
      </c>
      <c r="AV19" s="79">
        <v>0</v>
      </c>
      <c r="AW19" s="79">
        <v>0</v>
      </c>
      <c r="AX19" s="79">
        <v>0</v>
      </c>
      <c r="AY19" s="79">
        <v>0</v>
      </c>
      <c r="AZ19" s="79">
        <v>0</v>
      </c>
      <c r="BA19" s="79">
        <v>0</v>
      </c>
      <c r="BB19" s="79">
        <v>0</v>
      </c>
      <c r="BC19" s="79">
        <v>0</v>
      </c>
      <c r="BD19" s="79">
        <v>0</v>
      </c>
      <c r="BE19" s="79">
        <v>0</v>
      </c>
      <c r="BF19" s="79"/>
      <c r="BG19" s="79" t="s">
        <v>313</v>
      </c>
      <c r="BH19" s="79"/>
      <c r="BI19" s="79" t="s">
        <v>313</v>
      </c>
      <c r="BJ19" s="168">
        <v>212.72727272727272</v>
      </c>
      <c r="BK19" s="79"/>
      <c r="BL19" s="79"/>
      <c r="BM19" s="79"/>
      <c r="BN19" s="83"/>
      <c r="BO19" s="83"/>
      <c r="BP19" s="79"/>
      <c r="BQ19" s="164" t="s">
        <v>327</v>
      </c>
      <c r="BR19" s="83" t="s">
        <v>334</v>
      </c>
      <c r="BS19" s="146" t="s">
        <v>296</v>
      </c>
      <c r="BT19" s="146" t="s">
        <v>301</v>
      </c>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s="169" customFormat="1" x14ac:dyDescent="0.15">
      <c r="A20" s="75"/>
      <c r="B20" s="163">
        <v>42203</v>
      </c>
      <c r="C20" s="158" t="s">
        <v>309</v>
      </c>
      <c r="D20" s="159" t="s">
        <v>310</v>
      </c>
      <c r="E20" s="160"/>
      <c r="F20" s="78" t="s">
        <v>349</v>
      </c>
      <c r="G20" s="147">
        <v>42184</v>
      </c>
      <c r="H20" s="79" t="s">
        <v>337</v>
      </c>
      <c r="I20" s="79" t="s">
        <v>324</v>
      </c>
      <c r="J20" s="79"/>
      <c r="K20" s="78" t="s">
        <v>338</v>
      </c>
      <c r="L20" s="78" t="s">
        <v>339</v>
      </c>
      <c r="M20" s="161">
        <v>66.563636363636363</v>
      </c>
      <c r="N20" s="161">
        <v>26.25454545454545</v>
      </c>
      <c r="O20" s="78"/>
      <c r="P20" s="78"/>
      <c r="Q20" s="159"/>
      <c r="R20" s="80"/>
      <c r="S20" s="162" t="s">
        <v>316</v>
      </c>
      <c r="T20" s="78"/>
      <c r="U20" s="162" t="s">
        <v>316</v>
      </c>
      <c r="V20" s="162" t="s">
        <v>316</v>
      </c>
      <c r="W20" s="161">
        <v>15.28181818181818</v>
      </c>
      <c r="X20" s="78"/>
      <c r="Y20" s="78"/>
      <c r="Z20" s="78"/>
      <c r="AA20" s="78"/>
      <c r="AB20" s="78"/>
      <c r="AC20" s="78"/>
      <c r="AD20" s="162" t="s">
        <v>316</v>
      </c>
      <c r="AE20" s="159"/>
      <c r="AF20" s="78"/>
      <c r="AG20" s="78"/>
      <c r="AH20" s="161">
        <v>18.563636363636363</v>
      </c>
      <c r="AI20" s="78"/>
      <c r="AJ20" s="78"/>
      <c r="AK20" s="162" t="s">
        <v>316</v>
      </c>
      <c r="AL20" t="s">
        <v>350</v>
      </c>
      <c r="AM20" s="79" t="s">
        <v>313</v>
      </c>
      <c r="AN20" s="79"/>
      <c r="AO20" s="79"/>
      <c r="AP20" s="81"/>
      <c r="AQ20" s="79">
        <v>10</v>
      </c>
      <c r="AR20" s="79" t="s">
        <v>318</v>
      </c>
      <c r="AS20" s="78"/>
      <c r="AT20" s="79">
        <v>0</v>
      </c>
      <c r="AU20" s="79">
        <v>0</v>
      </c>
      <c r="AV20" s="79">
        <v>0</v>
      </c>
      <c r="AW20" s="79">
        <v>0</v>
      </c>
      <c r="AX20" s="79">
        <v>0</v>
      </c>
      <c r="AY20" s="79">
        <v>0</v>
      </c>
      <c r="AZ20" s="79">
        <v>0</v>
      </c>
      <c r="BA20" s="79">
        <v>0</v>
      </c>
      <c r="BB20" s="79">
        <v>0</v>
      </c>
      <c r="BC20" s="79">
        <v>0</v>
      </c>
      <c r="BD20" s="79">
        <v>0</v>
      </c>
      <c r="BE20" s="79">
        <v>0</v>
      </c>
      <c r="BF20" s="79"/>
      <c r="BG20" s="79" t="s">
        <v>313</v>
      </c>
      <c r="BH20" s="79"/>
      <c r="BI20" s="79" t="s">
        <v>313</v>
      </c>
      <c r="BJ20" s="168">
        <v>35.454545454545453</v>
      </c>
      <c r="BK20" s="79"/>
      <c r="BL20" s="79"/>
      <c r="BM20" s="79"/>
      <c r="BN20" s="83"/>
      <c r="BO20" s="83"/>
      <c r="BP20" s="79"/>
      <c r="BQ20" s="164" t="s">
        <v>327</v>
      </c>
      <c r="BR20" s="159" t="s">
        <v>330</v>
      </c>
      <c r="BS20" s="146" t="s">
        <v>296</v>
      </c>
      <c r="BT20" s="146" t="s">
        <v>301</v>
      </c>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sheetData>
  <sheetProtection algorithmName="SHA-512" hashValue="8eZp073CdV1Wntyns8hgnjxJlkRt871ST+JssXMvaGVJwxz8DzilGNMY11tqd+Z0toULfh6xQjZpMzpx072aRg==" saltValue="j9BD/laBfvaEY2jSLUZFuA==" spinCount="100000" sheet="1" objects="1" scenarios="1"/>
  <hyperlinks>
    <hyperlink ref="BS5" r:id="rId1" xr:uid="{FEACC357-2D6C-244F-A7BC-0FF6A09FAD15}"/>
    <hyperlink ref="BS13" r:id="rId2" xr:uid="{2C22A925-4950-564E-B06F-FA55332DADF3}"/>
    <hyperlink ref="BS18" r:id="rId3" xr:uid="{C0B906EF-3D57-DD4A-8355-126310779C3F}"/>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9DDE8-8ED3-114A-B0DA-E79E691152AC}">
  <sheetPr codeName="Sheet9"/>
  <dimension ref="A1:BO12"/>
  <sheetViews>
    <sheetView topLeftCell="D1" zoomScale="118" workbookViewId="0">
      <selection activeCell="F6" sqref="F6"/>
    </sheetView>
  </sheetViews>
  <sheetFormatPr baseColWidth="10" defaultColWidth="11.1640625" defaultRowHeight="13" x14ac:dyDescent="0.15"/>
  <cols>
    <col min="12" max="12" width="19" customWidth="1"/>
    <col min="38" max="38" width="12.83203125" customWidth="1"/>
  </cols>
  <sheetData>
    <row r="1" spans="1:67" ht="70" x14ac:dyDescent="0.15">
      <c r="A1" s="53" t="s">
        <v>137</v>
      </c>
      <c r="B1" s="53" t="s">
        <v>138</v>
      </c>
      <c r="C1" s="54" t="s">
        <v>139</v>
      </c>
      <c r="D1" s="55" t="s">
        <v>140</v>
      </c>
      <c r="E1" s="55" t="s">
        <v>141</v>
      </c>
      <c r="F1" s="55" t="s">
        <v>50</v>
      </c>
      <c r="G1" s="53" t="s">
        <v>51</v>
      </c>
      <c r="H1" s="56" t="s">
        <v>52</v>
      </c>
      <c r="I1" s="56" t="s">
        <v>53</v>
      </c>
      <c r="J1" s="56" t="s">
        <v>146</v>
      </c>
      <c r="K1" s="55" t="s">
        <v>147</v>
      </c>
      <c r="L1" s="57" t="s">
        <v>148</v>
      </c>
      <c r="M1" s="58" t="s">
        <v>201</v>
      </c>
      <c r="N1" s="59" t="s">
        <v>202</v>
      </c>
      <c r="O1" s="59" t="s">
        <v>203</v>
      </c>
      <c r="P1" s="59" t="s">
        <v>204</v>
      </c>
      <c r="Q1" s="59" t="s">
        <v>205</v>
      </c>
      <c r="R1" s="59" t="s">
        <v>157</v>
      </c>
      <c r="S1" s="59" t="s">
        <v>61</v>
      </c>
      <c r="T1" s="59" t="s">
        <v>62</v>
      </c>
      <c r="U1" s="59" t="s">
        <v>103</v>
      </c>
      <c r="V1" s="60" t="s">
        <v>3</v>
      </c>
      <c r="W1" s="61" t="s">
        <v>4</v>
      </c>
      <c r="X1" s="61" t="s">
        <v>5</v>
      </c>
      <c r="Y1" s="61" t="s">
        <v>104</v>
      </c>
      <c r="Z1" s="61" t="s">
        <v>105</v>
      </c>
      <c r="AA1" s="61" t="s">
        <v>106</v>
      </c>
      <c r="AB1" s="61" t="s">
        <v>107</v>
      </c>
      <c r="AC1" s="61" t="s">
        <v>108</v>
      </c>
      <c r="AD1" s="61" t="s">
        <v>95</v>
      </c>
      <c r="AE1" s="62" t="s">
        <v>96</v>
      </c>
      <c r="AF1" s="63" t="s">
        <v>97</v>
      </c>
      <c r="AG1" s="63" t="s">
        <v>98</v>
      </c>
      <c r="AH1" s="64" t="s">
        <v>99</v>
      </c>
      <c r="AI1" s="64" t="s">
        <v>27</v>
      </c>
      <c r="AJ1" s="64" t="s">
        <v>28</v>
      </c>
      <c r="AK1" s="64" t="s">
        <v>21</v>
      </c>
      <c r="AL1" s="65" t="s">
        <v>22</v>
      </c>
      <c r="AM1" s="66" t="s">
        <v>23</v>
      </c>
      <c r="AN1" s="66" t="s">
        <v>24</v>
      </c>
      <c r="AO1" s="67" t="s">
        <v>25</v>
      </c>
      <c r="AP1" s="68" t="s">
        <v>26</v>
      </c>
      <c r="AQ1" s="69" t="s">
        <v>59</v>
      </c>
      <c r="AR1" s="70" t="s">
        <v>60</v>
      </c>
      <c r="AS1" s="71" t="s">
        <v>128</v>
      </c>
      <c r="AT1" s="72" t="s">
        <v>129</v>
      </c>
      <c r="AU1" s="73" t="s">
        <v>130</v>
      </c>
      <c r="AV1" s="72" t="s">
        <v>131</v>
      </c>
      <c r="AW1" s="73" t="s">
        <v>206</v>
      </c>
      <c r="AX1" s="72" t="s">
        <v>207</v>
      </c>
      <c r="AY1" s="73" t="s">
        <v>208</v>
      </c>
      <c r="AZ1" s="72" t="s">
        <v>209</v>
      </c>
      <c r="BA1" s="74" t="s">
        <v>210</v>
      </c>
      <c r="BB1" s="72" t="s">
        <v>211</v>
      </c>
      <c r="BC1" s="74" t="s">
        <v>212</v>
      </c>
      <c r="BD1" s="56" t="s">
        <v>176</v>
      </c>
      <c r="BE1" s="56" t="s">
        <v>170</v>
      </c>
      <c r="BF1" s="56" t="s">
        <v>171</v>
      </c>
      <c r="BG1" s="56" t="s">
        <v>172</v>
      </c>
      <c r="BH1" s="56" t="s">
        <v>173</v>
      </c>
      <c r="BI1" s="54" t="s">
        <v>232</v>
      </c>
      <c r="BJ1" s="54" t="s">
        <v>233</v>
      </c>
      <c r="BK1" s="56" t="s">
        <v>7</v>
      </c>
      <c r="BL1" s="56" t="s">
        <v>8</v>
      </c>
      <c r="BM1" s="54" t="s">
        <v>9</v>
      </c>
      <c r="BN1" s="56" t="s">
        <v>10</v>
      </c>
      <c r="BO1" s="53" t="s">
        <v>153</v>
      </c>
    </row>
    <row r="2" spans="1:67" ht="12" customHeight="1" x14ac:dyDescent="0.15">
      <c r="A2" s="75">
        <v>3132</v>
      </c>
      <c r="B2" s="145">
        <v>41828</v>
      </c>
      <c r="C2" s="77" t="s">
        <v>242</v>
      </c>
      <c r="D2" s="78" t="s">
        <v>243</v>
      </c>
      <c r="E2" s="78"/>
      <c r="F2" s="78" t="s">
        <v>244</v>
      </c>
      <c r="G2" s="76">
        <v>41820</v>
      </c>
      <c r="H2" s="79" t="s">
        <v>245</v>
      </c>
      <c r="I2" s="79" t="s">
        <v>246</v>
      </c>
      <c r="J2" s="79"/>
      <c r="K2" s="78" t="s">
        <v>243</v>
      </c>
      <c r="L2" s="78" t="s">
        <v>247</v>
      </c>
      <c r="M2" s="78">
        <v>97.5</v>
      </c>
      <c r="N2" s="78">
        <v>22.76</v>
      </c>
      <c r="O2" s="78"/>
      <c r="P2" s="78"/>
      <c r="Q2" s="78"/>
      <c r="R2" s="80"/>
      <c r="S2" s="78"/>
      <c r="T2" s="78"/>
      <c r="U2" s="78"/>
      <c r="V2" s="78"/>
      <c r="W2" s="78"/>
      <c r="X2" s="78"/>
      <c r="Y2" s="78"/>
      <c r="Z2" s="78"/>
      <c r="AA2" s="78"/>
      <c r="AB2" s="78"/>
      <c r="AC2" s="78"/>
      <c r="AD2" s="78"/>
      <c r="AE2" s="78"/>
      <c r="AF2" s="78"/>
      <c r="AG2" s="78"/>
      <c r="AH2" s="78"/>
      <c r="AI2" s="78"/>
      <c r="AJ2" s="78"/>
      <c r="AK2" s="78"/>
      <c r="AL2" s="78" t="s">
        <v>248</v>
      </c>
      <c r="AM2" s="79" t="s">
        <v>246</v>
      </c>
      <c r="AN2" s="79"/>
      <c r="AO2" s="79"/>
      <c r="AP2" s="81" t="s">
        <v>249</v>
      </c>
      <c r="AQ2" s="79">
        <v>8</v>
      </c>
      <c r="AR2" s="79" t="s">
        <v>250</v>
      </c>
      <c r="AS2" s="78"/>
      <c r="AT2" s="79">
        <v>0</v>
      </c>
      <c r="AU2" s="79">
        <v>12</v>
      </c>
      <c r="AV2" s="79">
        <v>0</v>
      </c>
      <c r="AW2" s="79">
        <v>0</v>
      </c>
      <c r="AX2" s="79">
        <v>0</v>
      </c>
      <c r="AY2" s="79">
        <v>0</v>
      </c>
      <c r="AZ2" s="79">
        <v>0</v>
      </c>
      <c r="BA2" s="79">
        <v>0</v>
      </c>
      <c r="BB2" s="79">
        <v>0</v>
      </c>
      <c r="BC2" s="79">
        <v>0</v>
      </c>
      <c r="BD2" s="79">
        <v>0</v>
      </c>
      <c r="BE2" s="79" t="s">
        <v>246</v>
      </c>
      <c r="BF2" s="79">
        <v>12</v>
      </c>
      <c r="BG2" s="79" t="s">
        <v>246</v>
      </c>
      <c r="BH2" s="79"/>
      <c r="BI2" s="78"/>
      <c r="BJ2" s="78"/>
      <c r="BK2" s="79"/>
      <c r="BL2" s="79" t="s">
        <v>251</v>
      </c>
      <c r="BM2" s="78" t="s">
        <v>294</v>
      </c>
      <c r="BN2" t="s">
        <v>295</v>
      </c>
      <c r="BO2" s="146" t="s">
        <v>281</v>
      </c>
    </row>
    <row r="3" spans="1:67" ht="12" customHeight="1" x14ac:dyDescent="0.15">
      <c r="A3" s="75">
        <v>1765</v>
      </c>
      <c r="B3" s="145">
        <v>41829</v>
      </c>
      <c r="C3" s="77" t="s">
        <v>242</v>
      </c>
      <c r="D3" s="78" t="s">
        <v>243</v>
      </c>
      <c r="E3" s="78"/>
      <c r="F3" s="78" t="s">
        <v>244</v>
      </c>
      <c r="G3" s="76">
        <v>41761</v>
      </c>
      <c r="H3" s="79" t="s">
        <v>245</v>
      </c>
      <c r="I3" s="79" t="s">
        <v>246</v>
      </c>
      <c r="J3" s="79"/>
      <c r="K3" s="78" t="s">
        <v>254</v>
      </c>
      <c r="L3" s="78" t="s">
        <v>255</v>
      </c>
      <c r="M3" s="78">
        <v>74.400000000000006</v>
      </c>
      <c r="N3" s="78">
        <v>21.45</v>
      </c>
      <c r="O3" s="78"/>
      <c r="P3" s="78"/>
      <c r="Q3" s="78"/>
      <c r="R3" s="80"/>
      <c r="S3" s="78"/>
      <c r="T3" s="78"/>
      <c r="U3" s="78"/>
      <c r="V3" s="78"/>
      <c r="W3" s="78"/>
      <c r="X3" s="78"/>
      <c r="Y3" s="78"/>
      <c r="Z3" s="78"/>
      <c r="AA3" s="78"/>
      <c r="AB3" s="78"/>
      <c r="AC3" s="78"/>
      <c r="AD3" s="78"/>
      <c r="AE3" s="78"/>
      <c r="AF3" s="78"/>
      <c r="AG3" s="78"/>
      <c r="AH3" s="78"/>
      <c r="AI3" s="78"/>
      <c r="AJ3" s="78"/>
      <c r="AK3" s="78"/>
      <c r="AL3" t="s">
        <v>248</v>
      </c>
      <c r="AM3" s="79" t="s">
        <v>246</v>
      </c>
      <c r="AN3" s="79"/>
      <c r="AO3" s="79"/>
      <c r="AP3" s="81" t="s">
        <v>276</v>
      </c>
      <c r="AQ3" s="79">
        <v>12.5</v>
      </c>
      <c r="AR3" s="79" t="s">
        <v>250</v>
      </c>
      <c r="AS3" s="78"/>
      <c r="AT3" s="79">
        <v>0</v>
      </c>
      <c r="AU3" s="79">
        <v>0</v>
      </c>
      <c r="AV3" s="79">
        <v>0</v>
      </c>
      <c r="AW3" s="79">
        <v>11</v>
      </c>
      <c r="AX3" s="79">
        <v>0</v>
      </c>
      <c r="AY3" s="79">
        <v>0</v>
      </c>
      <c r="AZ3" s="79">
        <v>0</v>
      </c>
      <c r="BA3" s="79">
        <v>0</v>
      </c>
      <c r="BB3" s="79">
        <v>0</v>
      </c>
      <c r="BC3" s="79">
        <v>0</v>
      </c>
      <c r="BD3" s="79">
        <v>0</v>
      </c>
      <c r="BE3" s="79" t="s">
        <v>246</v>
      </c>
      <c r="BF3" s="79">
        <v>12</v>
      </c>
      <c r="BG3" s="79" t="s">
        <v>246</v>
      </c>
      <c r="BH3" s="79"/>
      <c r="BI3" s="78"/>
      <c r="BJ3" s="78"/>
      <c r="BK3" s="79"/>
      <c r="BL3" s="79" t="s">
        <v>251</v>
      </c>
      <c r="BM3" s="78"/>
      <c r="BN3" t="s">
        <v>296</v>
      </c>
      <c r="BO3" s="82" t="s">
        <v>297</v>
      </c>
    </row>
    <row r="4" spans="1:67" x14ac:dyDescent="0.15">
      <c r="A4" s="75">
        <v>4162</v>
      </c>
      <c r="B4" s="145">
        <v>41828</v>
      </c>
      <c r="C4" s="77" t="s">
        <v>267</v>
      </c>
      <c r="D4" s="78" t="s">
        <v>268</v>
      </c>
      <c r="E4" s="78"/>
      <c r="F4" s="78" t="s">
        <v>269</v>
      </c>
      <c r="G4" s="147">
        <v>41820</v>
      </c>
      <c r="H4" s="79" t="s">
        <v>270</v>
      </c>
      <c r="I4" s="79" t="s">
        <v>271</v>
      </c>
      <c r="J4" s="79"/>
      <c r="K4" s="78" t="s">
        <v>272</v>
      </c>
      <c r="L4" s="78" t="s">
        <v>273</v>
      </c>
      <c r="M4" s="78">
        <v>86.44</v>
      </c>
      <c r="N4" s="78">
        <v>20.99</v>
      </c>
      <c r="O4" s="78"/>
      <c r="P4" s="78"/>
      <c r="Q4" s="78"/>
      <c r="R4" s="80"/>
      <c r="S4" s="78"/>
      <c r="T4" s="78"/>
      <c r="U4" s="78"/>
      <c r="V4" s="78"/>
      <c r="W4" s="78"/>
      <c r="X4" s="78"/>
      <c r="Y4" s="78"/>
      <c r="Z4" s="78"/>
      <c r="AA4" s="78"/>
      <c r="AB4" s="78"/>
      <c r="AC4" s="78"/>
      <c r="AD4" s="78"/>
      <c r="AE4" s="78"/>
      <c r="AF4" s="78"/>
      <c r="AG4" s="78"/>
      <c r="AH4" s="78"/>
      <c r="AI4" s="78"/>
      <c r="AJ4" s="78"/>
      <c r="AK4" s="78"/>
      <c r="AL4" s="78" t="s">
        <v>274</v>
      </c>
      <c r="AM4" s="79" t="s">
        <v>275</v>
      </c>
      <c r="AN4" s="79"/>
      <c r="AO4" s="79"/>
      <c r="AP4" s="81" t="s">
        <v>276</v>
      </c>
      <c r="AQ4" s="79">
        <v>17</v>
      </c>
      <c r="AR4" s="79" t="s">
        <v>277</v>
      </c>
      <c r="AS4" s="78"/>
      <c r="AT4" s="79">
        <v>0</v>
      </c>
      <c r="AU4" s="79">
        <v>12</v>
      </c>
      <c r="AV4" s="79">
        <v>0</v>
      </c>
      <c r="AW4" s="79">
        <v>0</v>
      </c>
      <c r="AX4" s="79">
        <v>0</v>
      </c>
      <c r="AY4" s="79">
        <v>0</v>
      </c>
      <c r="AZ4" s="79">
        <v>0</v>
      </c>
      <c r="BA4" s="79">
        <v>0</v>
      </c>
      <c r="BB4" s="79">
        <v>0</v>
      </c>
      <c r="BC4" s="79">
        <v>0</v>
      </c>
      <c r="BD4" s="79">
        <v>0</v>
      </c>
      <c r="BE4" s="79" t="s">
        <v>275</v>
      </c>
      <c r="BF4" s="79">
        <v>24</v>
      </c>
      <c r="BG4" s="79" t="s">
        <v>275</v>
      </c>
      <c r="BH4" s="79"/>
      <c r="BI4" s="83"/>
      <c r="BJ4" s="83"/>
      <c r="BK4" s="79"/>
      <c r="BL4" s="79" t="s">
        <v>278</v>
      </c>
      <c r="BM4" s="83" t="s">
        <v>298</v>
      </c>
      <c r="BN4" s="146" t="s">
        <v>296</v>
      </c>
      <c r="BO4" s="146" t="s">
        <v>281</v>
      </c>
    </row>
    <row r="5" spans="1:67" ht="12" customHeight="1" x14ac:dyDescent="0.15">
      <c r="A5" s="75">
        <v>3133</v>
      </c>
      <c r="B5" s="145">
        <v>41828</v>
      </c>
      <c r="C5" s="77" t="s">
        <v>242</v>
      </c>
      <c r="D5" s="78" t="s">
        <v>243</v>
      </c>
      <c r="E5" s="78"/>
      <c r="F5" s="78" t="s">
        <v>257</v>
      </c>
      <c r="G5" s="76">
        <v>41820</v>
      </c>
      <c r="H5" s="79" t="s">
        <v>245</v>
      </c>
      <c r="I5" s="79" t="s">
        <v>246</v>
      </c>
      <c r="J5" s="79"/>
      <c r="K5" s="78" t="s">
        <v>243</v>
      </c>
      <c r="L5" s="78" t="s">
        <v>258</v>
      </c>
      <c r="M5" s="78">
        <v>119.3</v>
      </c>
      <c r="N5" s="78">
        <v>21.55</v>
      </c>
      <c r="O5" s="78" t="s">
        <v>299</v>
      </c>
      <c r="P5" s="78">
        <v>5500</v>
      </c>
      <c r="Q5" s="78">
        <v>22.84</v>
      </c>
      <c r="R5" s="80"/>
      <c r="S5" s="78"/>
      <c r="T5" s="78"/>
      <c r="U5" s="78"/>
      <c r="V5" s="78"/>
      <c r="W5" s="78"/>
      <c r="X5" s="78"/>
      <c r="Y5" s="78"/>
      <c r="Z5" s="78"/>
      <c r="AA5" s="78"/>
      <c r="AB5" s="78"/>
      <c r="AC5" s="78"/>
      <c r="AD5" s="78"/>
      <c r="AE5" s="78"/>
      <c r="AF5" s="78"/>
      <c r="AG5" s="78"/>
      <c r="AH5" s="78"/>
      <c r="AI5" s="78"/>
      <c r="AJ5" s="78"/>
      <c r="AK5" s="78"/>
      <c r="AL5" s="78" t="s">
        <v>260</v>
      </c>
      <c r="AM5" s="79" t="s">
        <v>246</v>
      </c>
      <c r="AN5" s="79"/>
      <c r="AO5" s="79"/>
      <c r="AP5" s="81" t="s">
        <v>249</v>
      </c>
      <c r="AQ5" s="79">
        <v>8</v>
      </c>
      <c r="AR5" s="79" t="s">
        <v>250</v>
      </c>
      <c r="AS5" s="78"/>
      <c r="AT5" s="79">
        <v>0</v>
      </c>
      <c r="AU5" s="79">
        <v>12</v>
      </c>
      <c r="AV5" s="79">
        <v>0</v>
      </c>
      <c r="AW5" s="79">
        <v>0</v>
      </c>
      <c r="AX5" s="79">
        <v>0</v>
      </c>
      <c r="AY5" s="79">
        <v>0</v>
      </c>
      <c r="AZ5" s="79">
        <v>0</v>
      </c>
      <c r="BA5" s="79">
        <v>0</v>
      </c>
      <c r="BB5" s="79">
        <v>0</v>
      </c>
      <c r="BC5" s="79">
        <v>0</v>
      </c>
      <c r="BD5" s="79">
        <v>0</v>
      </c>
      <c r="BE5" s="79" t="s">
        <v>246</v>
      </c>
      <c r="BF5" s="79">
        <v>12</v>
      </c>
      <c r="BG5" s="79" t="s">
        <v>246</v>
      </c>
      <c r="BH5" s="79"/>
      <c r="BI5" s="78"/>
      <c r="BJ5" s="78"/>
      <c r="BK5" s="79"/>
      <c r="BL5" s="79" t="s">
        <v>251</v>
      </c>
      <c r="BM5" s="78" t="s">
        <v>294</v>
      </c>
      <c r="BN5" t="s">
        <v>300</v>
      </c>
      <c r="BO5" s="146" t="s">
        <v>301</v>
      </c>
    </row>
    <row r="6" spans="1:67" x14ac:dyDescent="0.15">
      <c r="A6" s="75">
        <v>4163</v>
      </c>
      <c r="B6" s="145">
        <v>41828</v>
      </c>
      <c r="C6" s="77" t="s">
        <v>267</v>
      </c>
      <c r="D6" s="78" t="s">
        <v>268</v>
      </c>
      <c r="E6" s="78"/>
      <c r="F6" s="78" t="s">
        <v>269</v>
      </c>
      <c r="G6" s="147">
        <v>41820</v>
      </c>
      <c r="H6" s="79" t="s">
        <v>270</v>
      </c>
      <c r="I6" s="79" t="s">
        <v>271</v>
      </c>
      <c r="J6" s="79"/>
      <c r="K6" s="78" t="s">
        <v>272</v>
      </c>
      <c r="L6" s="78" t="s">
        <v>273</v>
      </c>
      <c r="M6" s="78">
        <v>108</v>
      </c>
      <c r="N6" s="78">
        <v>19.05</v>
      </c>
      <c r="O6" s="78" t="s">
        <v>299</v>
      </c>
      <c r="P6" s="78">
        <v>5500</v>
      </c>
      <c r="Q6" s="78">
        <v>20.63</v>
      </c>
      <c r="R6" s="80"/>
      <c r="S6" s="78"/>
      <c r="T6" s="78"/>
      <c r="U6" s="78"/>
      <c r="V6" s="78"/>
      <c r="W6" s="78"/>
      <c r="X6" s="78"/>
      <c r="Y6" s="78"/>
      <c r="Z6" s="78"/>
      <c r="AA6" s="78"/>
      <c r="AB6" s="78"/>
      <c r="AC6" s="78"/>
      <c r="AD6" s="78"/>
      <c r="AE6" s="78"/>
      <c r="AF6" s="78"/>
      <c r="AG6" s="78"/>
      <c r="AH6" s="78"/>
      <c r="AI6" s="78"/>
      <c r="AJ6" s="78"/>
      <c r="AK6" s="78"/>
      <c r="AL6" s="78" t="s">
        <v>283</v>
      </c>
      <c r="AM6" s="79" t="s">
        <v>275</v>
      </c>
      <c r="AN6" s="79"/>
      <c r="AO6" s="79"/>
      <c r="AP6" s="81" t="s">
        <v>276</v>
      </c>
      <c r="AQ6" s="79">
        <v>17</v>
      </c>
      <c r="AR6" s="79" t="s">
        <v>277</v>
      </c>
      <c r="AS6" s="78"/>
      <c r="AT6" s="79">
        <v>0</v>
      </c>
      <c r="AU6" s="79">
        <v>12</v>
      </c>
      <c r="AV6" s="79">
        <v>0</v>
      </c>
      <c r="AW6" s="79">
        <v>0</v>
      </c>
      <c r="AX6" s="79">
        <v>0</v>
      </c>
      <c r="AY6" s="79">
        <v>0</v>
      </c>
      <c r="AZ6" s="79">
        <v>0</v>
      </c>
      <c r="BA6" s="79">
        <v>0</v>
      </c>
      <c r="BB6" s="79">
        <v>0</v>
      </c>
      <c r="BC6" s="79">
        <v>0</v>
      </c>
      <c r="BD6" s="79">
        <v>0</v>
      </c>
      <c r="BE6" s="79" t="s">
        <v>275</v>
      </c>
      <c r="BF6" s="79">
        <v>24</v>
      </c>
      <c r="BG6" s="79" t="s">
        <v>275</v>
      </c>
      <c r="BH6" s="79"/>
      <c r="BI6" s="83"/>
      <c r="BJ6" s="83"/>
      <c r="BK6" s="79"/>
      <c r="BL6" s="79" t="s">
        <v>278</v>
      </c>
      <c r="BM6" s="83" t="s">
        <v>298</v>
      </c>
      <c r="BN6" s="146" t="s">
        <v>296</v>
      </c>
      <c r="BO6" s="146" t="s">
        <v>281</v>
      </c>
    </row>
    <row r="7" spans="1:67" ht="12" customHeight="1" x14ac:dyDescent="0.15">
      <c r="A7" s="75">
        <v>3135</v>
      </c>
      <c r="B7" s="145">
        <v>41828</v>
      </c>
      <c r="C7" s="77" t="s">
        <v>242</v>
      </c>
      <c r="D7" s="78" t="s">
        <v>243</v>
      </c>
      <c r="E7" s="78"/>
      <c r="F7" s="78" t="s">
        <v>261</v>
      </c>
      <c r="G7" s="76">
        <v>41820</v>
      </c>
      <c r="H7" s="79" t="s">
        <v>245</v>
      </c>
      <c r="I7" s="79" t="s">
        <v>246</v>
      </c>
      <c r="J7" s="79"/>
      <c r="K7" s="78" t="s">
        <v>243</v>
      </c>
      <c r="L7" s="78" t="s">
        <v>262</v>
      </c>
      <c r="M7" s="78">
        <v>97.5</v>
      </c>
      <c r="N7" s="78">
        <v>22.76</v>
      </c>
      <c r="O7" s="78"/>
      <c r="P7" s="78"/>
      <c r="Q7" s="78"/>
      <c r="R7" s="80"/>
      <c r="S7" s="78"/>
      <c r="T7" s="78"/>
      <c r="U7" s="78"/>
      <c r="V7" s="78"/>
      <c r="W7" s="78"/>
      <c r="X7" s="78"/>
      <c r="Y7" s="78"/>
      <c r="Z7" s="78"/>
      <c r="AA7" s="78"/>
      <c r="AB7" s="78"/>
      <c r="AC7" s="78"/>
      <c r="AD7" s="78"/>
      <c r="AE7" s="78">
        <v>14.13</v>
      </c>
      <c r="AF7" s="78"/>
      <c r="AG7" s="78"/>
      <c r="AH7" s="78"/>
      <c r="AI7" s="78"/>
      <c r="AJ7" s="78"/>
      <c r="AK7" s="78"/>
      <c r="AL7" s="78" t="s">
        <v>263</v>
      </c>
      <c r="AM7" s="79" t="s">
        <v>246</v>
      </c>
      <c r="AN7" s="79"/>
      <c r="AO7" s="79"/>
      <c r="AP7" s="81" t="s">
        <v>249</v>
      </c>
      <c r="AQ7" s="79">
        <v>8</v>
      </c>
      <c r="AR7" s="79" t="s">
        <v>250</v>
      </c>
      <c r="AS7" s="78"/>
      <c r="AT7" s="79">
        <v>0</v>
      </c>
      <c r="AU7" s="79">
        <v>12</v>
      </c>
      <c r="AV7" s="79">
        <v>0</v>
      </c>
      <c r="AW7" s="79">
        <v>0</v>
      </c>
      <c r="AX7" s="79">
        <v>0</v>
      </c>
      <c r="AY7" s="79">
        <v>0</v>
      </c>
      <c r="AZ7" s="79">
        <v>0</v>
      </c>
      <c r="BA7" s="79">
        <v>0</v>
      </c>
      <c r="BB7" s="79">
        <v>0</v>
      </c>
      <c r="BC7" s="79">
        <v>0</v>
      </c>
      <c r="BD7" s="79">
        <v>0</v>
      </c>
      <c r="BE7" s="79" t="s">
        <v>246</v>
      </c>
      <c r="BF7" s="79">
        <v>12</v>
      </c>
      <c r="BG7" s="79" t="s">
        <v>246</v>
      </c>
      <c r="BH7" s="79"/>
      <c r="BI7" s="78"/>
      <c r="BJ7" s="78"/>
      <c r="BK7" s="79"/>
      <c r="BL7" s="79" t="s">
        <v>251</v>
      </c>
      <c r="BM7" s="78" t="s">
        <v>294</v>
      </c>
      <c r="BN7" t="s">
        <v>295</v>
      </c>
      <c r="BO7" s="146" t="s">
        <v>281</v>
      </c>
    </row>
    <row r="8" spans="1:67" ht="12" customHeight="1" x14ac:dyDescent="0.15">
      <c r="A8" s="75">
        <v>1766</v>
      </c>
      <c r="B8" s="145">
        <v>41829</v>
      </c>
      <c r="C8" s="77" t="s">
        <v>242</v>
      </c>
      <c r="D8" s="78" t="s">
        <v>243</v>
      </c>
      <c r="E8" s="78"/>
      <c r="F8" s="78" t="s">
        <v>261</v>
      </c>
      <c r="G8" s="76">
        <v>41761</v>
      </c>
      <c r="H8" s="79" t="s">
        <v>245</v>
      </c>
      <c r="I8" s="79" t="s">
        <v>246</v>
      </c>
      <c r="J8" s="79"/>
      <c r="K8" s="78" t="s">
        <v>254</v>
      </c>
      <c r="L8" s="78" t="s">
        <v>255</v>
      </c>
      <c r="M8" s="78">
        <v>74.400000000000006</v>
      </c>
      <c r="N8" s="78">
        <v>21.45</v>
      </c>
      <c r="O8" s="78"/>
      <c r="P8" s="78"/>
      <c r="Q8" s="78"/>
      <c r="R8" s="80"/>
      <c r="S8" s="78"/>
      <c r="T8" s="78"/>
      <c r="U8" s="78"/>
      <c r="V8" s="78"/>
      <c r="W8" s="78"/>
      <c r="X8" s="78"/>
      <c r="Y8" s="78"/>
      <c r="Z8" s="78"/>
      <c r="AA8" s="78"/>
      <c r="AB8" s="78"/>
      <c r="AC8" s="78"/>
      <c r="AD8" s="78"/>
      <c r="AE8" s="78">
        <v>11.68</v>
      </c>
      <c r="AF8" s="78"/>
      <c r="AG8" s="78"/>
      <c r="AH8" s="78"/>
      <c r="AI8" s="78"/>
      <c r="AJ8" s="78"/>
      <c r="AK8" s="78"/>
      <c r="AL8" s="78" t="s">
        <v>263</v>
      </c>
      <c r="AM8" s="79" t="s">
        <v>246</v>
      </c>
      <c r="AN8" s="79"/>
      <c r="AO8" s="79"/>
      <c r="AP8" s="81" t="s">
        <v>276</v>
      </c>
      <c r="AQ8" s="79">
        <v>12.5</v>
      </c>
      <c r="AR8" s="79" t="s">
        <v>250</v>
      </c>
      <c r="AS8" s="78"/>
      <c r="AT8" s="79">
        <v>0</v>
      </c>
      <c r="AU8" s="79">
        <v>0</v>
      </c>
      <c r="AV8" s="79">
        <v>0</v>
      </c>
      <c r="AW8" s="79">
        <v>11</v>
      </c>
      <c r="AX8" s="79">
        <v>0</v>
      </c>
      <c r="AY8" s="79">
        <v>0</v>
      </c>
      <c r="AZ8" s="79">
        <v>0</v>
      </c>
      <c r="BA8" s="79">
        <v>0</v>
      </c>
      <c r="BB8" s="79">
        <v>0</v>
      </c>
      <c r="BC8" s="79">
        <v>0</v>
      </c>
      <c r="BD8" s="79">
        <v>0</v>
      </c>
      <c r="BE8" s="79" t="s">
        <v>246</v>
      </c>
      <c r="BF8" s="79">
        <v>12</v>
      </c>
      <c r="BG8" s="79" t="s">
        <v>246</v>
      </c>
      <c r="BH8" s="79"/>
      <c r="BI8" s="78"/>
      <c r="BJ8" s="78"/>
      <c r="BK8" s="79"/>
      <c r="BL8" s="79" t="s">
        <v>251</v>
      </c>
      <c r="BM8" s="78"/>
      <c r="BN8" t="s">
        <v>296</v>
      </c>
      <c r="BO8" s="82" t="s">
        <v>297</v>
      </c>
    </row>
    <row r="9" spans="1:67" x14ac:dyDescent="0.15">
      <c r="A9" s="75">
        <v>4164</v>
      </c>
      <c r="B9" s="145">
        <v>41828</v>
      </c>
      <c r="C9" s="77" t="s">
        <v>267</v>
      </c>
      <c r="D9" s="78" t="s">
        <v>268</v>
      </c>
      <c r="E9" s="78"/>
      <c r="F9" s="78" t="s">
        <v>285</v>
      </c>
      <c r="G9" s="147">
        <v>41820</v>
      </c>
      <c r="H9" s="79" t="s">
        <v>270</v>
      </c>
      <c r="I9" s="79" t="s">
        <v>271</v>
      </c>
      <c r="J9" s="79"/>
      <c r="K9" s="78" t="s">
        <v>272</v>
      </c>
      <c r="L9" s="78" t="s">
        <v>273</v>
      </c>
      <c r="M9" s="78">
        <v>86.44</v>
      </c>
      <c r="N9" s="78">
        <v>20.99</v>
      </c>
      <c r="O9" s="78"/>
      <c r="P9" s="78"/>
      <c r="Q9" s="78"/>
      <c r="R9" s="80"/>
      <c r="S9" s="78"/>
      <c r="T9" s="78"/>
      <c r="U9" s="78"/>
      <c r="V9" s="78"/>
      <c r="W9" s="78"/>
      <c r="X9" s="78"/>
      <c r="Y9" s="78"/>
      <c r="Z9" s="78"/>
      <c r="AA9" s="78"/>
      <c r="AB9" s="78"/>
      <c r="AC9" s="78"/>
      <c r="AD9" s="78"/>
      <c r="AE9" s="78">
        <v>12.67</v>
      </c>
      <c r="AF9" s="78"/>
      <c r="AG9" s="78"/>
      <c r="AH9" s="78"/>
      <c r="AI9" s="78"/>
      <c r="AJ9" s="78"/>
      <c r="AK9" s="78"/>
      <c r="AL9" s="78" t="s">
        <v>286</v>
      </c>
      <c r="AM9" s="79" t="s">
        <v>275</v>
      </c>
      <c r="AN9" s="79"/>
      <c r="AO9" s="79"/>
      <c r="AP9" s="81" t="s">
        <v>276</v>
      </c>
      <c r="AQ9" s="79">
        <v>17</v>
      </c>
      <c r="AR9" s="79" t="s">
        <v>277</v>
      </c>
      <c r="AS9" s="78"/>
      <c r="AT9" s="79">
        <v>0</v>
      </c>
      <c r="AU9" s="79">
        <v>12</v>
      </c>
      <c r="AV9" s="79">
        <v>0</v>
      </c>
      <c r="AW9" s="79">
        <v>0</v>
      </c>
      <c r="AX9" s="79">
        <v>0</v>
      </c>
      <c r="AY9" s="79">
        <v>0</v>
      </c>
      <c r="AZ9" s="79">
        <v>0</v>
      </c>
      <c r="BA9" s="79">
        <v>0</v>
      </c>
      <c r="BB9" s="79">
        <v>0</v>
      </c>
      <c r="BC9" s="79">
        <v>0</v>
      </c>
      <c r="BD9" s="79">
        <v>0</v>
      </c>
      <c r="BE9" s="79" t="s">
        <v>275</v>
      </c>
      <c r="BF9" s="79">
        <v>24</v>
      </c>
      <c r="BG9" s="79" t="s">
        <v>275</v>
      </c>
      <c r="BH9" s="79"/>
      <c r="BI9" s="83"/>
      <c r="BJ9" s="83"/>
      <c r="BK9" s="79"/>
      <c r="BL9" s="79" t="s">
        <v>278</v>
      </c>
      <c r="BM9" s="83" t="s">
        <v>298</v>
      </c>
      <c r="BN9" s="146" t="s">
        <v>296</v>
      </c>
      <c r="BO9" s="146" t="s">
        <v>281</v>
      </c>
    </row>
    <row r="10" spans="1:67" ht="12" customHeight="1" x14ac:dyDescent="0.15">
      <c r="A10" s="75">
        <v>3137</v>
      </c>
      <c r="B10" s="145">
        <v>41828</v>
      </c>
      <c r="C10" s="77" t="s">
        <v>242</v>
      </c>
      <c r="D10" s="78" t="s">
        <v>243</v>
      </c>
      <c r="E10" s="78"/>
      <c r="F10" s="78" t="s">
        <v>264</v>
      </c>
      <c r="G10" s="76">
        <v>41820</v>
      </c>
      <c r="H10" s="79" t="s">
        <v>245</v>
      </c>
      <c r="I10" s="79" t="s">
        <v>246</v>
      </c>
      <c r="J10" s="79"/>
      <c r="K10" s="78" t="s">
        <v>243</v>
      </c>
      <c r="L10" s="78" t="s">
        <v>262</v>
      </c>
      <c r="M10" s="78">
        <v>97.5</v>
      </c>
      <c r="N10" s="78">
        <v>29.56</v>
      </c>
      <c r="O10" s="78"/>
      <c r="P10" s="78"/>
      <c r="Q10" s="78"/>
      <c r="R10" s="80"/>
      <c r="S10" s="78"/>
      <c r="T10" s="78"/>
      <c r="U10" s="78"/>
      <c r="V10" s="78"/>
      <c r="W10" s="78">
        <v>16.940000000000001</v>
      </c>
      <c r="X10" s="78"/>
      <c r="Y10" s="78"/>
      <c r="Z10" s="78"/>
      <c r="AA10" s="78"/>
      <c r="AB10" s="78"/>
      <c r="AC10" s="78"/>
      <c r="AD10" s="78"/>
      <c r="AE10" s="78"/>
      <c r="AF10" s="78"/>
      <c r="AG10" s="78"/>
      <c r="AH10" s="78">
        <v>21.25</v>
      </c>
      <c r="AI10" s="78"/>
      <c r="AJ10" s="78"/>
      <c r="AK10" s="78"/>
      <c r="AL10" s="78" t="s">
        <v>265</v>
      </c>
      <c r="AM10" s="79" t="s">
        <v>246</v>
      </c>
      <c r="AN10" s="79"/>
      <c r="AO10" s="79"/>
      <c r="AP10" s="81" t="s">
        <v>249</v>
      </c>
      <c r="AQ10" s="79">
        <v>8</v>
      </c>
      <c r="AR10" s="79" t="s">
        <v>250</v>
      </c>
      <c r="AS10" s="78"/>
      <c r="AT10" s="79">
        <v>0</v>
      </c>
      <c r="AU10" s="79">
        <v>12</v>
      </c>
      <c r="AV10" s="79">
        <v>0</v>
      </c>
      <c r="AW10" s="79">
        <v>0</v>
      </c>
      <c r="AX10" s="79">
        <v>0</v>
      </c>
      <c r="AY10" s="79">
        <v>0</v>
      </c>
      <c r="AZ10" s="79">
        <v>0</v>
      </c>
      <c r="BA10" s="79">
        <v>0</v>
      </c>
      <c r="BB10" s="79">
        <v>0</v>
      </c>
      <c r="BC10" s="79">
        <v>0</v>
      </c>
      <c r="BD10" s="79">
        <v>0</v>
      </c>
      <c r="BE10" s="79" t="s">
        <v>246</v>
      </c>
      <c r="BF10" s="79">
        <v>12</v>
      </c>
      <c r="BG10" s="79" t="s">
        <v>246</v>
      </c>
      <c r="BH10" s="79"/>
      <c r="BI10" s="78"/>
      <c r="BJ10" s="78"/>
      <c r="BK10" s="79"/>
      <c r="BL10" s="79" t="s">
        <v>251</v>
      </c>
      <c r="BM10" s="78" t="s">
        <v>294</v>
      </c>
      <c r="BN10" t="s">
        <v>295</v>
      </c>
      <c r="BO10" s="146" t="s">
        <v>281</v>
      </c>
    </row>
    <row r="11" spans="1:67" ht="12" customHeight="1" x14ac:dyDescent="0.15">
      <c r="A11" s="75">
        <v>1767</v>
      </c>
      <c r="B11" s="145">
        <v>41829</v>
      </c>
      <c r="C11" s="77" t="s">
        <v>242</v>
      </c>
      <c r="D11" s="78" t="s">
        <v>243</v>
      </c>
      <c r="E11" s="78"/>
      <c r="F11" s="78" t="s">
        <v>264</v>
      </c>
      <c r="G11" s="76">
        <v>41761</v>
      </c>
      <c r="H11" s="79" t="s">
        <v>245</v>
      </c>
      <c r="I11" s="79" t="s">
        <v>246</v>
      </c>
      <c r="J11" s="79"/>
      <c r="K11" s="78" t="s">
        <v>254</v>
      </c>
      <c r="L11" s="78" t="s">
        <v>255</v>
      </c>
      <c r="M11" s="78">
        <v>73</v>
      </c>
      <c r="N11" s="78">
        <v>27.45</v>
      </c>
      <c r="O11" s="78"/>
      <c r="P11" s="78"/>
      <c r="Q11" s="78"/>
      <c r="R11" s="80"/>
      <c r="S11" s="78"/>
      <c r="T11" s="78"/>
      <c r="U11" s="78"/>
      <c r="V11" s="78"/>
      <c r="W11" s="78">
        <v>14.42</v>
      </c>
      <c r="X11" s="78"/>
      <c r="Y11" s="78"/>
      <c r="Z11" s="78"/>
      <c r="AA11" s="78"/>
      <c r="AB11" s="78"/>
      <c r="AC11" s="78"/>
      <c r="AD11" s="78"/>
      <c r="AE11" s="78"/>
      <c r="AF11" s="78"/>
      <c r="AG11" s="78"/>
      <c r="AH11" s="78">
        <v>18.97</v>
      </c>
      <c r="AI11" s="78"/>
      <c r="AJ11" s="78"/>
      <c r="AK11" s="78"/>
      <c r="AL11" s="78" t="s">
        <v>265</v>
      </c>
      <c r="AM11" s="79" t="s">
        <v>246</v>
      </c>
      <c r="AN11" s="79"/>
      <c r="AO11" s="79"/>
      <c r="AP11" s="81" t="s">
        <v>249</v>
      </c>
      <c r="AQ11" s="79">
        <v>12.5</v>
      </c>
      <c r="AR11" s="79" t="s">
        <v>250</v>
      </c>
      <c r="AS11" s="78"/>
      <c r="AT11" s="79">
        <v>0</v>
      </c>
      <c r="AU11" s="79">
        <v>0</v>
      </c>
      <c r="AV11" s="79">
        <v>0</v>
      </c>
      <c r="AW11" s="79">
        <v>11</v>
      </c>
      <c r="AX11" s="79">
        <v>0</v>
      </c>
      <c r="AY11" s="79">
        <v>0</v>
      </c>
      <c r="AZ11" s="79">
        <v>0</v>
      </c>
      <c r="BA11" s="79">
        <v>0</v>
      </c>
      <c r="BB11" s="79">
        <v>0</v>
      </c>
      <c r="BC11" s="79">
        <v>0</v>
      </c>
      <c r="BD11" s="79">
        <v>0</v>
      </c>
      <c r="BE11" s="79" t="s">
        <v>246</v>
      </c>
      <c r="BF11" s="79">
        <v>12</v>
      </c>
      <c r="BG11" s="79" t="s">
        <v>246</v>
      </c>
      <c r="BH11" s="79"/>
      <c r="BI11" s="78"/>
      <c r="BJ11" s="78"/>
      <c r="BK11" s="79"/>
      <c r="BL11" s="79" t="s">
        <v>251</v>
      </c>
      <c r="BM11" s="78"/>
      <c r="BN11" t="s">
        <v>296</v>
      </c>
      <c r="BO11" s="148" t="s">
        <v>297</v>
      </c>
    </row>
    <row r="12" spans="1:67" x14ac:dyDescent="0.15">
      <c r="A12" s="75">
        <v>4166</v>
      </c>
      <c r="B12" s="145">
        <v>41828</v>
      </c>
      <c r="C12" s="77" t="s">
        <v>267</v>
      </c>
      <c r="D12" s="78" t="s">
        <v>268</v>
      </c>
      <c r="E12" s="78"/>
      <c r="F12" s="78" t="s">
        <v>287</v>
      </c>
      <c r="G12" s="147">
        <v>41820</v>
      </c>
      <c r="H12" s="79" t="s">
        <v>270</v>
      </c>
      <c r="I12" s="79" t="s">
        <v>271</v>
      </c>
      <c r="J12" s="79"/>
      <c r="K12" s="78" t="s">
        <v>272</v>
      </c>
      <c r="L12" s="78" t="s">
        <v>273</v>
      </c>
      <c r="M12" s="78">
        <v>86.44</v>
      </c>
      <c r="N12" s="78">
        <v>26.89</v>
      </c>
      <c r="O12" s="78"/>
      <c r="P12" s="78"/>
      <c r="Q12" s="78"/>
      <c r="R12" s="80"/>
      <c r="S12" s="78"/>
      <c r="T12" s="78"/>
      <c r="U12" s="78"/>
      <c r="V12" s="78"/>
      <c r="W12" s="78">
        <v>15.13</v>
      </c>
      <c r="X12" s="78"/>
      <c r="Y12" s="78"/>
      <c r="Z12" s="78"/>
      <c r="AA12" s="78"/>
      <c r="AB12" s="78"/>
      <c r="AC12" s="78"/>
      <c r="AD12" s="78"/>
      <c r="AE12" s="78"/>
      <c r="AF12" s="78"/>
      <c r="AG12" s="78"/>
      <c r="AH12" s="78">
        <v>19.190000000000001</v>
      </c>
      <c r="AI12" s="78"/>
      <c r="AJ12" s="78"/>
      <c r="AK12" s="78"/>
      <c r="AL12" s="78" t="s">
        <v>288</v>
      </c>
      <c r="AM12" s="79" t="s">
        <v>275</v>
      </c>
      <c r="AN12" s="79"/>
      <c r="AO12" s="79"/>
      <c r="AP12" s="81" t="s">
        <v>276</v>
      </c>
      <c r="AQ12" s="79">
        <v>17</v>
      </c>
      <c r="AR12" s="79" t="s">
        <v>277</v>
      </c>
      <c r="AS12" s="78"/>
      <c r="AT12" s="79">
        <v>0</v>
      </c>
      <c r="AU12" s="79">
        <v>12</v>
      </c>
      <c r="AV12" s="79">
        <v>0</v>
      </c>
      <c r="AW12" s="79">
        <v>0</v>
      </c>
      <c r="AX12" s="79">
        <v>0</v>
      </c>
      <c r="AY12" s="79">
        <v>0</v>
      </c>
      <c r="AZ12" s="79">
        <v>0</v>
      </c>
      <c r="BA12" s="79">
        <v>0</v>
      </c>
      <c r="BB12" s="79">
        <v>0</v>
      </c>
      <c r="BC12" s="79">
        <v>0</v>
      </c>
      <c r="BD12" s="79">
        <v>0</v>
      </c>
      <c r="BE12" s="79" t="s">
        <v>275</v>
      </c>
      <c r="BF12" s="79">
        <v>24</v>
      </c>
      <c r="BG12" s="79" t="s">
        <v>275</v>
      </c>
      <c r="BH12" s="79"/>
      <c r="BI12" s="83"/>
      <c r="BJ12" s="83"/>
      <c r="BK12" s="79"/>
      <c r="BL12" s="79" t="s">
        <v>278</v>
      </c>
      <c r="BM12" s="83" t="s">
        <v>298</v>
      </c>
      <c r="BN12" s="146" t="s">
        <v>296</v>
      </c>
      <c r="BO12" s="146" t="s">
        <v>281</v>
      </c>
    </row>
  </sheetData>
  <sheetProtection algorithmName="SHA-512" hashValue="Cgf/ZWVnVXMuiN7CR79aS0UcCLTCjZ7HIO5pXMegSuc5zlpldvjNmraV1H99eXDZQ2oi/+ZtExFmEhu0GLovvg==" saltValue="W3nxLzaXC6kI5AzdV3k6BQ==" spinCount="100000" sheet="1" objects="1" scenarios="1"/>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BO12"/>
  <sheetViews>
    <sheetView topLeftCell="AL1" zoomScale="134" workbookViewId="0">
      <selection activeCell="AQ3" sqref="AQ3"/>
    </sheetView>
  </sheetViews>
  <sheetFormatPr baseColWidth="10" defaultColWidth="11.1640625" defaultRowHeight="13" x14ac:dyDescent="0.15"/>
  <cols>
    <col min="12" max="12" width="19" customWidth="1"/>
    <col min="38" max="38" width="12.83203125" customWidth="1"/>
  </cols>
  <sheetData>
    <row r="1" spans="1:67" ht="70" x14ac:dyDescent="0.15">
      <c r="A1" s="53" t="s">
        <v>137</v>
      </c>
      <c r="B1" s="53" t="s">
        <v>138</v>
      </c>
      <c r="C1" s="54" t="s">
        <v>139</v>
      </c>
      <c r="D1" s="55" t="s">
        <v>140</v>
      </c>
      <c r="E1" s="55" t="s">
        <v>141</v>
      </c>
      <c r="F1" s="55" t="s">
        <v>50</v>
      </c>
      <c r="G1" s="53" t="s">
        <v>51</v>
      </c>
      <c r="H1" s="56" t="s">
        <v>52</v>
      </c>
      <c r="I1" s="56" t="s">
        <v>53</v>
      </c>
      <c r="J1" s="56" t="s">
        <v>146</v>
      </c>
      <c r="K1" s="55" t="s">
        <v>147</v>
      </c>
      <c r="L1" s="57" t="s">
        <v>148</v>
      </c>
      <c r="M1" s="58" t="s">
        <v>201</v>
      </c>
      <c r="N1" s="59" t="s">
        <v>202</v>
      </c>
      <c r="O1" s="59" t="s">
        <v>203</v>
      </c>
      <c r="P1" s="59" t="s">
        <v>204</v>
      </c>
      <c r="Q1" s="59" t="s">
        <v>205</v>
      </c>
      <c r="R1" s="59" t="s">
        <v>157</v>
      </c>
      <c r="S1" s="59" t="s">
        <v>61</v>
      </c>
      <c r="T1" s="59" t="s">
        <v>62</v>
      </c>
      <c r="U1" s="59" t="s">
        <v>103</v>
      </c>
      <c r="V1" s="60" t="s">
        <v>3</v>
      </c>
      <c r="W1" s="61" t="s">
        <v>4</v>
      </c>
      <c r="X1" s="61" t="s">
        <v>5</v>
      </c>
      <c r="Y1" s="61" t="s">
        <v>104</v>
      </c>
      <c r="Z1" s="61" t="s">
        <v>105</v>
      </c>
      <c r="AA1" s="61" t="s">
        <v>106</v>
      </c>
      <c r="AB1" s="61" t="s">
        <v>107</v>
      </c>
      <c r="AC1" s="61" t="s">
        <v>108</v>
      </c>
      <c r="AD1" s="61" t="s">
        <v>95</v>
      </c>
      <c r="AE1" s="62" t="s">
        <v>96</v>
      </c>
      <c r="AF1" s="63" t="s">
        <v>97</v>
      </c>
      <c r="AG1" s="63" t="s">
        <v>98</v>
      </c>
      <c r="AH1" s="64" t="s">
        <v>99</v>
      </c>
      <c r="AI1" s="64" t="s">
        <v>27</v>
      </c>
      <c r="AJ1" s="64" t="s">
        <v>28</v>
      </c>
      <c r="AK1" s="64" t="s">
        <v>21</v>
      </c>
      <c r="AL1" s="65" t="s">
        <v>22</v>
      </c>
      <c r="AM1" s="66" t="s">
        <v>23</v>
      </c>
      <c r="AN1" s="66" t="s">
        <v>24</v>
      </c>
      <c r="AO1" s="67" t="s">
        <v>25</v>
      </c>
      <c r="AP1" s="68" t="s">
        <v>26</v>
      </c>
      <c r="AQ1" s="69" t="s">
        <v>59</v>
      </c>
      <c r="AR1" s="70" t="s">
        <v>60</v>
      </c>
      <c r="AS1" s="71" t="s">
        <v>128</v>
      </c>
      <c r="AT1" s="72" t="s">
        <v>129</v>
      </c>
      <c r="AU1" s="73" t="s">
        <v>130</v>
      </c>
      <c r="AV1" s="72" t="s">
        <v>131</v>
      </c>
      <c r="AW1" s="73" t="s">
        <v>206</v>
      </c>
      <c r="AX1" s="72" t="s">
        <v>207</v>
      </c>
      <c r="AY1" s="73" t="s">
        <v>208</v>
      </c>
      <c r="AZ1" s="72" t="s">
        <v>209</v>
      </c>
      <c r="BA1" s="74" t="s">
        <v>210</v>
      </c>
      <c r="BB1" s="72" t="s">
        <v>211</v>
      </c>
      <c r="BC1" s="74" t="s">
        <v>212</v>
      </c>
      <c r="BD1" s="56" t="s">
        <v>176</v>
      </c>
      <c r="BE1" s="56" t="s">
        <v>170</v>
      </c>
      <c r="BF1" s="56" t="s">
        <v>171</v>
      </c>
      <c r="BG1" s="56" t="s">
        <v>172</v>
      </c>
      <c r="BH1" s="56" t="s">
        <v>173</v>
      </c>
      <c r="BI1" s="54" t="s">
        <v>232</v>
      </c>
      <c r="BJ1" s="54" t="s">
        <v>233</v>
      </c>
      <c r="BK1" s="56" t="s">
        <v>7</v>
      </c>
      <c r="BL1" s="56" t="s">
        <v>8</v>
      </c>
      <c r="BM1" s="54" t="s">
        <v>9</v>
      </c>
      <c r="BN1" s="56" t="s">
        <v>10</v>
      </c>
      <c r="BO1" s="53" t="s">
        <v>153</v>
      </c>
    </row>
    <row r="2" spans="1:67" ht="12" customHeight="1" x14ac:dyDescent="0.15">
      <c r="A2" s="75">
        <v>3132</v>
      </c>
      <c r="B2" s="137">
        <v>41450</v>
      </c>
      <c r="C2" s="77" t="s">
        <v>242</v>
      </c>
      <c r="D2" s="78" t="s">
        <v>243</v>
      </c>
      <c r="E2" s="78"/>
      <c r="F2" s="78" t="s">
        <v>244</v>
      </c>
      <c r="G2" s="76">
        <v>41455</v>
      </c>
      <c r="H2" s="79" t="s">
        <v>245</v>
      </c>
      <c r="I2" s="79" t="s">
        <v>246</v>
      </c>
      <c r="J2" s="79"/>
      <c r="K2" s="78" t="s">
        <v>243</v>
      </c>
      <c r="L2" s="78" t="s">
        <v>247</v>
      </c>
      <c r="M2" s="78">
        <v>87.4</v>
      </c>
      <c r="N2" s="78">
        <v>19.78</v>
      </c>
      <c r="O2" s="78"/>
      <c r="P2" s="78"/>
      <c r="Q2" s="78"/>
      <c r="R2" s="80"/>
      <c r="S2" s="78"/>
      <c r="T2" s="78"/>
      <c r="U2" s="78"/>
      <c r="V2" s="78"/>
      <c r="W2" s="78"/>
      <c r="X2" s="78"/>
      <c r="Y2" s="78"/>
      <c r="Z2" s="78"/>
      <c r="AA2" s="78"/>
      <c r="AB2" s="78"/>
      <c r="AC2" s="78"/>
      <c r="AD2" s="78"/>
      <c r="AE2" s="78"/>
      <c r="AF2" s="78"/>
      <c r="AG2" s="78"/>
      <c r="AH2" s="78"/>
      <c r="AI2" s="78"/>
      <c r="AJ2" s="78"/>
      <c r="AK2" s="78"/>
      <c r="AL2" s="78" t="s">
        <v>248</v>
      </c>
      <c r="AM2" s="79" t="s">
        <v>246</v>
      </c>
      <c r="AN2" s="79"/>
      <c r="AO2" s="79"/>
      <c r="AP2" s="81" t="s">
        <v>249</v>
      </c>
      <c r="AQ2" s="79">
        <v>8</v>
      </c>
      <c r="AR2" s="79" t="s">
        <v>250</v>
      </c>
      <c r="AS2" s="78"/>
      <c r="AT2" s="79">
        <v>0</v>
      </c>
      <c r="AU2" s="79">
        <v>12</v>
      </c>
      <c r="AV2" s="79">
        <v>0</v>
      </c>
      <c r="AW2" s="79">
        <v>0</v>
      </c>
      <c r="AX2" s="79">
        <v>0</v>
      </c>
      <c r="AY2" s="79">
        <v>0</v>
      </c>
      <c r="AZ2" s="79">
        <v>0</v>
      </c>
      <c r="BA2" s="79">
        <v>0</v>
      </c>
      <c r="BB2" s="79">
        <v>0</v>
      </c>
      <c r="BC2" s="79">
        <v>0</v>
      </c>
      <c r="BD2" s="79">
        <v>12</v>
      </c>
      <c r="BE2" s="79" t="s">
        <v>246</v>
      </c>
      <c r="BF2" s="79">
        <v>0</v>
      </c>
      <c r="BG2" s="79" t="s">
        <v>246</v>
      </c>
      <c r="BH2" s="79"/>
      <c r="BI2" s="78"/>
      <c r="BJ2" s="78"/>
      <c r="BK2" s="79"/>
      <c r="BL2" s="79" t="s">
        <v>251</v>
      </c>
      <c r="BM2" s="78" t="s">
        <v>252</v>
      </c>
      <c r="BN2" t="s">
        <v>46</v>
      </c>
      <c r="BO2" s="82" t="s">
        <v>253</v>
      </c>
    </row>
    <row r="3" spans="1:67" ht="12" customHeight="1" x14ac:dyDescent="0.15">
      <c r="A3" s="75">
        <v>1765</v>
      </c>
      <c r="B3" s="137">
        <v>41475</v>
      </c>
      <c r="C3" s="77" t="s">
        <v>242</v>
      </c>
      <c r="D3" s="78" t="s">
        <v>243</v>
      </c>
      <c r="E3" s="78"/>
      <c r="F3" s="78" t="s">
        <v>244</v>
      </c>
      <c r="G3" s="76">
        <v>41467</v>
      </c>
      <c r="H3" s="79" t="s">
        <v>245</v>
      </c>
      <c r="I3" s="79" t="s">
        <v>246</v>
      </c>
      <c r="J3" s="79"/>
      <c r="K3" s="78" t="s">
        <v>254</v>
      </c>
      <c r="L3" s="78" t="s">
        <v>255</v>
      </c>
      <c r="M3" s="78">
        <v>74.400000000000006</v>
      </c>
      <c r="N3" s="78">
        <v>21.45</v>
      </c>
      <c r="O3" s="78"/>
      <c r="P3" s="78"/>
      <c r="Q3" s="78"/>
      <c r="R3" s="80"/>
      <c r="S3" s="78"/>
      <c r="T3" s="78"/>
      <c r="U3" s="78"/>
      <c r="V3" s="78"/>
      <c r="W3" s="78"/>
      <c r="X3" s="78"/>
      <c r="Y3" s="78"/>
      <c r="Z3" s="78"/>
      <c r="AA3" s="78"/>
      <c r="AB3" s="78"/>
      <c r="AC3" s="78"/>
      <c r="AD3" s="78"/>
      <c r="AE3" s="78"/>
      <c r="AF3" s="78"/>
      <c r="AG3" s="78"/>
      <c r="AH3" s="78"/>
      <c r="AI3" s="78"/>
      <c r="AJ3" s="78"/>
      <c r="AK3" s="78"/>
      <c r="AL3" t="s">
        <v>248</v>
      </c>
      <c r="AM3" s="79" t="s">
        <v>246</v>
      </c>
      <c r="AN3" s="79"/>
      <c r="AO3" s="79"/>
      <c r="AP3" s="81"/>
      <c r="AQ3" s="79"/>
      <c r="AR3" s="79" t="s">
        <v>250</v>
      </c>
      <c r="AS3" s="78"/>
      <c r="AT3" s="79">
        <v>0</v>
      </c>
      <c r="AU3" s="79">
        <v>0</v>
      </c>
      <c r="AV3" s="79">
        <v>0</v>
      </c>
      <c r="AW3" s="79">
        <v>14</v>
      </c>
      <c r="AX3" s="79">
        <v>0</v>
      </c>
      <c r="AY3" s="79">
        <v>0</v>
      </c>
      <c r="AZ3" s="79">
        <v>0</v>
      </c>
      <c r="BA3" s="79">
        <v>2</v>
      </c>
      <c r="BB3" s="79">
        <v>0</v>
      </c>
      <c r="BC3" s="79">
        <v>0</v>
      </c>
      <c r="BD3" s="79">
        <v>0</v>
      </c>
      <c r="BE3" s="79" t="s">
        <v>246</v>
      </c>
      <c r="BF3" s="79">
        <v>12</v>
      </c>
      <c r="BG3" s="79" t="s">
        <v>246</v>
      </c>
      <c r="BH3" s="79"/>
      <c r="BI3" s="78"/>
      <c r="BJ3" s="78" t="s">
        <v>256</v>
      </c>
      <c r="BK3" s="79">
        <v>50</v>
      </c>
      <c r="BL3" s="79" t="s">
        <v>251</v>
      </c>
      <c r="BM3" s="78"/>
      <c r="BN3" t="s">
        <v>132</v>
      </c>
      <c r="BO3" s="82" t="s">
        <v>253</v>
      </c>
    </row>
    <row r="4" spans="1:67" x14ac:dyDescent="0.15">
      <c r="A4" s="75">
        <v>4162</v>
      </c>
      <c r="B4" s="137">
        <v>41465</v>
      </c>
      <c r="C4" s="77" t="s">
        <v>267</v>
      </c>
      <c r="D4" s="78" t="s">
        <v>268</v>
      </c>
      <c r="E4" s="78"/>
      <c r="F4" s="78" t="s">
        <v>269</v>
      </c>
      <c r="G4" s="76">
        <v>41469</v>
      </c>
      <c r="H4" s="79" t="s">
        <v>270</v>
      </c>
      <c r="I4" s="79" t="s">
        <v>271</v>
      </c>
      <c r="J4" s="79"/>
      <c r="K4" s="78" t="s">
        <v>272</v>
      </c>
      <c r="L4" s="78" t="s">
        <v>273</v>
      </c>
      <c r="M4" s="78">
        <v>86.44</v>
      </c>
      <c r="N4" s="78">
        <v>20.99</v>
      </c>
      <c r="O4" s="78"/>
      <c r="P4" s="78"/>
      <c r="Q4" s="78"/>
      <c r="R4" s="80"/>
      <c r="S4" s="78"/>
      <c r="T4" s="78"/>
      <c r="U4" s="78"/>
      <c r="V4" s="78"/>
      <c r="W4" s="78"/>
      <c r="X4" s="78"/>
      <c r="Y4" s="78"/>
      <c r="Z4" s="78"/>
      <c r="AA4" s="78"/>
      <c r="AB4" s="78"/>
      <c r="AC4" s="78"/>
      <c r="AD4" s="78"/>
      <c r="AE4" s="78"/>
      <c r="AF4" s="78"/>
      <c r="AG4" s="78"/>
      <c r="AH4" s="78"/>
      <c r="AI4" s="78"/>
      <c r="AJ4" s="78"/>
      <c r="AK4" s="78"/>
      <c r="AL4" s="78" t="s">
        <v>274</v>
      </c>
      <c r="AM4" s="79" t="s">
        <v>275</v>
      </c>
      <c r="AN4" s="79"/>
      <c r="AO4" s="79"/>
      <c r="AP4" s="81" t="s">
        <v>276</v>
      </c>
      <c r="AQ4" s="79">
        <v>17</v>
      </c>
      <c r="AR4" s="79" t="s">
        <v>277</v>
      </c>
      <c r="AS4" s="78"/>
      <c r="AT4" s="79">
        <v>0</v>
      </c>
      <c r="AU4" s="79">
        <v>12</v>
      </c>
      <c r="AV4" s="79">
        <v>0</v>
      </c>
      <c r="AW4" s="79">
        <v>0</v>
      </c>
      <c r="AX4" s="79">
        <v>0</v>
      </c>
      <c r="AY4" s="79">
        <v>0</v>
      </c>
      <c r="AZ4" s="79">
        <v>0</v>
      </c>
      <c r="BA4" s="79">
        <v>0</v>
      </c>
      <c r="BB4" s="79">
        <v>0</v>
      </c>
      <c r="BC4" s="79">
        <v>0</v>
      </c>
      <c r="BD4" s="79"/>
      <c r="BE4" s="79" t="s">
        <v>275</v>
      </c>
      <c r="BF4" s="79">
        <v>24</v>
      </c>
      <c r="BG4" s="79" t="s">
        <v>275</v>
      </c>
      <c r="BH4" s="79"/>
      <c r="BI4" s="83"/>
      <c r="BJ4" s="83"/>
      <c r="BK4" s="79"/>
      <c r="BL4" s="79" t="s">
        <v>278</v>
      </c>
      <c r="BM4" s="83" t="s">
        <v>279</v>
      </c>
      <c r="BN4" t="s">
        <v>280</v>
      </c>
      <c r="BO4" t="s">
        <v>281</v>
      </c>
    </row>
    <row r="5" spans="1:67" ht="12" customHeight="1" x14ac:dyDescent="0.15">
      <c r="A5" s="75">
        <v>3133</v>
      </c>
      <c r="B5" s="137">
        <v>41450</v>
      </c>
      <c r="C5" s="77" t="s">
        <v>242</v>
      </c>
      <c r="D5" s="78" t="s">
        <v>243</v>
      </c>
      <c r="E5" s="78"/>
      <c r="F5" s="78" t="s">
        <v>257</v>
      </c>
      <c r="G5" s="76">
        <v>41455</v>
      </c>
      <c r="H5" s="79" t="s">
        <v>245</v>
      </c>
      <c r="I5" s="79" t="s">
        <v>246</v>
      </c>
      <c r="J5" s="79"/>
      <c r="K5" s="78" t="s">
        <v>243</v>
      </c>
      <c r="L5" s="78" t="s">
        <v>258</v>
      </c>
      <c r="M5" s="78">
        <v>109.2</v>
      </c>
      <c r="N5" s="78">
        <v>18.21</v>
      </c>
      <c r="O5" s="78" t="s">
        <v>259</v>
      </c>
      <c r="P5" s="78">
        <v>5500</v>
      </c>
      <c r="Q5" s="78">
        <v>19.78</v>
      </c>
      <c r="R5" s="80"/>
      <c r="S5" s="78"/>
      <c r="T5" s="78"/>
      <c r="U5" s="78"/>
      <c r="V5" s="78"/>
      <c r="W5" s="78"/>
      <c r="X5" s="78"/>
      <c r="Y5" s="78"/>
      <c r="Z5" s="78"/>
      <c r="AA5" s="78"/>
      <c r="AB5" s="78"/>
      <c r="AC5" s="78"/>
      <c r="AD5" s="78"/>
      <c r="AE5" s="78"/>
      <c r="AF5" s="78"/>
      <c r="AG5" s="78"/>
      <c r="AH5" s="78"/>
      <c r="AI5" s="78"/>
      <c r="AJ5" s="78"/>
      <c r="AK5" s="78"/>
      <c r="AL5" s="78" t="s">
        <v>260</v>
      </c>
      <c r="AM5" s="79" t="s">
        <v>246</v>
      </c>
      <c r="AN5" s="79"/>
      <c r="AO5" s="79"/>
      <c r="AP5" s="81" t="s">
        <v>249</v>
      </c>
      <c r="AQ5" s="79">
        <v>8</v>
      </c>
      <c r="AR5" s="79" t="s">
        <v>250</v>
      </c>
      <c r="AS5" s="78"/>
      <c r="AT5" s="79">
        <v>0</v>
      </c>
      <c r="AU5" s="79">
        <v>12</v>
      </c>
      <c r="AV5" s="79">
        <v>0</v>
      </c>
      <c r="AW5" s="79">
        <v>0</v>
      </c>
      <c r="AX5" s="79">
        <v>0</v>
      </c>
      <c r="AY5" s="79">
        <v>0</v>
      </c>
      <c r="AZ5" s="79">
        <v>0</v>
      </c>
      <c r="BA5" s="79">
        <v>0</v>
      </c>
      <c r="BB5" s="79">
        <v>0</v>
      </c>
      <c r="BC5" s="79">
        <v>0</v>
      </c>
      <c r="BD5" s="79">
        <v>12</v>
      </c>
      <c r="BE5" s="79" t="s">
        <v>246</v>
      </c>
      <c r="BF5" s="79">
        <v>0</v>
      </c>
      <c r="BG5" s="79" t="s">
        <v>246</v>
      </c>
      <c r="BH5" s="79"/>
      <c r="BI5" s="78"/>
      <c r="BJ5" s="78"/>
      <c r="BK5" s="79"/>
      <c r="BL5" s="79" t="s">
        <v>251</v>
      </c>
      <c r="BM5" s="78" t="s">
        <v>252</v>
      </c>
      <c r="BN5" t="s">
        <v>46</v>
      </c>
      <c r="BO5" s="82" t="s">
        <v>253</v>
      </c>
    </row>
    <row r="6" spans="1:67" x14ac:dyDescent="0.15">
      <c r="A6" s="75">
        <v>4163</v>
      </c>
      <c r="B6" s="137">
        <v>41465</v>
      </c>
      <c r="C6" s="77" t="s">
        <v>267</v>
      </c>
      <c r="D6" s="78" t="s">
        <v>268</v>
      </c>
      <c r="E6" s="78"/>
      <c r="F6" s="78" t="s">
        <v>269</v>
      </c>
      <c r="G6" s="76">
        <v>41469</v>
      </c>
      <c r="H6" s="79" t="s">
        <v>270</v>
      </c>
      <c r="I6" s="79" t="s">
        <v>271</v>
      </c>
      <c r="J6" s="79"/>
      <c r="K6" s="78" t="s">
        <v>272</v>
      </c>
      <c r="L6" s="78" t="s">
        <v>273</v>
      </c>
      <c r="M6" s="78">
        <v>108</v>
      </c>
      <c r="N6" s="78">
        <v>19.05</v>
      </c>
      <c r="O6" s="78" t="s">
        <v>282</v>
      </c>
      <c r="P6" s="78">
        <v>5500</v>
      </c>
      <c r="Q6" s="78">
        <v>20.63</v>
      </c>
      <c r="R6" s="80"/>
      <c r="S6" s="78"/>
      <c r="T6" s="78"/>
      <c r="U6" s="78"/>
      <c r="V6" s="78"/>
      <c r="W6" s="78"/>
      <c r="X6" s="78"/>
      <c r="Y6" s="78"/>
      <c r="Z6" s="78"/>
      <c r="AA6" s="78"/>
      <c r="AB6" s="78"/>
      <c r="AC6" s="78"/>
      <c r="AD6" s="78"/>
      <c r="AE6" s="78"/>
      <c r="AF6" s="78"/>
      <c r="AG6" s="78"/>
      <c r="AH6" s="78"/>
      <c r="AI6" s="78"/>
      <c r="AJ6" s="78"/>
      <c r="AK6" s="78"/>
      <c r="AL6" s="78" t="s">
        <v>283</v>
      </c>
      <c r="AM6" s="79" t="s">
        <v>284</v>
      </c>
      <c r="AN6" s="79"/>
      <c r="AO6" s="79"/>
      <c r="AP6" s="81" t="s">
        <v>276</v>
      </c>
      <c r="AQ6" s="79">
        <v>17</v>
      </c>
      <c r="AR6" s="79" t="s">
        <v>277</v>
      </c>
      <c r="AS6" s="78"/>
      <c r="AT6" s="79">
        <v>0</v>
      </c>
      <c r="AU6" s="79">
        <v>12</v>
      </c>
      <c r="AV6" s="79">
        <v>0</v>
      </c>
      <c r="AW6" s="79">
        <v>0</v>
      </c>
      <c r="AX6" s="79">
        <v>0</v>
      </c>
      <c r="AY6" s="79">
        <v>0</v>
      </c>
      <c r="AZ6" s="79">
        <v>0</v>
      </c>
      <c r="BA6" s="79">
        <v>0</v>
      </c>
      <c r="BB6" s="79">
        <v>0</v>
      </c>
      <c r="BC6" s="79">
        <v>0</v>
      </c>
      <c r="BD6" s="79"/>
      <c r="BE6" s="79" t="s">
        <v>284</v>
      </c>
      <c r="BF6" s="79">
        <v>24</v>
      </c>
      <c r="BG6" s="79" t="s">
        <v>284</v>
      </c>
      <c r="BH6" s="79"/>
      <c r="BI6" s="83"/>
      <c r="BJ6" s="83"/>
      <c r="BK6" s="79"/>
      <c r="BL6" s="79" t="s">
        <v>278</v>
      </c>
      <c r="BM6" s="83" t="s">
        <v>279</v>
      </c>
      <c r="BN6" t="s">
        <v>280</v>
      </c>
      <c r="BO6" t="s">
        <v>281</v>
      </c>
    </row>
    <row r="7" spans="1:67" ht="12" customHeight="1" x14ac:dyDescent="0.15">
      <c r="A7" s="75">
        <v>3135</v>
      </c>
      <c r="B7" s="137">
        <v>41450</v>
      </c>
      <c r="C7" s="77" t="s">
        <v>242</v>
      </c>
      <c r="D7" s="78" t="s">
        <v>243</v>
      </c>
      <c r="E7" s="78"/>
      <c r="F7" s="78" t="s">
        <v>261</v>
      </c>
      <c r="G7" s="76">
        <v>41455</v>
      </c>
      <c r="H7" s="79" t="s">
        <v>245</v>
      </c>
      <c r="I7" s="79" t="s">
        <v>246</v>
      </c>
      <c r="J7" s="79"/>
      <c r="K7" s="78" t="s">
        <v>243</v>
      </c>
      <c r="L7" s="78" t="s">
        <v>262</v>
      </c>
      <c r="M7" s="78">
        <v>87.4</v>
      </c>
      <c r="N7" s="78">
        <v>19.78</v>
      </c>
      <c r="O7" s="78"/>
      <c r="P7" s="78"/>
      <c r="Q7" s="78"/>
      <c r="R7" s="80"/>
      <c r="S7" s="78"/>
      <c r="T7" s="78"/>
      <c r="U7" s="78"/>
      <c r="V7" s="78"/>
      <c r="W7" s="78"/>
      <c r="X7" s="78"/>
      <c r="Y7" s="78"/>
      <c r="Z7" s="78"/>
      <c r="AA7" s="78"/>
      <c r="AB7" s="78"/>
      <c r="AC7" s="78"/>
      <c r="AD7" s="78"/>
      <c r="AE7" s="78">
        <v>11.9</v>
      </c>
      <c r="AF7" s="78"/>
      <c r="AG7" s="78"/>
      <c r="AH7" s="78"/>
      <c r="AI7" s="78"/>
      <c r="AJ7" s="78"/>
      <c r="AK7" s="78"/>
      <c r="AL7" s="78" t="s">
        <v>263</v>
      </c>
      <c r="AM7" s="79" t="s">
        <v>246</v>
      </c>
      <c r="AN7" s="79"/>
      <c r="AO7" s="79"/>
      <c r="AP7" s="81" t="s">
        <v>249</v>
      </c>
      <c r="AQ7" s="79">
        <v>8</v>
      </c>
      <c r="AR7" s="79" t="s">
        <v>250</v>
      </c>
      <c r="AS7" s="78"/>
      <c r="AT7" s="79">
        <v>0</v>
      </c>
      <c r="AU7" s="79">
        <v>12</v>
      </c>
      <c r="AV7" s="79">
        <v>0</v>
      </c>
      <c r="AW7" s="79">
        <v>0</v>
      </c>
      <c r="AX7" s="79">
        <v>0</v>
      </c>
      <c r="AY7" s="79">
        <v>0</v>
      </c>
      <c r="AZ7" s="79">
        <v>0</v>
      </c>
      <c r="BA7" s="79">
        <v>0</v>
      </c>
      <c r="BB7" s="79">
        <v>0</v>
      </c>
      <c r="BC7" s="79">
        <v>0</v>
      </c>
      <c r="BD7" s="79">
        <v>12</v>
      </c>
      <c r="BE7" s="79" t="s">
        <v>246</v>
      </c>
      <c r="BF7" s="79">
        <v>0</v>
      </c>
      <c r="BG7" s="79" t="s">
        <v>246</v>
      </c>
      <c r="BH7" s="79"/>
      <c r="BI7" s="78"/>
      <c r="BJ7" s="78"/>
      <c r="BK7" s="79"/>
      <c r="BL7" s="79" t="s">
        <v>251</v>
      </c>
      <c r="BM7" s="78" t="s">
        <v>252</v>
      </c>
      <c r="BN7" t="s">
        <v>46</v>
      </c>
      <c r="BO7" s="82" t="s">
        <v>253</v>
      </c>
    </row>
    <row r="8" spans="1:67" ht="12" customHeight="1" x14ac:dyDescent="0.15">
      <c r="A8" s="75">
        <v>1766</v>
      </c>
      <c r="B8" s="137">
        <v>41475</v>
      </c>
      <c r="C8" s="77" t="s">
        <v>242</v>
      </c>
      <c r="D8" s="78" t="s">
        <v>243</v>
      </c>
      <c r="E8" s="78"/>
      <c r="F8" s="78" t="s">
        <v>261</v>
      </c>
      <c r="G8" s="76">
        <v>41467</v>
      </c>
      <c r="H8" s="79" t="s">
        <v>245</v>
      </c>
      <c r="I8" s="79" t="s">
        <v>246</v>
      </c>
      <c r="J8" s="79"/>
      <c r="K8" s="78" t="s">
        <v>254</v>
      </c>
      <c r="L8" s="78" t="s">
        <v>255</v>
      </c>
      <c r="M8" s="78">
        <v>74.400000000000006</v>
      </c>
      <c r="N8" s="78">
        <v>21.45</v>
      </c>
      <c r="O8" s="78"/>
      <c r="P8" s="78"/>
      <c r="Q8" s="78"/>
      <c r="R8" s="80"/>
      <c r="S8" s="78"/>
      <c r="T8" s="78"/>
      <c r="U8" s="78"/>
      <c r="V8" s="78"/>
      <c r="W8" s="78"/>
      <c r="X8" s="78"/>
      <c r="Y8" s="78"/>
      <c r="Z8" s="78"/>
      <c r="AA8" s="78"/>
      <c r="AB8" s="78"/>
      <c r="AC8" s="78"/>
      <c r="AD8" s="78"/>
      <c r="AE8" s="78">
        <v>11.68</v>
      </c>
      <c r="AF8" s="78"/>
      <c r="AG8" s="78"/>
      <c r="AH8" s="78"/>
      <c r="AI8" s="78"/>
      <c r="AJ8" s="78"/>
      <c r="AK8" s="78"/>
      <c r="AL8" s="78" t="s">
        <v>263</v>
      </c>
      <c r="AM8" s="79" t="s">
        <v>246</v>
      </c>
      <c r="AN8" s="79"/>
      <c r="AO8" s="79"/>
      <c r="AP8" s="81"/>
      <c r="AQ8" s="79"/>
      <c r="AR8" s="79" t="s">
        <v>250</v>
      </c>
      <c r="AS8" s="78"/>
      <c r="AT8" s="79">
        <v>0</v>
      </c>
      <c r="AU8" s="79">
        <v>0</v>
      </c>
      <c r="AV8" s="79">
        <v>0</v>
      </c>
      <c r="AW8" s="79">
        <v>14</v>
      </c>
      <c r="AX8" s="79">
        <v>0</v>
      </c>
      <c r="AY8" s="79">
        <v>0</v>
      </c>
      <c r="AZ8" s="79">
        <v>0</v>
      </c>
      <c r="BA8" s="79">
        <v>2</v>
      </c>
      <c r="BB8" s="79">
        <v>0</v>
      </c>
      <c r="BC8" s="79">
        <v>0</v>
      </c>
      <c r="BD8" s="79">
        <v>0</v>
      </c>
      <c r="BE8" s="79" t="s">
        <v>246</v>
      </c>
      <c r="BF8" s="79">
        <v>12</v>
      </c>
      <c r="BG8" s="79" t="s">
        <v>246</v>
      </c>
      <c r="BH8" s="79"/>
      <c r="BI8" s="78"/>
      <c r="BJ8" s="78" t="s">
        <v>256</v>
      </c>
      <c r="BK8" s="79">
        <v>50</v>
      </c>
      <c r="BL8" s="79" t="s">
        <v>251</v>
      </c>
      <c r="BM8" s="78"/>
      <c r="BN8" t="s">
        <v>132</v>
      </c>
      <c r="BO8" s="82" t="s">
        <v>253</v>
      </c>
    </row>
    <row r="9" spans="1:67" x14ac:dyDescent="0.15">
      <c r="A9" s="75">
        <v>4164</v>
      </c>
      <c r="B9" s="137">
        <v>41465</v>
      </c>
      <c r="C9" s="77" t="s">
        <v>267</v>
      </c>
      <c r="D9" s="78" t="s">
        <v>268</v>
      </c>
      <c r="E9" s="78"/>
      <c r="F9" s="78" t="s">
        <v>285</v>
      </c>
      <c r="G9" s="76">
        <v>41469</v>
      </c>
      <c r="H9" s="79" t="s">
        <v>270</v>
      </c>
      <c r="I9" s="79" t="s">
        <v>271</v>
      </c>
      <c r="J9" s="79"/>
      <c r="K9" s="78" t="s">
        <v>272</v>
      </c>
      <c r="L9" s="78" t="s">
        <v>273</v>
      </c>
      <c r="M9" s="78">
        <v>86.44</v>
      </c>
      <c r="N9" s="78">
        <v>20.99</v>
      </c>
      <c r="O9" s="78"/>
      <c r="P9" s="78"/>
      <c r="Q9" s="78"/>
      <c r="R9" s="80"/>
      <c r="S9" s="78"/>
      <c r="T9" s="78"/>
      <c r="U9" s="78"/>
      <c r="V9" s="78"/>
      <c r="W9" s="78"/>
      <c r="X9" s="78"/>
      <c r="Y9" s="78"/>
      <c r="Z9" s="78"/>
      <c r="AA9" s="78"/>
      <c r="AB9" s="78"/>
      <c r="AC9" s="78"/>
      <c r="AD9" s="78"/>
      <c r="AE9" s="78">
        <v>12.67</v>
      </c>
      <c r="AF9" s="78"/>
      <c r="AG9" s="78"/>
      <c r="AH9" s="78"/>
      <c r="AI9" s="78"/>
      <c r="AJ9" s="78"/>
      <c r="AK9" s="78"/>
      <c r="AL9" s="78" t="s">
        <v>286</v>
      </c>
      <c r="AM9" s="79" t="s">
        <v>275</v>
      </c>
      <c r="AN9" s="79"/>
      <c r="AO9" s="79"/>
      <c r="AP9" s="81" t="s">
        <v>276</v>
      </c>
      <c r="AQ9" s="79">
        <v>17</v>
      </c>
      <c r="AR9" s="79" t="s">
        <v>277</v>
      </c>
      <c r="AS9" s="78"/>
      <c r="AT9" s="79">
        <v>0</v>
      </c>
      <c r="AU9" s="79">
        <v>12</v>
      </c>
      <c r="AV9" s="79">
        <v>0</v>
      </c>
      <c r="AW9" s="79">
        <v>0</v>
      </c>
      <c r="AX9" s="79">
        <v>0</v>
      </c>
      <c r="AY9" s="79">
        <v>0</v>
      </c>
      <c r="AZ9" s="79">
        <v>0</v>
      </c>
      <c r="BA9" s="79">
        <v>0</v>
      </c>
      <c r="BB9" s="79">
        <v>0</v>
      </c>
      <c r="BC9" s="79">
        <v>0</v>
      </c>
      <c r="BD9" s="79"/>
      <c r="BE9" s="79" t="s">
        <v>275</v>
      </c>
      <c r="BF9" s="79">
        <v>24</v>
      </c>
      <c r="BG9" s="79" t="s">
        <v>275</v>
      </c>
      <c r="BH9" s="79"/>
      <c r="BI9" s="83"/>
      <c r="BJ9" s="83"/>
      <c r="BK9" s="79"/>
      <c r="BL9" s="79" t="s">
        <v>278</v>
      </c>
      <c r="BM9" s="83" t="s">
        <v>279</v>
      </c>
      <c r="BN9" t="s">
        <v>280</v>
      </c>
      <c r="BO9" t="s">
        <v>281</v>
      </c>
    </row>
    <row r="10" spans="1:67" ht="12" customHeight="1" x14ac:dyDescent="0.15">
      <c r="A10" s="75">
        <v>3137</v>
      </c>
      <c r="B10" s="137">
        <v>41450</v>
      </c>
      <c r="C10" s="77" t="s">
        <v>242</v>
      </c>
      <c r="D10" s="78" t="s">
        <v>243</v>
      </c>
      <c r="E10" s="78"/>
      <c r="F10" s="78" t="s">
        <v>264</v>
      </c>
      <c r="G10" s="76">
        <v>41455</v>
      </c>
      <c r="H10" s="79" t="s">
        <v>245</v>
      </c>
      <c r="I10" s="79" t="s">
        <v>246</v>
      </c>
      <c r="J10" s="79"/>
      <c r="K10" s="78" t="s">
        <v>243</v>
      </c>
      <c r="L10" s="78" t="s">
        <v>262</v>
      </c>
      <c r="M10" s="78">
        <v>87.4</v>
      </c>
      <c r="N10" s="78">
        <v>26.08</v>
      </c>
      <c r="O10" s="78"/>
      <c r="P10" s="78"/>
      <c r="Q10" s="78"/>
      <c r="R10" s="80"/>
      <c r="S10" s="78"/>
      <c r="T10" s="78"/>
      <c r="U10" s="78"/>
      <c r="V10" s="78"/>
      <c r="W10" s="78">
        <v>14.66</v>
      </c>
      <c r="X10" s="78"/>
      <c r="Y10" s="78"/>
      <c r="Z10" s="78"/>
      <c r="AA10" s="78"/>
      <c r="AB10" s="78"/>
      <c r="AC10" s="78"/>
      <c r="AD10" s="78"/>
      <c r="AE10" s="78"/>
      <c r="AF10" s="78"/>
      <c r="AG10" s="78"/>
      <c r="AH10" s="78">
        <v>18.649999999999999</v>
      </c>
      <c r="AI10" s="78"/>
      <c r="AJ10" s="78"/>
      <c r="AK10" s="78"/>
      <c r="AL10" s="78" t="s">
        <v>265</v>
      </c>
      <c r="AM10" s="79" t="s">
        <v>246</v>
      </c>
      <c r="AN10" s="79"/>
      <c r="AO10" s="79"/>
      <c r="AP10" s="81" t="s">
        <v>249</v>
      </c>
      <c r="AQ10" s="79">
        <v>8</v>
      </c>
      <c r="AR10" s="79" t="s">
        <v>250</v>
      </c>
      <c r="AS10" s="78"/>
      <c r="AT10" s="79">
        <v>0</v>
      </c>
      <c r="AU10" s="79">
        <v>12</v>
      </c>
      <c r="AV10" s="79">
        <v>0</v>
      </c>
      <c r="AW10" s="79">
        <v>0</v>
      </c>
      <c r="AX10" s="79">
        <v>0</v>
      </c>
      <c r="AY10" s="79">
        <v>0</v>
      </c>
      <c r="AZ10" s="79">
        <v>0</v>
      </c>
      <c r="BA10" s="79">
        <v>0</v>
      </c>
      <c r="BB10" s="79">
        <v>0</v>
      </c>
      <c r="BC10" s="79">
        <v>0</v>
      </c>
      <c r="BD10" s="79">
        <v>12</v>
      </c>
      <c r="BE10" s="79" t="s">
        <v>246</v>
      </c>
      <c r="BF10" s="79">
        <v>0</v>
      </c>
      <c r="BG10" s="79" t="s">
        <v>246</v>
      </c>
      <c r="BH10" s="79"/>
      <c r="BI10" s="78"/>
      <c r="BJ10" s="78"/>
      <c r="BK10" s="79"/>
      <c r="BL10" s="79" t="s">
        <v>251</v>
      </c>
      <c r="BM10" s="78" t="s">
        <v>252</v>
      </c>
      <c r="BN10" t="s">
        <v>46</v>
      </c>
      <c r="BO10" s="82" t="s">
        <v>253</v>
      </c>
    </row>
    <row r="11" spans="1:67" ht="12" customHeight="1" x14ac:dyDescent="0.15">
      <c r="A11" s="75">
        <v>1767</v>
      </c>
      <c r="B11" s="137">
        <v>41475</v>
      </c>
      <c r="C11" s="77" t="s">
        <v>242</v>
      </c>
      <c r="D11" s="78" t="s">
        <v>243</v>
      </c>
      <c r="E11" s="78"/>
      <c r="F11" s="78" t="s">
        <v>264</v>
      </c>
      <c r="G11" s="76">
        <v>41467</v>
      </c>
      <c r="H11" s="79" t="s">
        <v>245</v>
      </c>
      <c r="I11" s="79" t="s">
        <v>246</v>
      </c>
      <c r="J11" s="79"/>
      <c r="K11" s="78" t="s">
        <v>254</v>
      </c>
      <c r="L11" s="78" t="s">
        <v>255</v>
      </c>
      <c r="M11" s="78">
        <v>73</v>
      </c>
      <c r="N11" s="78">
        <v>27.45</v>
      </c>
      <c r="O11" s="78"/>
      <c r="P11" s="78"/>
      <c r="Q11" s="78"/>
      <c r="R11" s="80"/>
      <c r="S11" s="78"/>
      <c r="T11" s="78"/>
      <c r="U11" s="78"/>
      <c r="V11" s="78"/>
      <c r="W11" s="78">
        <v>14.42</v>
      </c>
      <c r="X11" s="78"/>
      <c r="Y11" s="78"/>
      <c r="Z11" s="78"/>
      <c r="AA11" s="78"/>
      <c r="AB11" s="78"/>
      <c r="AC11" s="78"/>
      <c r="AD11" s="78"/>
      <c r="AE11" s="78"/>
      <c r="AF11" s="78"/>
      <c r="AG11" s="78"/>
      <c r="AH11" s="78">
        <v>18.97</v>
      </c>
      <c r="AI11" s="78"/>
      <c r="AJ11" s="78"/>
      <c r="AK11" s="78"/>
      <c r="AL11" s="78" t="s">
        <v>266</v>
      </c>
      <c r="AM11" s="79" t="s">
        <v>246</v>
      </c>
      <c r="AN11" s="79"/>
      <c r="AO11" s="79"/>
      <c r="AP11" s="81"/>
      <c r="AQ11" s="79"/>
      <c r="AR11" s="79" t="s">
        <v>250</v>
      </c>
      <c r="AS11" s="78"/>
      <c r="AT11" s="79">
        <v>0</v>
      </c>
      <c r="AU11" s="79">
        <v>0</v>
      </c>
      <c r="AV11" s="79">
        <v>0</v>
      </c>
      <c r="AW11" s="79">
        <v>14</v>
      </c>
      <c r="AX11" s="79">
        <v>0</v>
      </c>
      <c r="AY11" s="79">
        <v>0</v>
      </c>
      <c r="AZ11" s="79">
        <v>0</v>
      </c>
      <c r="BA11" s="79">
        <v>2</v>
      </c>
      <c r="BB11" s="79">
        <v>0</v>
      </c>
      <c r="BC11" s="79">
        <v>0</v>
      </c>
      <c r="BD11" s="79">
        <v>0</v>
      </c>
      <c r="BE11" s="79" t="s">
        <v>246</v>
      </c>
      <c r="BF11" s="79">
        <v>12</v>
      </c>
      <c r="BG11" s="79" t="s">
        <v>246</v>
      </c>
      <c r="BH11" s="79"/>
      <c r="BI11" s="78"/>
      <c r="BJ11" s="78" t="s">
        <v>256</v>
      </c>
      <c r="BK11" s="79">
        <v>50</v>
      </c>
      <c r="BL11" s="79" t="s">
        <v>251</v>
      </c>
      <c r="BM11" s="78"/>
      <c r="BN11" t="s">
        <v>132</v>
      </c>
      <c r="BO11" s="82" t="s">
        <v>253</v>
      </c>
    </row>
    <row r="12" spans="1:67" x14ac:dyDescent="0.15">
      <c r="A12" s="75">
        <v>4166</v>
      </c>
      <c r="B12" s="137">
        <v>41465</v>
      </c>
      <c r="C12" s="77" t="s">
        <v>267</v>
      </c>
      <c r="D12" s="78" t="s">
        <v>268</v>
      </c>
      <c r="E12" s="78"/>
      <c r="F12" s="78" t="s">
        <v>287</v>
      </c>
      <c r="G12" s="76">
        <v>41469</v>
      </c>
      <c r="H12" s="79" t="s">
        <v>270</v>
      </c>
      <c r="I12" s="79" t="s">
        <v>271</v>
      </c>
      <c r="J12" s="79"/>
      <c r="K12" s="78" t="s">
        <v>272</v>
      </c>
      <c r="L12" s="78" t="s">
        <v>273</v>
      </c>
      <c r="M12" s="78">
        <v>86.44</v>
      </c>
      <c r="N12" s="78">
        <v>26.89</v>
      </c>
      <c r="O12" s="78"/>
      <c r="P12" s="78"/>
      <c r="Q12" s="78"/>
      <c r="R12" s="80"/>
      <c r="S12" s="78"/>
      <c r="T12" s="78"/>
      <c r="U12" s="78"/>
      <c r="V12" s="78"/>
      <c r="W12" s="78">
        <v>15.13</v>
      </c>
      <c r="X12" s="78"/>
      <c r="Y12" s="78"/>
      <c r="Z12" s="78"/>
      <c r="AA12" s="78"/>
      <c r="AB12" s="78"/>
      <c r="AC12" s="78"/>
      <c r="AD12" s="78"/>
      <c r="AE12" s="78"/>
      <c r="AF12" s="78"/>
      <c r="AG12" s="78"/>
      <c r="AH12" s="78">
        <v>19.190000000000001</v>
      </c>
      <c r="AI12" s="78"/>
      <c r="AJ12" s="78"/>
      <c r="AK12" s="78"/>
      <c r="AL12" s="78" t="s">
        <v>288</v>
      </c>
      <c r="AM12" s="79" t="s">
        <v>284</v>
      </c>
      <c r="AN12" s="79"/>
      <c r="AO12" s="79"/>
      <c r="AP12" s="81" t="s">
        <v>276</v>
      </c>
      <c r="AQ12" s="79">
        <v>17</v>
      </c>
      <c r="AR12" s="79" t="s">
        <v>277</v>
      </c>
      <c r="AS12" s="78"/>
      <c r="AT12" s="79">
        <v>0</v>
      </c>
      <c r="AU12" s="79">
        <v>12</v>
      </c>
      <c r="AV12" s="79">
        <v>0</v>
      </c>
      <c r="AW12" s="79">
        <v>0</v>
      </c>
      <c r="AX12" s="79">
        <v>0</v>
      </c>
      <c r="AY12" s="79">
        <v>0</v>
      </c>
      <c r="AZ12" s="79">
        <v>0</v>
      </c>
      <c r="BA12" s="79">
        <v>0</v>
      </c>
      <c r="BB12" s="79">
        <v>0</v>
      </c>
      <c r="BC12" s="79">
        <v>0</v>
      </c>
      <c r="BD12" s="79"/>
      <c r="BE12" s="79" t="s">
        <v>284</v>
      </c>
      <c r="BF12" s="79">
        <v>24</v>
      </c>
      <c r="BG12" s="79" t="s">
        <v>284</v>
      </c>
      <c r="BH12" s="79"/>
      <c r="BI12" s="83"/>
      <c r="BJ12" s="83"/>
      <c r="BK12" s="79"/>
      <c r="BL12" s="79" t="s">
        <v>278</v>
      </c>
      <c r="BM12" s="83" t="s">
        <v>279</v>
      </c>
      <c r="BN12" t="s">
        <v>280</v>
      </c>
      <c r="BO12" t="s">
        <v>281</v>
      </c>
    </row>
  </sheetData>
  <sheetProtection algorithmName="SHA-512" hashValue="6Zeg1TO04XH1vhTtCpGCgB2HYmE85paQF9eFWONJuonucJ/lZy46DXTR8gyuosMucZdLJqBsvi4K2snvjeKbOw==" saltValue="aPN0E2RL436VVKj0IbYqMw==" spinCount="100000" sheet="1" objects="1" scenarios="1"/>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BO12"/>
  <sheetViews>
    <sheetView workbookViewId="0">
      <selection activeCell="C18" sqref="C18"/>
    </sheetView>
  </sheetViews>
  <sheetFormatPr baseColWidth="10" defaultColWidth="11.1640625" defaultRowHeight="13" x14ac:dyDescent="0.15"/>
  <cols>
    <col min="12" max="12" width="19" customWidth="1"/>
    <col min="38" max="38" width="12.83203125" customWidth="1"/>
  </cols>
  <sheetData>
    <row r="1" spans="1:67" ht="70" x14ac:dyDescent="0.15">
      <c r="A1" s="53" t="s">
        <v>137</v>
      </c>
      <c r="B1" s="53" t="s">
        <v>138</v>
      </c>
      <c r="C1" s="54" t="s">
        <v>139</v>
      </c>
      <c r="D1" s="55" t="s">
        <v>140</v>
      </c>
      <c r="E1" s="55" t="s">
        <v>141</v>
      </c>
      <c r="F1" s="55" t="s">
        <v>50</v>
      </c>
      <c r="G1" s="53" t="s">
        <v>51</v>
      </c>
      <c r="H1" s="56" t="s">
        <v>52</v>
      </c>
      <c r="I1" s="56" t="s">
        <v>53</v>
      </c>
      <c r="J1" s="56" t="s">
        <v>146</v>
      </c>
      <c r="K1" s="55" t="s">
        <v>147</v>
      </c>
      <c r="L1" s="57" t="s">
        <v>148</v>
      </c>
      <c r="M1" s="58" t="s">
        <v>201</v>
      </c>
      <c r="N1" s="59" t="s">
        <v>202</v>
      </c>
      <c r="O1" s="59" t="s">
        <v>203</v>
      </c>
      <c r="P1" s="59" t="s">
        <v>204</v>
      </c>
      <c r="Q1" s="59" t="s">
        <v>205</v>
      </c>
      <c r="R1" s="59" t="s">
        <v>157</v>
      </c>
      <c r="S1" s="59" t="s">
        <v>61</v>
      </c>
      <c r="T1" s="59" t="s">
        <v>62</v>
      </c>
      <c r="U1" s="59" t="s">
        <v>103</v>
      </c>
      <c r="V1" s="60" t="s">
        <v>3</v>
      </c>
      <c r="W1" s="61" t="s">
        <v>4</v>
      </c>
      <c r="X1" s="61" t="s">
        <v>5</v>
      </c>
      <c r="Y1" s="61" t="s">
        <v>104</v>
      </c>
      <c r="Z1" s="61" t="s">
        <v>105</v>
      </c>
      <c r="AA1" s="61" t="s">
        <v>106</v>
      </c>
      <c r="AB1" s="61" t="s">
        <v>107</v>
      </c>
      <c r="AC1" s="61" t="s">
        <v>108</v>
      </c>
      <c r="AD1" s="61" t="s">
        <v>95</v>
      </c>
      <c r="AE1" s="62" t="s">
        <v>96</v>
      </c>
      <c r="AF1" s="63" t="s">
        <v>97</v>
      </c>
      <c r="AG1" s="63" t="s">
        <v>98</v>
      </c>
      <c r="AH1" s="64" t="s">
        <v>99</v>
      </c>
      <c r="AI1" s="64" t="s">
        <v>27</v>
      </c>
      <c r="AJ1" s="64" t="s">
        <v>28</v>
      </c>
      <c r="AK1" s="64" t="s">
        <v>21</v>
      </c>
      <c r="AL1" s="65" t="s">
        <v>22</v>
      </c>
      <c r="AM1" s="66" t="s">
        <v>23</v>
      </c>
      <c r="AN1" s="66" t="s">
        <v>24</v>
      </c>
      <c r="AO1" s="67" t="s">
        <v>25</v>
      </c>
      <c r="AP1" s="68" t="s">
        <v>26</v>
      </c>
      <c r="AQ1" s="69" t="s">
        <v>59</v>
      </c>
      <c r="AR1" s="70" t="s">
        <v>60</v>
      </c>
      <c r="AS1" s="71" t="s">
        <v>128</v>
      </c>
      <c r="AT1" s="72" t="s">
        <v>129</v>
      </c>
      <c r="AU1" s="73" t="s">
        <v>130</v>
      </c>
      <c r="AV1" s="72" t="s">
        <v>131</v>
      </c>
      <c r="AW1" s="73" t="s">
        <v>206</v>
      </c>
      <c r="AX1" s="72" t="s">
        <v>207</v>
      </c>
      <c r="AY1" s="73" t="s">
        <v>208</v>
      </c>
      <c r="AZ1" s="72" t="s">
        <v>209</v>
      </c>
      <c r="BA1" s="74" t="s">
        <v>210</v>
      </c>
      <c r="BB1" s="72" t="s">
        <v>211</v>
      </c>
      <c r="BC1" s="74" t="s">
        <v>212</v>
      </c>
      <c r="BD1" s="56" t="s">
        <v>176</v>
      </c>
      <c r="BE1" s="56" t="s">
        <v>170</v>
      </c>
      <c r="BF1" s="56" t="s">
        <v>171</v>
      </c>
      <c r="BG1" s="56" t="s">
        <v>172</v>
      </c>
      <c r="BH1" s="56" t="s">
        <v>173</v>
      </c>
      <c r="BI1" s="54" t="s">
        <v>232</v>
      </c>
      <c r="BJ1" s="54" t="s">
        <v>233</v>
      </c>
      <c r="BK1" s="56" t="s">
        <v>7</v>
      </c>
      <c r="BL1" s="56" t="s">
        <v>8</v>
      </c>
      <c r="BM1" s="54" t="s">
        <v>9</v>
      </c>
      <c r="BN1" s="56" t="s">
        <v>10</v>
      </c>
      <c r="BO1" s="53" t="s">
        <v>153</v>
      </c>
    </row>
    <row r="2" spans="1:67" x14ac:dyDescent="0.15">
      <c r="A2" s="75">
        <v>3132</v>
      </c>
      <c r="B2" s="84">
        <v>41136</v>
      </c>
      <c r="C2" s="77" t="s">
        <v>88</v>
      </c>
      <c r="D2" s="78" t="s">
        <v>156</v>
      </c>
      <c r="E2" s="78"/>
      <c r="F2" s="78" t="s">
        <v>89</v>
      </c>
      <c r="G2" s="76">
        <v>41090</v>
      </c>
      <c r="H2" s="79" t="s">
        <v>154</v>
      </c>
      <c r="I2" s="79" t="s">
        <v>155</v>
      </c>
      <c r="J2" s="79"/>
      <c r="K2" s="78" t="s">
        <v>156</v>
      </c>
      <c r="L2" s="78" t="s">
        <v>78</v>
      </c>
      <c r="M2" s="78">
        <v>73.099999999999994</v>
      </c>
      <c r="N2" s="78">
        <v>16.62</v>
      </c>
      <c r="O2" s="78"/>
      <c r="P2" s="78"/>
      <c r="Q2" s="78"/>
      <c r="R2" s="80"/>
      <c r="S2" s="78"/>
      <c r="T2" s="78"/>
      <c r="U2" s="78"/>
      <c r="V2" s="78"/>
      <c r="W2" s="78"/>
      <c r="X2" s="78"/>
      <c r="Y2" s="78"/>
      <c r="Z2" s="78"/>
      <c r="AA2" s="78"/>
      <c r="AB2" s="78"/>
      <c r="AC2" s="78"/>
      <c r="AD2" s="78"/>
      <c r="AE2" s="78"/>
      <c r="AF2" s="78"/>
      <c r="AG2" s="78"/>
      <c r="AH2" s="78"/>
      <c r="AI2" s="78"/>
      <c r="AJ2" s="78"/>
      <c r="AK2" s="78"/>
      <c r="AL2" s="78" t="s">
        <v>83</v>
      </c>
      <c r="AM2" s="79" t="s">
        <v>155</v>
      </c>
      <c r="AN2" s="79"/>
      <c r="AO2" s="79"/>
      <c r="AP2" s="81" t="s">
        <v>84</v>
      </c>
      <c r="AQ2" s="79">
        <v>6</v>
      </c>
      <c r="AR2" s="79" t="s">
        <v>85</v>
      </c>
      <c r="AS2" s="78"/>
      <c r="AT2" s="79">
        <v>0</v>
      </c>
      <c r="AU2" s="79">
        <v>12</v>
      </c>
      <c r="AV2" s="79">
        <v>0</v>
      </c>
      <c r="AW2" s="79">
        <v>0</v>
      </c>
      <c r="AX2" s="79">
        <v>0</v>
      </c>
      <c r="AY2" s="79">
        <v>0</v>
      </c>
      <c r="AZ2" s="79">
        <v>0</v>
      </c>
      <c r="BA2" s="79">
        <v>0</v>
      </c>
      <c r="BB2" s="79">
        <v>0</v>
      </c>
      <c r="BC2" s="79">
        <v>0</v>
      </c>
      <c r="BD2" s="79">
        <v>12</v>
      </c>
      <c r="BE2" s="79" t="s">
        <v>155</v>
      </c>
      <c r="BF2" s="79"/>
      <c r="BG2" s="79" t="s">
        <v>155</v>
      </c>
      <c r="BH2" s="79"/>
      <c r="BI2" s="78"/>
      <c r="BJ2" s="78"/>
      <c r="BK2" s="79"/>
      <c r="BL2" s="79" t="s">
        <v>86</v>
      </c>
      <c r="BM2" s="78" t="s">
        <v>87</v>
      </c>
      <c r="BN2" t="s">
        <v>46</v>
      </c>
      <c r="BO2" s="82" t="s">
        <v>37</v>
      </c>
    </row>
    <row r="3" spans="1:67" x14ac:dyDescent="0.15">
      <c r="A3" s="75">
        <v>1765</v>
      </c>
      <c r="B3" s="84">
        <v>41136</v>
      </c>
      <c r="C3" s="77" t="s">
        <v>88</v>
      </c>
      <c r="D3" s="78" t="s">
        <v>156</v>
      </c>
      <c r="E3" s="78"/>
      <c r="F3" s="78" t="s">
        <v>89</v>
      </c>
      <c r="G3" s="76">
        <v>41117</v>
      </c>
      <c r="H3" s="79" t="s">
        <v>90</v>
      </c>
      <c r="I3" s="79" t="s">
        <v>54</v>
      </c>
      <c r="J3" s="79"/>
      <c r="K3" s="78" t="s">
        <v>82</v>
      </c>
      <c r="L3" s="78" t="s">
        <v>190</v>
      </c>
      <c r="M3" s="78">
        <v>72.489999999999995</v>
      </c>
      <c r="N3" s="78">
        <v>17.486999999999998</v>
      </c>
      <c r="O3" s="78"/>
      <c r="P3" s="78"/>
      <c r="Q3" s="78"/>
      <c r="R3" s="80"/>
      <c r="S3" s="78"/>
      <c r="T3" s="78"/>
      <c r="U3" s="78"/>
      <c r="V3" s="78"/>
      <c r="W3" s="78"/>
      <c r="X3" s="78"/>
      <c r="Y3" s="78"/>
      <c r="Z3" s="78"/>
      <c r="AA3" s="78"/>
      <c r="AB3" s="78"/>
      <c r="AC3" s="78"/>
      <c r="AD3" s="78"/>
      <c r="AE3" s="78"/>
      <c r="AF3" s="78"/>
      <c r="AG3" s="78"/>
      <c r="AH3" s="78"/>
      <c r="AI3" s="78"/>
      <c r="AJ3" s="78"/>
      <c r="AK3" s="78"/>
      <c r="AL3" t="s">
        <v>83</v>
      </c>
      <c r="AM3" s="79" t="s">
        <v>54</v>
      </c>
      <c r="AN3" s="79"/>
      <c r="AO3" s="79"/>
      <c r="AP3" s="81"/>
      <c r="AQ3" s="79">
        <v>0</v>
      </c>
      <c r="AR3" s="79" t="s">
        <v>55</v>
      </c>
      <c r="AS3" s="78"/>
      <c r="AT3" s="79">
        <v>0</v>
      </c>
      <c r="AU3" s="79">
        <v>0</v>
      </c>
      <c r="AV3" s="79">
        <v>0</v>
      </c>
      <c r="AW3" s="79">
        <v>12</v>
      </c>
      <c r="AX3" s="79">
        <v>0</v>
      </c>
      <c r="AY3" s="79">
        <v>0</v>
      </c>
      <c r="AZ3" s="79">
        <v>0</v>
      </c>
      <c r="BA3" s="79">
        <v>2</v>
      </c>
      <c r="BB3" s="79">
        <v>0</v>
      </c>
      <c r="BC3" s="79">
        <v>0</v>
      </c>
      <c r="BD3" s="79">
        <v>0</v>
      </c>
      <c r="BE3" s="79" t="s">
        <v>54</v>
      </c>
      <c r="BF3" s="79">
        <v>12</v>
      </c>
      <c r="BG3" s="79" t="s">
        <v>54</v>
      </c>
      <c r="BH3" s="79"/>
      <c r="BI3" s="78"/>
      <c r="BJ3" s="78"/>
      <c r="BK3" s="79"/>
      <c r="BL3" s="79" t="s">
        <v>56</v>
      </c>
      <c r="BM3" s="78"/>
      <c r="BN3" t="s">
        <v>132</v>
      </c>
      <c r="BO3" s="82" t="s">
        <v>37</v>
      </c>
    </row>
    <row r="4" spans="1:67" x14ac:dyDescent="0.15">
      <c r="A4" s="75">
        <v>2295</v>
      </c>
      <c r="B4" s="84">
        <v>41136</v>
      </c>
      <c r="C4" s="77" t="s">
        <v>88</v>
      </c>
      <c r="D4" s="78" t="s">
        <v>156</v>
      </c>
      <c r="E4" s="78"/>
      <c r="F4" s="78" t="s">
        <v>89</v>
      </c>
      <c r="G4" s="76">
        <v>41104</v>
      </c>
      <c r="H4" s="79" t="s">
        <v>90</v>
      </c>
      <c r="I4" s="79" t="s">
        <v>54</v>
      </c>
      <c r="J4" s="79"/>
      <c r="K4" s="78" t="s">
        <v>134</v>
      </c>
      <c r="L4" s="78" t="s">
        <v>36</v>
      </c>
      <c r="M4" s="78">
        <v>73.099999999999994</v>
      </c>
      <c r="N4" s="78">
        <v>16.62</v>
      </c>
      <c r="O4" s="78"/>
      <c r="P4" s="78"/>
      <c r="Q4" s="78"/>
      <c r="R4" s="80"/>
      <c r="S4" s="78"/>
      <c r="T4" s="78"/>
      <c r="U4" s="78"/>
      <c r="V4" s="78"/>
      <c r="W4" s="78"/>
      <c r="X4" s="78"/>
      <c r="Y4" s="78"/>
      <c r="Z4" s="78"/>
      <c r="AA4" s="78"/>
      <c r="AB4" s="78"/>
      <c r="AC4" s="78"/>
      <c r="AD4" s="78"/>
      <c r="AE4" s="78"/>
      <c r="AF4" s="78"/>
      <c r="AG4" s="78"/>
      <c r="AH4" s="78"/>
      <c r="AI4" s="78"/>
      <c r="AJ4" s="78"/>
      <c r="AK4" s="78"/>
      <c r="AL4" s="78" t="s">
        <v>83</v>
      </c>
      <c r="AM4" s="79" t="s">
        <v>54</v>
      </c>
      <c r="AN4" s="79"/>
      <c r="AO4" s="79"/>
      <c r="AP4" s="81" t="s">
        <v>84</v>
      </c>
      <c r="AQ4" s="79">
        <v>6</v>
      </c>
      <c r="AR4" s="79" t="s">
        <v>55</v>
      </c>
      <c r="AS4" s="78"/>
      <c r="AT4" s="79">
        <v>0</v>
      </c>
      <c r="AU4" s="79">
        <v>0</v>
      </c>
      <c r="AV4" s="79">
        <v>0</v>
      </c>
      <c r="AW4" s="79">
        <v>10</v>
      </c>
      <c r="AX4" s="79">
        <v>0</v>
      </c>
      <c r="AY4" s="79">
        <v>0</v>
      </c>
      <c r="AZ4" s="79">
        <v>0</v>
      </c>
      <c r="BA4" s="79">
        <v>0</v>
      </c>
      <c r="BB4" s="79">
        <v>0</v>
      </c>
      <c r="BC4" s="79">
        <v>0</v>
      </c>
      <c r="BD4" s="79">
        <v>0</v>
      </c>
      <c r="BE4" s="79" t="s">
        <v>54</v>
      </c>
      <c r="BF4" s="79">
        <v>12</v>
      </c>
      <c r="BG4" s="79" t="s">
        <v>54</v>
      </c>
      <c r="BH4" s="79"/>
      <c r="BI4" s="83"/>
      <c r="BJ4" s="83"/>
      <c r="BK4" s="79"/>
      <c r="BL4" s="79" t="s">
        <v>56</v>
      </c>
      <c r="BM4" s="83"/>
      <c r="BN4" t="s">
        <v>47</v>
      </c>
      <c r="BO4" t="s">
        <v>37</v>
      </c>
    </row>
    <row r="5" spans="1:67" x14ac:dyDescent="0.15">
      <c r="A5" s="75">
        <v>3133</v>
      </c>
      <c r="B5" s="84">
        <v>41136</v>
      </c>
      <c r="C5" s="77" t="s">
        <v>88</v>
      </c>
      <c r="D5" s="78" t="s">
        <v>156</v>
      </c>
      <c r="E5" s="78"/>
      <c r="F5" s="78" t="s">
        <v>110</v>
      </c>
      <c r="G5" s="76">
        <v>41090</v>
      </c>
      <c r="H5" s="79" t="s">
        <v>154</v>
      </c>
      <c r="I5" s="79" t="s">
        <v>155</v>
      </c>
      <c r="J5" s="79"/>
      <c r="K5" s="78" t="s">
        <v>156</v>
      </c>
      <c r="L5" s="78" t="s">
        <v>79</v>
      </c>
      <c r="M5" s="78">
        <v>94.7</v>
      </c>
      <c r="N5" s="78">
        <v>15.02</v>
      </c>
      <c r="O5" s="78" t="s">
        <v>57</v>
      </c>
      <c r="P5" s="78">
        <v>5500</v>
      </c>
      <c r="Q5" s="78">
        <v>16.61</v>
      </c>
      <c r="R5" s="80"/>
      <c r="S5" s="78"/>
      <c r="T5" s="78"/>
      <c r="U5" s="78"/>
      <c r="V5" s="78"/>
      <c r="W5" s="78"/>
      <c r="X5" s="78"/>
      <c r="Y5" s="78"/>
      <c r="Z5" s="78"/>
      <c r="AA5" s="78"/>
      <c r="AB5" s="78"/>
      <c r="AC5" s="78"/>
      <c r="AD5" s="78"/>
      <c r="AE5" s="78"/>
      <c r="AF5" s="78"/>
      <c r="AG5" s="78"/>
      <c r="AH5" s="78"/>
      <c r="AI5" s="78"/>
      <c r="AJ5" s="78"/>
      <c r="AK5" s="78"/>
      <c r="AL5" s="78" t="s">
        <v>58</v>
      </c>
      <c r="AM5" s="79" t="s">
        <v>54</v>
      </c>
      <c r="AN5" s="79"/>
      <c r="AO5" s="79"/>
      <c r="AP5" s="81" t="s">
        <v>80</v>
      </c>
      <c r="AQ5" s="79">
        <v>6</v>
      </c>
      <c r="AR5" s="79" t="s">
        <v>55</v>
      </c>
      <c r="AS5" s="78"/>
      <c r="AT5" s="79">
        <v>0</v>
      </c>
      <c r="AU5" s="79">
        <v>12</v>
      </c>
      <c r="AV5" s="79">
        <v>0</v>
      </c>
      <c r="AW5" s="79">
        <v>0</v>
      </c>
      <c r="AX5" s="79">
        <v>0</v>
      </c>
      <c r="AY5" s="79">
        <v>0</v>
      </c>
      <c r="AZ5" s="79">
        <v>0</v>
      </c>
      <c r="BA5" s="79">
        <v>0</v>
      </c>
      <c r="BB5" s="79">
        <v>0</v>
      </c>
      <c r="BC5" s="79">
        <v>0</v>
      </c>
      <c r="BD5" s="79">
        <v>12</v>
      </c>
      <c r="BE5" s="79" t="s">
        <v>54</v>
      </c>
      <c r="BF5" s="79"/>
      <c r="BG5" s="79" t="s">
        <v>54</v>
      </c>
      <c r="BH5" s="79"/>
      <c r="BI5" s="78"/>
      <c r="BJ5" s="78"/>
      <c r="BK5" s="79"/>
      <c r="BL5" s="79" t="s">
        <v>56</v>
      </c>
      <c r="BM5" s="78" t="s">
        <v>87</v>
      </c>
      <c r="BN5" t="s">
        <v>46</v>
      </c>
      <c r="BO5" s="82" t="s">
        <v>37</v>
      </c>
    </row>
    <row r="6" spans="1:67" x14ac:dyDescent="0.15">
      <c r="A6" s="75">
        <v>2296</v>
      </c>
      <c r="B6" s="84">
        <v>41136</v>
      </c>
      <c r="C6" s="77" t="s">
        <v>88</v>
      </c>
      <c r="D6" s="78" t="s">
        <v>156</v>
      </c>
      <c r="E6" s="78"/>
      <c r="F6" s="78" t="s">
        <v>110</v>
      </c>
      <c r="G6" s="76">
        <v>41104</v>
      </c>
      <c r="H6" s="79" t="s">
        <v>90</v>
      </c>
      <c r="I6" s="79" t="s">
        <v>54</v>
      </c>
      <c r="J6" s="79"/>
      <c r="K6" s="78" t="s">
        <v>134</v>
      </c>
      <c r="L6" s="78" t="s">
        <v>36</v>
      </c>
      <c r="M6" s="78">
        <v>94.7</v>
      </c>
      <c r="N6" s="78">
        <v>15.02</v>
      </c>
      <c r="O6" s="78" t="s">
        <v>57</v>
      </c>
      <c r="P6" s="78">
        <v>5500</v>
      </c>
      <c r="Q6" s="78">
        <v>16.61</v>
      </c>
      <c r="R6" s="80"/>
      <c r="S6" s="78"/>
      <c r="T6" s="78"/>
      <c r="U6" s="78"/>
      <c r="V6" s="78"/>
      <c r="W6" s="78"/>
      <c r="X6" s="78"/>
      <c r="Y6" s="78"/>
      <c r="Z6" s="78"/>
      <c r="AA6" s="78"/>
      <c r="AB6" s="78"/>
      <c r="AC6" s="78"/>
      <c r="AD6" s="78"/>
      <c r="AE6" s="78"/>
      <c r="AF6" s="78"/>
      <c r="AG6" s="78"/>
      <c r="AH6" s="78"/>
      <c r="AI6" s="78"/>
      <c r="AJ6" s="78"/>
      <c r="AK6" s="78"/>
      <c r="AL6" s="78" t="s">
        <v>58</v>
      </c>
      <c r="AM6" s="79" t="s">
        <v>54</v>
      </c>
      <c r="AN6" s="79"/>
      <c r="AO6" s="79"/>
      <c r="AP6" s="81" t="s">
        <v>84</v>
      </c>
      <c r="AQ6" s="79">
        <v>6</v>
      </c>
      <c r="AR6" s="79" t="s">
        <v>55</v>
      </c>
      <c r="AS6" s="78"/>
      <c r="AT6" s="79">
        <v>0</v>
      </c>
      <c r="AU6" s="79">
        <v>0</v>
      </c>
      <c r="AV6" s="79">
        <v>0</v>
      </c>
      <c r="AW6" s="79">
        <v>10</v>
      </c>
      <c r="AX6" s="79">
        <v>0</v>
      </c>
      <c r="AY6" s="79">
        <v>0</v>
      </c>
      <c r="AZ6" s="79">
        <v>0</v>
      </c>
      <c r="BA6" s="79">
        <v>0</v>
      </c>
      <c r="BB6" s="79">
        <v>0</v>
      </c>
      <c r="BC6" s="79">
        <v>0</v>
      </c>
      <c r="BD6" s="79">
        <v>0</v>
      </c>
      <c r="BE6" s="79" t="s">
        <v>54</v>
      </c>
      <c r="BF6" s="79">
        <v>12</v>
      </c>
      <c r="BG6" s="79" t="s">
        <v>54</v>
      </c>
      <c r="BH6" s="79"/>
      <c r="BI6" s="83"/>
      <c r="BJ6" s="83"/>
      <c r="BK6" s="79"/>
      <c r="BL6" s="79" t="s">
        <v>56</v>
      </c>
      <c r="BM6" s="83"/>
      <c r="BN6" t="s">
        <v>47</v>
      </c>
      <c r="BO6" t="s">
        <v>37</v>
      </c>
    </row>
    <row r="7" spans="1:67" x14ac:dyDescent="0.15">
      <c r="A7" s="75">
        <v>3135</v>
      </c>
      <c r="B7" s="84">
        <v>41136</v>
      </c>
      <c r="C7" s="77" t="s">
        <v>88</v>
      </c>
      <c r="D7" s="78" t="s">
        <v>156</v>
      </c>
      <c r="E7" s="78"/>
      <c r="F7" s="78" t="s">
        <v>38</v>
      </c>
      <c r="G7" s="76">
        <v>41090</v>
      </c>
      <c r="H7" s="79" t="s">
        <v>90</v>
      </c>
      <c r="I7" s="79" t="s">
        <v>54</v>
      </c>
      <c r="J7" s="79"/>
      <c r="K7" s="78" t="s">
        <v>156</v>
      </c>
      <c r="L7" s="78" t="s">
        <v>81</v>
      </c>
      <c r="M7" s="78">
        <v>73.099999999999994</v>
      </c>
      <c r="N7" s="78">
        <v>16.62</v>
      </c>
      <c r="O7" s="78"/>
      <c r="P7" s="78"/>
      <c r="Q7" s="78"/>
      <c r="R7" s="80"/>
      <c r="S7" s="78"/>
      <c r="T7" s="78"/>
      <c r="U7" s="78"/>
      <c r="V7" s="78"/>
      <c r="W7" s="78"/>
      <c r="X7" s="78"/>
      <c r="Y7" s="78"/>
      <c r="Z7" s="78"/>
      <c r="AA7" s="78"/>
      <c r="AB7" s="78"/>
      <c r="AC7" s="78"/>
      <c r="AD7" s="78"/>
      <c r="AE7" s="78">
        <v>9.3000000000000007</v>
      </c>
      <c r="AF7" s="78"/>
      <c r="AG7" s="78"/>
      <c r="AH7" s="78"/>
      <c r="AI7" s="78"/>
      <c r="AJ7" s="78"/>
      <c r="AK7" s="78"/>
      <c r="AL7" s="78" t="s">
        <v>39</v>
      </c>
      <c r="AM7" s="79" t="s">
        <v>54</v>
      </c>
      <c r="AN7" s="79"/>
      <c r="AO7" s="79"/>
      <c r="AP7" s="81" t="s">
        <v>80</v>
      </c>
      <c r="AQ7" s="79">
        <v>6</v>
      </c>
      <c r="AR7" s="79" t="s">
        <v>55</v>
      </c>
      <c r="AS7" s="78"/>
      <c r="AT7" s="79">
        <v>0</v>
      </c>
      <c r="AU7" s="79">
        <v>12</v>
      </c>
      <c r="AV7" s="79">
        <v>0</v>
      </c>
      <c r="AW7" s="79">
        <v>0</v>
      </c>
      <c r="AX7" s="79">
        <v>0</v>
      </c>
      <c r="AY7" s="79">
        <v>0</v>
      </c>
      <c r="AZ7" s="79">
        <v>0</v>
      </c>
      <c r="BA7" s="79">
        <v>0</v>
      </c>
      <c r="BB7" s="79">
        <v>0</v>
      </c>
      <c r="BC7" s="79">
        <v>0</v>
      </c>
      <c r="BD7" s="79">
        <v>12</v>
      </c>
      <c r="BE7" s="79" t="s">
        <v>54</v>
      </c>
      <c r="BF7" s="79"/>
      <c r="BG7" s="79" t="s">
        <v>54</v>
      </c>
      <c r="BH7" s="79"/>
      <c r="BI7" s="78"/>
      <c r="BJ7" s="78"/>
      <c r="BK7" s="79"/>
      <c r="BL7" s="79" t="s">
        <v>56</v>
      </c>
      <c r="BM7" s="78" t="s">
        <v>87</v>
      </c>
      <c r="BN7" t="s">
        <v>46</v>
      </c>
      <c r="BO7" s="82" t="s">
        <v>37</v>
      </c>
    </row>
    <row r="8" spans="1:67" x14ac:dyDescent="0.15">
      <c r="A8" s="75">
        <v>1766</v>
      </c>
      <c r="B8" s="84">
        <v>41136</v>
      </c>
      <c r="C8" s="77" t="s">
        <v>88</v>
      </c>
      <c r="D8" s="78" t="s">
        <v>156</v>
      </c>
      <c r="E8" s="78"/>
      <c r="F8" s="78" t="s">
        <v>38</v>
      </c>
      <c r="G8" s="76">
        <v>41117</v>
      </c>
      <c r="H8" s="79" t="s">
        <v>90</v>
      </c>
      <c r="I8" s="79" t="s">
        <v>54</v>
      </c>
      <c r="J8" s="79"/>
      <c r="K8" s="78" t="s">
        <v>82</v>
      </c>
      <c r="L8" s="78" t="s">
        <v>190</v>
      </c>
      <c r="M8" s="78">
        <v>72.489999999999995</v>
      </c>
      <c r="N8" s="78">
        <v>17.486999999999998</v>
      </c>
      <c r="O8" s="78"/>
      <c r="P8" s="78"/>
      <c r="Q8" s="78"/>
      <c r="R8" s="80"/>
      <c r="S8" s="78"/>
      <c r="T8" s="78"/>
      <c r="U8" s="78"/>
      <c r="V8" s="78"/>
      <c r="W8" s="78"/>
      <c r="X8" s="78"/>
      <c r="Y8" s="78"/>
      <c r="Z8" s="78"/>
      <c r="AA8" s="78"/>
      <c r="AB8" s="78"/>
      <c r="AC8" s="78"/>
      <c r="AD8" s="78"/>
      <c r="AE8" s="78">
        <v>8.8059999999999992</v>
      </c>
      <c r="AF8" s="78"/>
      <c r="AG8" s="78"/>
      <c r="AH8" s="78"/>
      <c r="AI8" s="78"/>
      <c r="AJ8" s="78"/>
      <c r="AK8" s="78"/>
      <c r="AL8" s="78" t="s">
        <v>39</v>
      </c>
      <c r="AM8" s="79" t="s">
        <v>54</v>
      </c>
      <c r="AN8" s="79"/>
      <c r="AO8" s="79"/>
      <c r="AP8" s="81"/>
      <c r="AQ8" s="79">
        <v>0</v>
      </c>
      <c r="AR8" s="79" t="s">
        <v>55</v>
      </c>
      <c r="AS8" s="78"/>
      <c r="AT8" s="79">
        <v>0</v>
      </c>
      <c r="AU8" s="79">
        <v>0</v>
      </c>
      <c r="AV8" s="79">
        <v>0</v>
      </c>
      <c r="AW8" s="79">
        <v>12</v>
      </c>
      <c r="AX8" s="79">
        <v>0</v>
      </c>
      <c r="AY8" s="79">
        <v>0</v>
      </c>
      <c r="AZ8" s="79">
        <v>0</v>
      </c>
      <c r="BA8" s="79">
        <v>2</v>
      </c>
      <c r="BB8" s="79">
        <v>0</v>
      </c>
      <c r="BC8" s="79">
        <v>0</v>
      </c>
      <c r="BD8" s="79">
        <v>0</v>
      </c>
      <c r="BE8" s="79" t="s">
        <v>54</v>
      </c>
      <c r="BF8" s="79">
        <v>12</v>
      </c>
      <c r="BG8" s="79" t="s">
        <v>54</v>
      </c>
      <c r="BH8" s="79"/>
      <c r="BI8" s="78"/>
      <c r="BJ8" s="78"/>
      <c r="BK8" s="79"/>
      <c r="BL8" s="79" t="s">
        <v>56</v>
      </c>
      <c r="BM8" s="78"/>
      <c r="BN8" t="s">
        <v>132</v>
      </c>
      <c r="BO8" s="82" t="s">
        <v>37</v>
      </c>
    </row>
    <row r="9" spans="1:67" x14ac:dyDescent="0.15">
      <c r="A9" s="75">
        <v>2297</v>
      </c>
      <c r="B9" s="84">
        <v>41136</v>
      </c>
      <c r="C9" s="77" t="s">
        <v>88</v>
      </c>
      <c r="D9" s="78" t="s">
        <v>156</v>
      </c>
      <c r="E9" s="78"/>
      <c r="F9" s="78" t="s">
        <v>38</v>
      </c>
      <c r="G9" s="76">
        <v>41104</v>
      </c>
      <c r="H9" s="79" t="s">
        <v>90</v>
      </c>
      <c r="I9" s="79" t="s">
        <v>54</v>
      </c>
      <c r="J9" s="79"/>
      <c r="K9" s="78" t="s">
        <v>134</v>
      </c>
      <c r="L9" s="78" t="s">
        <v>36</v>
      </c>
      <c r="M9" s="78">
        <v>73.099999999999994</v>
      </c>
      <c r="N9" s="78">
        <v>16.62</v>
      </c>
      <c r="O9" s="78"/>
      <c r="P9" s="78"/>
      <c r="Q9" s="78"/>
      <c r="R9" s="80"/>
      <c r="S9" s="78"/>
      <c r="T9" s="78"/>
      <c r="U9" s="78"/>
      <c r="V9" s="78"/>
      <c r="W9" s="78"/>
      <c r="X9" s="78"/>
      <c r="Y9" s="78"/>
      <c r="Z9" s="78"/>
      <c r="AA9" s="78"/>
      <c r="AB9" s="78"/>
      <c r="AC9" s="78"/>
      <c r="AD9" s="78"/>
      <c r="AE9" s="78">
        <v>9.3000000000000007</v>
      </c>
      <c r="AF9" s="78"/>
      <c r="AG9" s="78"/>
      <c r="AH9" s="78"/>
      <c r="AI9" s="78"/>
      <c r="AJ9" s="78"/>
      <c r="AK9" s="78"/>
      <c r="AL9" s="78" t="s">
        <v>39</v>
      </c>
      <c r="AM9" s="79" t="s">
        <v>54</v>
      </c>
      <c r="AN9" s="79"/>
      <c r="AO9" s="79"/>
      <c r="AP9" s="81" t="s">
        <v>84</v>
      </c>
      <c r="AQ9" s="79">
        <v>6</v>
      </c>
      <c r="AR9" s="79" t="s">
        <v>55</v>
      </c>
      <c r="AS9" s="78"/>
      <c r="AT9" s="79">
        <v>0</v>
      </c>
      <c r="AU9" s="79">
        <v>0</v>
      </c>
      <c r="AV9" s="79">
        <v>0</v>
      </c>
      <c r="AW9" s="79">
        <v>10</v>
      </c>
      <c r="AX9" s="79">
        <v>0</v>
      </c>
      <c r="AY9" s="79">
        <v>0</v>
      </c>
      <c r="AZ9" s="79">
        <v>0</v>
      </c>
      <c r="BA9" s="79">
        <v>0</v>
      </c>
      <c r="BB9" s="79">
        <v>0</v>
      </c>
      <c r="BC9" s="79">
        <v>0</v>
      </c>
      <c r="BD9" s="79">
        <v>0</v>
      </c>
      <c r="BE9" s="79" t="s">
        <v>54</v>
      </c>
      <c r="BF9" s="79">
        <v>12</v>
      </c>
      <c r="BG9" s="79" t="s">
        <v>54</v>
      </c>
      <c r="BH9" s="79"/>
      <c r="BI9" s="83"/>
      <c r="BJ9" s="83"/>
      <c r="BK9" s="79"/>
      <c r="BL9" s="79" t="s">
        <v>56</v>
      </c>
      <c r="BM9" s="83"/>
      <c r="BN9" t="s">
        <v>47</v>
      </c>
      <c r="BO9" t="s">
        <v>37</v>
      </c>
    </row>
    <row r="10" spans="1:67" x14ac:dyDescent="0.15">
      <c r="A10" s="75">
        <v>3137</v>
      </c>
      <c r="B10" s="84">
        <v>41136</v>
      </c>
      <c r="C10" s="77" t="s">
        <v>88</v>
      </c>
      <c r="D10" s="78" t="s">
        <v>156</v>
      </c>
      <c r="E10" s="78"/>
      <c r="F10" s="78" t="s">
        <v>11</v>
      </c>
      <c r="G10" s="76">
        <v>41090</v>
      </c>
      <c r="H10" s="79" t="s">
        <v>90</v>
      </c>
      <c r="I10" s="79" t="s">
        <v>54</v>
      </c>
      <c r="J10" s="79"/>
      <c r="K10" s="78" t="s">
        <v>156</v>
      </c>
      <c r="L10" s="78" t="s">
        <v>81</v>
      </c>
      <c r="M10" s="78">
        <v>73.099999999999994</v>
      </c>
      <c r="N10" s="78">
        <v>22.66</v>
      </c>
      <c r="O10" s="78"/>
      <c r="P10" s="78"/>
      <c r="Q10" s="78"/>
      <c r="R10" s="80"/>
      <c r="S10" s="78"/>
      <c r="T10" s="78"/>
      <c r="U10" s="78"/>
      <c r="V10" s="78"/>
      <c r="W10" s="78">
        <v>11.46</v>
      </c>
      <c r="X10" s="78"/>
      <c r="Y10" s="78"/>
      <c r="Z10" s="78"/>
      <c r="AA10" s="78"/>
      <c r="AB10" s="78"/>
      <c r="AC10" s="78"/>
      <c r="AD10" s="78"/>
      <c r="AE10" s="78"/>
      <c r="AF10" s="78"/>
      <c r="AG10" s="78"/>
      <c r="AH10" s="78">
        <v>15.25</v>
      </c>
      <c r="AI10" s="78"/>
      <c r="AJ10" s="78"/>
      <c r="AK10" s="78"/>
      <c r="AL10" s="78" t="s">
        <v>12</v>
      </c>
      <c r="AM10" s="79" t="s">
        <v>54</v>
      </c>
      <c r="AN10" s="79"/>
      <c r="AO10" s="79"/>
      <c r="AP10" s="81" t="s">
        <v>84</v>
      </c>
      <c r="AQ10" s="79">
        <v>6</v>
      </c>
      <c r="AR10" s="79" t="s">
        <v>55</v>
      </c>
      <c r="AS10" s="78"/>
      <c r="AT10" s="79">
        <v>0</v>
      </c>
      <c r="AU10" s="79">
        <v>12</v>
      </c>
      <c r="AV10" s="79">
        <v>0</v>
      </c>
      <c r="AW10" s="79">
        <v>0</v>
      </c>
      <c r="AX10" s="79">
        <v>0</v>
      </c>
      <c r="AY10" s="79">
        <v>0</v>
      </c>
      <c r="AZ10" s="79">
        <v>0</v>
      </c>
      <c r="BA10" s="79">
        <v>0</v>
      </c>
      <c r="BB10" s="79">
        <v>0</v>
      </c>
      <c r="BC10" s="79">
        <v>0</v>
      </c>
      <c r="BD10" s="79">
        <v>12</v>
      </c>
      <c r="BE10" s="79" t="s">
        <v>54</v>
      </c>
      <c r="BF10" s="79"/>
      <c r="BG10" s="79" t="s">
        <v>54</v>
      </c>
      <c r="BH10" s="79"/>
      <c r="BI10" s="78"/>
      <c r="BJ10" s="78"/>
      <c r="BK10" s="79"/>
      <c r="BL10" s="79" t="s">
        <v>56</v>
      </c>
      <c r="BM10" s="78" t="s">
        <v>87</v>
      </c>
      <c r="BN10" t="s">
        <v>46</v>
      </c>
      <c r="BO10" s="82" t="s">
        <v>37</v>
      </c>
    </row>
    <row r="11" spans="1:67" x14ac:dyDescent="0.15">
      <c r="A11" s="75">
        <v>1767</v>
      </c>
      <c r="B11" s="84">
        <v>41136</v>
      </c>
      <c r="C11" s="77" t="s">
        <v>88</v>
      </c>
      <c r="D11" s="78" t="s">
        <v>156</v>
      </c>
      <c r="E11" s="78"/>
      <c r="F11" s="78" t="s">
        <v>48</v>
      </c>
      <c r="G11" s="76">
        <v>41117</v>
      </c>
      <c r="H11" s="79" t="s">
        <v>90</v>
      </c>
      <c r="I11" s="79" t="s">
        <v>54</v>
      </c>
      <c r="J11" s="79"/>
      <c r="K11" s="78" t="s">
        <v>82</v>
      </c>
      <c r="L11" s="78" t="s">
        <v>190</v>
      </c>
      <c r="M11" s="78">
        <v>72.489999999999995</v>
      </c>
      <c r="N11" s="78">
        <v>23.9</v>
      </c>
      <c r="O11" s="78"/>
      <c r="P11" s="78"/>
      <c r="Q11" s="78"/>
      <c r="R11" s="80"/>
      <c r="S11" s="78"/>
      <c r="T11" s="78"/>
      <c r="U11" s="78"/>
      <c r="V11" s="78"/>
      <c r="W11" s="78">
        <v>10.638</v>
      </c>
      <c r="X11" s="78"/>
      <c r="Y11" s="78"/>
      <c r="Z11" s="78"/>
      <c r="AA11" s="78"/>
      <c r="AB11" s="78"/>
      <c r="AC11" s="78"/>
      <c r="AD11" s="78"/>
      <c r="AE11" s="78"/>
      <c r="AF11" s="78"/>
      <c r="AG11" s="78"/>
      <c r="AH11" s="78">
        <v>17.388000000000002</v>
      </c>
      <c r="AI11" s="78"/>
      <c r="AJ11" s="78"/>
      <c r="AK11" s="78"/>
      <c r="AL11" s="78" t="s">
        <v>49</v>
      </c>
      <c r="AM11" s="79" t="s">
        <v>54</v>
      </c>
      <c r="AN11" s="79"/>
      <c r="AO11" s="79"/>
      <c r="AP11" s="81"/>
      <c r="AQ11" s="79">
        <v>0</v>
      </c>
      <c r="AR11" s="79" t="s">
        <v>55</v>
      </c>
      <c r="AS11" s="78"/>
      <c r="AT11" s="79">
        <v>0</v>
      </c>
      <c r="AU11" s="79">
        <v>0</v>
      </c>
      <c r="AV11" s="79">
        <v>0</v>
      </c>
      <c r="AW11" s="79">
        <v>12</v>
      </c>
      <c r="AX11" s="79">
        <v>0</v>
      </c>
      <c r="AY11" s="79">
        <v>0</v>
      </c>
      <c r="AZ11" s="79">
        <v>0</v>
      </c>
      <c r="BA11" s="79">
        <v>2</v>
      </c>
      <c r="BB11" s="79">
        <v>0</v>
      </c>
      <c r="BC11" s="79">
        <v>0</v>
      </c>
      <c r="BD11" s="79">
        <v>0</v>
      </c>
      <c r="BE11" s="79" t="s">
        <v>54</v>
      </c>
      <c r="BF11" s="79">
        <v>12</v>
      </c>
      <c r="BG11" s="79" t="s">
        <v>54</v>
      </c>
      <c r="BH11" s="79"/>
      <c r="BI11" s="78"/>
      <c r="BJ11" s="78"/>
      <c r="BK11" s="79"/>
      <c r="BL11" s="79" t="s">
        <v>56</v>
      </c>
      <c r="BM11" s="78"/>
      <c r="BN11" t="s">
        <v>132</v>
      </c>
      <c r="BO11" s="82" t="s">
        <v>37</v>
      </c>
    </row>
    <row r="12" spans="1:67" x14ac:dyDescent="0.15">
      <c r="A12" s="75">
        <v>2299</v>
      </c>
      <c r="B12" s="84">
        <v>41136</v>
      </c>
      <c r="C12" s="77" t="s">
        <v>88</v>
      </c>
      <c r="D12" s="78" t="s">
        <v>156</v>
      </c>
      <c r="E12" s="78"/>
      <c r="F12" s="78" t="s">
        <v>11</v>
      </c>
      <c r="G12" s="76">
        <v>41104</v>
      </c>
      <c r="H12" s="79" t="s">
        <v>90</v>
      </c>
      <c r="I12" s="79" t="s">
        <v>54</v>
      </c>
      <c r="J12" s="79"/>
      <c r="K12" s="78" t="s">
        <v>134</v>
      </c>
      <c r="L12" s="78" t="s">
        <v>36</v>
      </c>
      <c r="M12" s="78">
        <v>73.099999999999994</v>
      </c>
      <c r="N12" s="78">
        <v>22.66</v>
      </c>
      <c r="O12" s="78"/>
      <c r="P12" s="78"/>
      <c r="Q12" s="78"/>
      <c r="R12" s="80"/>
      <c r="S12" s="78"/>
      <c r="T12" s="78"/>
      <c r="U12" s="78"/>
      <c r="V12" s="78"/>
      <c r="W12" s="78">
        <v>11.46</v>
      </c>
      <c r="X12" s="78"/>
      <c r="Y12" s="78"/>
      <c r="Z12" s="78"/>
      <c r="AA12" s="78"/>
      <c r="AB12" s="78"/>
      <c r="AC12" s="78"/>
      <c r="AD12" s="78"/>
      <c r="AE12" s="78"/>
      <c r="AF12" s="78"/>
      <c r="AG12" s="78"/>
      <c r="AH12" s="78">
        <v>15.25</v>
      </c>
      <c r="AI12" s="78"/>
      <c r="AJ12" s="78"/>
      <c r="AK12" s="78"/>
      <c r="AL12" s="78" t="s">
        <v>12</v>
      </c>
      <c r="AM12" s="79" t="s">
        <v>54</v>
      </c>
      <c r="AN12" s="79"/>
      <c r="AO12" s="79"/>
      <c r="AP12" s="81" t="s">
        <v>84</v>
      </c>
      <c r="AQ12" s="79">
        <v>6</v>
      </c>
      <c r="AR12" s="79" t="s">
        <v>55</v>
      </c>
      <c r="AS12" s="78"/>
      <c r="AT12" s="79">
        <v>0</v>
      </c>
      <c r="AU12" s="79">
        <v>0</v>
      </c>
      <c r="AV12" s="79">
        <v>0</v>
      </c>
      <c r="AW12" s="79">
        <v>10</v>
      </c>
      <c r="AX12" s="79">
        <v>0</v>
      </c>
      <c r="AY12" s="79">
        <v>0</v>
      </c>
      <c r="AZ12" s="79">
        <v>0</v>
      </c>
      <c r="BA12" s="79">
        <v>0</v>
      </c>
      <c r="BB12" s="79">
        <v>0</v>
      </c>
      <c r="BC12" s="79">
        <v>0</v>
      </c>
      <c r="BD12" s="79">
        <v>0</v>
      </c>
      <c r="BE12" s="79" t="s">
        <v>54</v>
      </c>
      <c r="BF12" s="79">
        <v>12</v>
      </c>
      <c r="BG12" s="79" t="s">
        <v>54</v>
      </c>
      <c r="BH12" s="79"/>
      <c r="BI12" s="83"/>
      <c r="BJ12" s="83"/>
      <c r="BK12" s="79"/>
      <c r="BL12" s="79" t="s">
        <v>56</v>
      </c>
      <c r="BM12" s="83"/>
      <c r="BN12" t="s">
        <v>47</v>
      </c>
      <c r="BO12" t="s">
        <v>37</v>
      </c>
    </row>
  </sheetData>
  <sheetProtection algorithmName="SHA-512" hashValue="knousS8XRf/SZ+SDMjPnBOEFoIKStAzuksG/ASd2np29xCiV71rJpmdGbDxo/Er1CdFwaNF/1nFRYyUKhTZDOw==" saltValue="q3qnfTBf2aokJ3ZX2mqYjQ==" spinCount="100000" sheet="1" objects="1" scenarios="1"/>
  <sortState xmlns:xlrd2="http://schemas.microsoft.com/office/spreadsheetml/2017/richdata2" ref="A1:XFD1048576">
    <sortCondition ref="F2:F1048576"/>
    <sortCondition ref="K2:K1048576"/>
  </sortState>
  <phoneticPr fontId="5"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G38"/>
  <sheetViews>
    <sheetView workbookViewId="0">
      <selection activeCell="G42" sqref="G42"/>
    </sheetView>
  </sheetViews>
  <sheetFormatPr baseColWidth="10" defaultColWidth="11.1640625" defaultRowHeight="13" x14ac:dyDescent="0.15"/>
  <cols>
    <col min="1" max="1" width="15.83203125" customWidth="1"/>
    <col min="2" max="2" width="2.33203125" customWidth="1"/>
    <col min="3" max="3" width="7.5" customWidth="1"/>
    <col min="4" max="4" width="1.6640625" customWidth="1"/>
    <col min="5" max="5" width="20.1640625" customWidth="1"/>
    <col min="6" max="6" width="20" customWidth="1"/>
    <col min="7" max="7" width="20.5" customWidth="1"/>
  </cols>
  <sheetData>
    <row r="1" spans="1:7" x14ac:dyDescent="0.15">
      <c r="A1" s="25" t="s">
        <v>228</v>
      </c>
    </row>
    <row r="2" spans="1:7" x14ac:dyDescent="0.15">
      <c r="A2" s="50"/>
      <c r="B2" s="50"/>
      <c r="C2" s="50"/>
      <c r="D2" s="50"/>
      <c r="E2" s="50"/>
      <c r="F2" s="50"/>
      <c r="G2" s="50"/>
    </row>
    <row r="3" spans="1:7" x14ac:dyDescent="0.15">
      <c r="A3" s="27" t="s">
        <v>68</v>
      </c>
      <c r="B3" s="28"/>
      <c r="C3" s="28"/>
      <c r="D3" s="29"/>
      <c r="E3" s="28"/>
      <c r="F3" s="28"/>
      <c r="G3" s="28"/>
    </row>
    <row r="4" spans="1:7" x14ac:dyDescent="0.15">
      <c r="D4" s="30"/>
      <c r="E4" s="31" t="s">
        <v>164</v>
      </c>
    </row>
    <row r="5" spans="1:7" x14ac:dyDescent="0.15">
      <c r="D5" s="30"/>
    </row>
    <row r="6" spans="1:7" x14ac:dyDescent="0.15">
      <c r="A6" s="32" t="s">
        <v>236</v>
      </c>
      <c r="D6" s="30"/>
      <c r="E6" s="33" t="s">
        <v>69</v>
      </c>
      <c r="F6" s="33" t="s">
        <v>235</v>
      </c>
    </row>
    <row r="7" spans="1:7" x14ac:dyDescent="0.15">
      <c r="A7" t="s">
        <v>125</v>
      </c>
      <c r="D7" s="30"/>
      <c r="E7">
        <v>21.080400000000001</v>
      </c>
      <c r="F7">
        <v>22.99</v>
      </c>
    </row>
    <row r="8" spans="1:7" x14ac:dyDescent="0.15">
      <c r="A8" t="s">
        <v>239</v>
      </c>
      <c r="D8" s="30"/>
      <c r="E8">
        <v>75.790000000000006</v>
      </c>
      <c r="F8">
        <v>84.15</v>
      </c>
    </row>
    <row r="9" spans="1:7" x14ac:dyDescent="0.15">
      <c r="D9" s="30"/>
    </row>
    <row r="10" spans="1:7" x14ac:dyDescent="0.15">
      <c r="D10" s="30"/>
    </row>
    <row r="11" spans="1:7" x14ac:dyDescent="0.15">
      <c r="A11" s="32" t="s">
        <v>41</v>
      </c>
      <c r="D11" s="30"/>
      <c r="E11" s="33" t="s">
        <v>69</v>
      </c>
      <c r="F11" s="33" t="s">
        <v>235</v>
      </c>
    </row>
    <row r="12" spans="1:7" x14ac:dyDescent="0.15">
      <c r="A12" t="s">
        <v>126</v>
      </c>
      <c r="D12" s="30"/>
      <c r="E12" s="35">
        <v>5460</v>
      </c>
      <c r="F12" s="37" t="s">
        <v>42</v>
      </c>
    </row>
    <row r="13" spans="1:7" x14ac:dyDescent="0.15">
      <c r="A13" t="s">
        <v>240</v>
      </c>
      <c r="D13" s="30"/>
      <c r="E13">
        <v>19.4084</v>
      </c>
      <c r="F13" s="36" t="s">
        <v>42</v>
      </c>
    </row>
    <row r="14" spans="1:7" x14ac:dyDescent="0.15">
      <c r="A14" t="s">
        <v>67</v>
      </c>
      <c r="D14" s="30"/>
      <c r="E14">
        <v>21.080400000000001</v>
      </c>
      <c r="F14" s="36" t="s">
        <v>42</v>
      </c>
    </row>
    <row r="15" spans="1:7" x14ac:dyDescent="0.15">
      <c r="A15" t="s">
        <v>239</v>
      </c>
      <c r="D15" s="30"/>
      <c r="E15">
        <v>99.11</v>
      </c>
      <c r="F15" s="36" t="s">
        <v>42</v>
      </c>
    </row>
    <row r="16" spans="1:7" x14ac:dyDescent="0.15">
      <c r="D16" s="30"/>
    </row>
    <row r="17" spans="1:6" x14ac:dyDescent="0.15">
      <c r="D17" s="30"/>
    </row>
    <row r="18" spans="1:6" x14ac:dyDescent="0.15">
      <c r="A18" s="32" t="s">
        <v>127</v>
      </c>
      <c r="D18" s="30"/>
      <c r="E18" s="33" t="s">
        <v>69</v>
      </c>
      <c r="F18" s="33" t="s">
        <v>235</v>
      </c>
    </row>
    <row r="19" spans="1:6" x14ac:dyDescent="0.15">
      <c r="A19" t="s">
        <v>125</v>
      </c>
      <c r="D19" s="30"/>
      <c r="E19">
        <v>21.080400000000001</v>
      </c>
      <c r="F19">
        <v>22.99</v>
      </c>
    </row>
    <row r="20" spans="1:6" x14ac:dyDescent="0.15">
      <c r="A20" t="s">
        <v>17</v>
      </c>
      <c r="D20" s="30"/>
      <c r="E20">
        <v>11.9284</v>
      </c>
      <c r="F20">
        <v>13.42</v>
      </c>
    </row>
    <row r="21" spans="1:6" x14ac:dyDescent="0.15">
      <c r="A21" t="s">
        <v>239</v>
      </c>
      <c r="D21" s="30"/>
      <c r="E21">
        <v>75.790000000000006</v>
      </c>
      <c r="F21">
        <v>84.15</v>
      </c>
    </row>
    <row r="22" spans="1:6" x14ac:dyDescent="0.15">
      <c r="D22" s="30"/>
    </row>
    <row r="23" spans="1:6" x14ac:dyDescent="0.15">
      <c r="D23" s="30"/>
    </row>
    <row r="24" spans="1:6" x14ac:dyDescent="0.15">
      <c r="A24" s="32" t="s">
        <v>18</v>
      </c>
      <c r="D24" s="30"/>
      <c r="E24" s="33" t="s">
        <v>69</v>
      </c>
      <c r="F24" s="33" t="s">
        <v>235</v>
      </c>
    </row>
    <row r="25" spans="1:6" x14ac:dyDescent="0.15">
      <c r="A25" t="s">
        <v>19</v>
      </c>
      <c r="D25" s="30"/>
      <c r="E25">
        <v>24.644400000000001</v>
      </c>
      <c r="F25" s="36" t="s">
        <v>42</v>
      </c>
    </row>
    <row r="26" spans="1:6" x14ac:dyDescent="0.15">
      <c r="A26" t="s">
        <v>20</v>
      </c>
      <c r="D26" s="30"/>
      <c r="E26">
        <v>19.936399999999999</v>
      </c>
      <c r="F26" s="36" t="s">
        <v>42</v>
      </c>
    </row>
    <row r="27" spans="1:6" x14ac:dyDescent="0.15">
      <c r="A27" t="s">
        <v>199</v>
      </c>
      <c r="D27" s="30"/>
      <c r="E27">
        <v>15.5694</v>
      </c>
      <c r="F27" s="36" t="s">
        <v>42</v>
      </c>
    </row>
    <row r="28" spans="1:6" x14ac:dyDescent="0.15">
      <c r="A28" t="s">
        <v>239</v>
      </c>
      <c r="D28" s="30"/>
      <c r="E28">
        <v>75.790000000000006</v>
      </c>
      <c r="F28" s="36" t="s">
        <v>42</v>
      </c>
    </row>
    <row r="29" spans="1:6" x14ac:dyDescent="0.15">
      <c r="D29" s="30"/>
    </row>
    <row r="30" spans="1:6" x14ac:dyDescent="0.15">
      <c r="A30" s="40"/>
      <c r="B30" s="43"/>
      <c r="C30" s="43"/>
      <c r="D30" s="30"/>
      <c r="E30" s="43"/>
      <c r="F30" s="43"/>
    </row>
    <row r="31" spans="1:6" x14ac:dyDescent="0.15">
      <c r="A31" s="41" t="s">
        <v>70</v>
      </c>
      <c r="B31" s="39"/>
      <c r="C31" s="39"/>
      <c r="D31" s="30"/>
      <c r="E31" s="39" t="s">
        <v>221</v>
      </c>
      <c r="F31" s="39" t="s">
        <v>183</v>
      </c>
    </row>
    <row r="32" spans="1:6" x14ac:dyDescent="0.15">
      <c r="A32" s="38" t="s">
        <v>220</v>
      </c>
      <c r="B32" s="44"/>
      <c r="C32" s="44"/>
      <c r="D32" s="30"/>
      <c r="E32" s="44" t="s">
        <v>223</v>
      </c>
      <c r="F32" s="44" t="s">
        <v>14</v>
      </c>
    </row>
    <row r="33" spans="1:7" x14ac:dyDescent="0.15">
      <c r="A33" s="38" t="s">
        <v>71</v>
      </c>
      <c r="B33" s="38"/>
      <c r="C33" s="38"/>
      <c r="D33" s="30"/>
      <c r="E33" s="38" t="s">
        <v>181</v>
      </c>
      <c r="F33" s="38" t="s">
        <v>229</v>
      </c>
    </row>
    <row r="34" spans="1:7" x14ac:dyDescent="0.15">
      <c r="A34" s="38" t="s">
        <v>72</v>
      </c>
      <c r="B34" s="45"/>
      <c r="C34" s="45"/>
      <c r="D34" s="30"/>
      <c r="E34" s="45" t="s">
        <v>179</v>
      </c>
      <c r="F34" s="45">
        <v>90</v>
      </c>
    </row>
    <row r="35" spans="1:7" x14ac:dyDescent="0.15">
      <c r="A35" s="38" t="s">
        <v>73</v>
      </c>
      <c r="B35" s="38"/>
      <c r="C35" s="38"/>
      <c r="D35" s="30"/>
      <c r="E35" s="38" t="s">
        <v>94</v>
      </c>
      <c r="F35" s="38" t="s">
        <v>15</v>
      </c>
    </row>
    <row r="36" spans="1:7" x14ac:dyDescent="0.15">
      <c r="A36" s="38" t="s">
        <v>237</v>
      </c>
      <c r="B36" s="45"/>
      <c r="C36" s="45"/>
      <c r="D36" s="30"/>
      <c r="E36" s="45">
        <v>15</v>
      </c>
      <c r="F36" s="45" t="s">
        <v>94</v>
      </c>
    </row>
    <row r="37" spans="1:7" x14ac:dyDescent="0.15">
      <c r="A37" s="38" t="s">
        <v>238</v>
      </c>
      <c r="B37" s="46"/>
      <c r="C37" s="46"/>
      <c r="D37" s="30"/>
      <c r="E37" s="38" t="s">
        <v>182</v>
      </c>
      <c r="F37" s="46" t="s">
        <v>219</v>
      </c>
    </row>
    <row r="38" spans="1:7" x14ac:dyDescent="0.15">
      <c r="A38" s="48"/>
      <c r="B38" s="48"/>
      <c r="C38" s="48"/>
      <c r="D38" s="48"/>
      <c r="E38" s="48"/>
      <c r="F38" s="48"/>
      <c r="G38" s="49"/>
    </row>
  </sheetData>
  <sheetProtection algorithmName="SHA-512" hashValue="hhAlxLx+sZWUqMnzwVUgi6+2r9gA7kP2ec7A2vZ42oewQliaSSTir6V1JHU4++TxEWFubF5knNOkgJ1QSo4EQA==" saltValue="FWoGBft/p3WGwwWYCXEcEg==" spinCount="100000" sheet="1" objects="1" scenarios="1"/>
  <phoneticPr fontId="5" type="noConversion"/>
  <pageMargins left="0.75" right="0.75" top="1" bottom="1" header="0.5" footer="0.5"/>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G38"/>
  <sheetViews>
    <sheetView workbookViewId="0">
      <selection activeCell="G45" sqref="G45"/>
    </sheetView>
  </sheetViews>
  <sheetFormatPr baseColWidth="10" defaultColWidth="11.1640625" defaultRowHeight="13" x14ac:dyDescent="0.15"/>
  <cols>
    <col min="1" max="1" width="15.83203125" customWidth="1"/>
    <col min="2" max="2" width="2.33203125" customWidth="1"/>
    <col min="3" max="3" width="7.5" customWidth="1"/>
    <col min="4" max="4" width="1.6640625" customWidth="1"/>
    <col min="5" max="5" width="20.1640625" customWidth="1"/>
    <col min="6" max="6" width="20" customWidth="1"/>
    <col min="7" max="7" width="20.5" customWidth="1"/>
  </cols>
  <sheetData>
    <row r="1" spans="1:7" x14ac:dyDescent="0.15">
      <c r="A1" s="25" t="s">
        <v>228</v>
      </c>
    </row>
    <row r="2" spans="1:7" x14ac:dyDescent="0.15">
      <c r="A2" s="26"/>
      <c r="B2" s="26"/>
      <c r="C2" s="26"/>
      <c r="D2" s="26"/>
      <c r="E2" s="26"/>
      <c r="F2" s="26"/>
      <c r="G2" s="26"/>
    </row>
    <row r="3" spans="1:7" x14ac:dyDescent="0.15">
      <c r="A3" s="27" t="s">
        <v>68</v>
      </c>
      <c r="B3" s="28"/>
      <c r="C3" s="28"/>
      <c r="D3" s="29"/>
      <c r="E3" s="28"/>
      <c r="F3" s="28"/>
      <c r="G3" s="28"/>
    </row>
    <row r="4" spans="1:7" x14ac:dyDescent="0.15">
      <c r="D4" s="30"/>
      <c r="E4" s="31" t="s">
        <v>234</v>
      </c>
    </row>
    <row r="5" spans="1:7" x14ac:dyDescent="0.15">
      <c r="D5" s="30"/>
    </row>
    <row r="6" spans="1:7" x14ac:dyDescent="0.15">
      <c r="A6" s="32" t="s">
        <v>236</v>
      </c>
      <c r="D6" s="30"/>
      <c r="E6" s="33" t="s">
        <v>69</v>
      </c>
      <c r="F6" s="33" t="s">
        <v>235</v>
      </c>
    </row>
    <row r="7" spans="1:7" x14ac:dyDescent="0.15">
      <c r="A7" t="s">
        <v>125</v>
      </c>
      <c r="D7" s="30"/>
      <c r="E7">
        <v>20.13</v>
      </c>
      <c r="F7">
        <v>21.504999999999999</v>
      </c>
    </row>
    <row r="8" spans="1:7" x14ac:dyDescent="0.15">
      <c r="A8" t="s">
        <v>239</v>
      </c>
      <c r="D8" s="30"/>
      <c r="E8">
        <v>73.48</v>
      </c>
      <c r="F8">
        <v>77</v>
      </c>
    </row>
    <row r="9" spans="1:7" x14ac:dyDescent="0.15">
      <c r="D9" s="30"/>
    </row>
    <row r="10" spans="1:7" x14ac:dyDescent="0.15">
      <c r="D10" s="30"/>
    </row>
    <row r="11" spans="1:7" x14ac:dyDescent="0.15">
      <c r="A11" s="32" t="s">
        <v>41</v>
      </c>
      <c r="D11" s="30"/>
      <c r="E11" s="33" t="s">
        <v>69</v>
      </c>
      <c r="F11" s="33" t="s">
        <v>235</v>
      </c>
    </row>
    <row r="12" spans="1:7" x14ac:dyDescent="0.15">
      <c r="A12" t="s">
        <v>126</v>
      </c>
      <c r="D12" s="30"/>
      <c r="E12" s="35">
        <v>5460</v>
      </c>
      <c r="F12" s="37" t="s">
        <v>42</v>
      </c>
    </row>
    <row r="13" spans="1:7" x14ac:dyDescent="0.15">
      <c r="A13" t="s">
        <v>240</v>
      </c>
      <c r="D13" s="30"/>
      <c r="E13">
        <v>18.436</v>
      </c>
      <c r="F13" s="36" t="s">
        <v>42</v>
      </c>
    </row>
    <row r="14" spans="1:7" x14ac:dyDescent="0.15">
      <c r="A14" t="s">
        <v>67</v>
      </c>
      <c r="D14" s="30"/>
      <c r="E14">
        <v>20.13</v>
      </c>
      <c r="F14" s="36" t="s">
        <v>42</v>
      </c>
    </row>
    <row r="15" spans="1:7" x14ac:dyDescent="0.15">
      <c r="A15" t="s">
        <v>239</v>
      </c>
      <c r="D15" s="30"/>
      <c r="E15">
        <v>96.8</v>
      </c>
      <c r="F15" s="36" t="s">
        <v>42</v>
      </c>
    </row>
    <row r="16" spans="1:7" x14ac:dyDescent="0.15">
      <c r="D16" s="30"/>
    </row>
    <row r="17" spans="1:6" x14ac:dyDescent="0.15">
      <c r="D17" s="30"/>
    </row>
    <row r="18" spans="1:6" x14ac:dyDescent="0.15">
      <c r="A18" s="32" t="s">
        <v>127</v>
      </c>
      <c r="D18" s="30"/>
      <c r="E18" s="33" t="s">
        <v>69</v>
      </c>
      <c r="F18" s="33" t="s">
        <v>235</v>
      </c>
    </row>
    <row r="19" spans="1:6" x14ac:dyDescent="0.15">
      <c r="A19" t="s">
        <v>125</v>
      </c>
      <c r="D19" s="30"/>
      <c r="E19">
        <v>20.13</v>
      </c>
      <c r="F19">
        <v>23.65</v>
      </c>
    </row>
    <row r="20" spans="1:6" x14ac:dyDescent="0.15">
      <c r="A20" t="s">
        <v>17</v>
      </c>
      <c r="D20" s="30"/>
      <c r="E20">
        <v>10.23</v>
      </c>
      <c r="F20">
        <v>12.65</v>
      </c>
    </row>
    <row r="21" spans="1:6" x14ac:dyDescent="0.15">
      <c r="A21" t="s">
        <v>239</v>
      </c>
      <c r="D21" s="30"/>
      <c r="E21">
        <v>73.48</v>
      </c>
      <c r="F21">
        <v>85.8</v>
      </c>
    </row>
    <row r="22" spans="1:6" x14ac:dyDescent="0.15">
      <c r="D22" s="30"/>
    </row>
    <row r="23" spans="1:6" x14ac:dyDescent="0.15">
      <c r="D23" s="30"/>
    </row>
    <row r="24" spans="1:6" x14ac:dyDescent="0.15">
      <c r="A24" s="32" t="s">
        <v>18</v>
      </c>
      <c r="D24" s="30"/>
      <c r="E24" s="33" t="s">
        <v>69</v>
      </c>
      <c r="F24" s="33" t="s">
        <v>235</v>
      </c>
    </row>
    <row r="25" spans="1:6" x14ac:dyDescent="0.15">
      <c r="A25" t="s">
        <v>19</v>
      </c>
      <c r="D25" s="30"/>
      <c r="E25">
        <v>24.86</v>
      </c>
      <c r="F25" s="36" t="s">
        <v>42</v>
      </c>
    </row>
    <row r="26" spans="1:6" x14ac:dyDescent="0.15">
      <c r="A26" t="s">
        <v>20</v>
      </c>
      <c r="D26" s="30"/>
      <c r="E26">
        <v>19.25</v>
      </c>
      <c r="F26" s="36" t="s">
        <v>42</v>
      </c>
    </row>
    <row r="27" spans="1:6" x14ac:dyDescent="0.15">
      <c r="A27" t="s">
        <v>199</v>
      </c>
      <c r="D27" s="30"/>
      <c r="E27">
        <v>14.08</v>
      </c>
      <c r="F27" s="36" t="s">
        <v>42</v>
      </c>
    </row>
    <row r="28" spans="1:6" x14ac:dyDescent="0.15">
      <c r="A28" t="s">
        <v>239</v>
      </c>
      <c r="D28" s="30"/>
      <c r="E28">
        <v>73.48</v>
      </c>
      <c r="F28" s="36" t="s">
        <v>42</v>
      </c>
    </row>
    <row r="29" spans="1:6" x14ac:dyDescent="0.15">
      <c r="D29" s="30"/>
    </row>
    <row r="30" spans="1:6" x14ac:dyDescent="0.15">
      <c r="A30" s="40"/>
      <c r="B30" s="43"/>
      <c r="C30" s="43"/>
      <c r="D30" s="30"/>
      <c r="E30" s="43"/>
      <c r="F30" s="43"/>
    </row>
    <row r="31" spans="1:6" x14ac:dyDescent="0.15">
      <c r="A31" s="41" t="s">
        <v>70</v>
      </c>
      <c r="B31" s="39"/>
      <c r="C31" s="39"/>
      <c r="D31" s="30"/>
      <c r="E31" s="39" t="s">
        <v>221</v>
      </c>
      <c r="F31" s="39" t="s">
        <v>183</v>
      </c>
    </row>
    <row r="32" spans="1:6" x14ac:dyDescent="0.15">
      <c r="A32" s="38" t="s">
        <v>220</v>
      </c>
      <c r="B32" s="44"/>
      <c r="C32" s="44"/>
      <c r="D32" s="30"/>
      <c r="E32" s="44" t="s">
        <v>223</v>
      </c>
      <c r="F32" s="44" t="s">
        <v>43</v>
      </c>
    </row>
    <row r="33" spans="1:7" x14ac:dyDescent="0.15">
      <c r="A33" s="38" t="s">
        <v>71</v>
      </c>
      <c r="B33" s="38"/>
      <c r="C33" s="38"/>
      <c r="D33" s="30"/>
      <c r="E33" s="38" t="s">
        <v>181</v>
      </c>
      <c r="F33" s="38" t="s">
        <v>229</v>
      </c>
    </row>
    <row r="34" spans="1:7" x14ac:dyDescent="0.15">
      <c r="A34" s="38" t="s">
        <v>72</v>
      </c>
      <c r="B34" s="45"/>
      <c r="C34" s="45"/>
      <c r="D34" s="30"/>
      <c r="E34" s="45" t="s">
        <v>225</v>
      </c>
      <c r="F34" s="45">
        <v>90</v>
      </c>
    </row>
    <row r="35" spans="1:7" x14ac:dyDescent="0.15">
      <c r="A35" s="38" t="s">
        <v>73</v>
      </c>
      <c r="B35" s="38"/>
      <c r="C35" s="38"/>
      <c r="D35" s="30"/>
      <c r="E35" s="38" t="s">
        <v>224</v>
      </c>
      <c r="F35" s="38" t="s">
        <v>222</v>
      </c>
    </row>
    <row r="36" spans="1:7" x14ac:dyDescent="0.15">
      <c r="A36" s="38" t="s">
        <v>237</v>
      </c>
      <c r="B36" s="45"/>
      <c r="C36" s="45"/>
      <c r="D36" s="30"/>
      <c r="E36" s="45">
        <v>16</v>
      </c>
      <c r="F36" s="45" t="s">
        <v>94</v>
      </c>
    </row>
    <row r="37" spans="1:7" x14ac:dyDescent="0.15">
      <c r="A37" s="38" t="s">
        <v>238</v>
      </c>
      <c r="B37" s="46"/>
      <c r="C37" s="46"/>
      <c r="D37" s="30"/>
      <c r="E37" s="38" t="s">
        <v>182</v>
      </c>
      <c r="F37" s="46" t="s">
        <v>219</v>
      </c>
    </row>
    <row r="38" spans="1:7" x14ac:dyDescent="0.15">
      <c r="A38" s="42"/>
      <c r="B38" s="42"/>
      <c r="C38" s="42"/>
      <c r="D38" s="42"/>
      <c r="E38" s="42"/>
      <c r="F38" s="42"/>
      <c r="G38" s="34"/>
    </row>
  </sheetData>
  <sheetProtection algorithmName="SHA-512" hashValue="As/Cvrk+INFwvtV3V5ATVk2LkKtVxk4Z/e5qB7g3ue5BjKCOiH0PnDI6IbY7IERWRJRyrZgVO7Uspb5ngEhhEg==" saltValue="RJfWchABD/7A7WjMd7e3Jg==" spinCount="100000" sheet="1" objects="1" scenarios="1"/>
  <phoneticPr fontId="5" type="noConversion"/>
  <pageMargins left="0.75" right="0.75" top="1" bottom="1" header="0.5" footer="0.5"/>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BDCE-756D-904E-B223-C7E6A2B2E2BC}">
  <sheetPr codeName="Sheet18"/>
  <dimension ref="A1:LQ3168"/>
  <sheetViews>
    <sheetView tabSelected="1" zoomScale="120" zoomScaleNormal="120" workbookViewId="0">
      <selection activeCell="O5" sqref="O5"/>
    </sheetView>
  </sheetViews>
  <sheetFormatPr baseColWidth="10" defaultColWidth="11.1640625" defaultRowHeight="14" x14ac:dyDescent="0.15"/>
  <cols>
    <col min="1" max="1" width="21.5" style="229" customWidth="1"/>
    <col min="2" max="2" width="26.83203125" style="229" customWidth="1"/>
    <col min="3" max="7" width="14.83203125" style="229" customWidth="1"/>
    <col min="8" max="9" width="11.83203125" style="229" hidden="1" customWidth="1"/>
    <col min="10" max="15" width="14.83203125" style="229" customWidth="1"/>
    <col min="16" max="21" width="11.83203125" style="229" hidden="1" customWidth="1"/>
    <col min="22" max="23" width="14.83203125" style="229" customWidth="1"/>
    <col min="24" max="34" width="7.5" customWidth="1"/>
    <col min="330" max="16384" width="11.1640625" style="229"/>
  </cols>
  <sheetData>
    <row r="1" spans="1:41" customFormat="1" ht="13" x14ac:dyDescent="0.15">
      <c r="A1" s="302" t="s">
        <v>44</v>
      </c>
      <c r="B1" s="302"/>
      <c r="C1" s="302"/>
      <c r="D1" s="302"/>
      <c r="E1" s="302"/>
      <c r="F1" s="302"/>
      <c r="G1" s="302"/>
      <c r="H1" s="302">
        <v>3</v>
      </c>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row>
    <row r="2" spans="1:41" customFormat="1" ht="13" x14ac:dyDescent="0.15">
      <c r="A2" s="302" t="s">
        <v>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row>
    <row r="3" spans="1:41" customFormat="1" ht="13" x14ac:dyDescent="0.1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row>
    <row r="4" spans="1:41" x14ac:dyDescent="0.15">
      <c r="A4" s="196" t="s">
        <v>163</v>
      </c>
      <c r="B4" s="197"/>
      <c r="C4" s="198">
        <v>3</v>
      </c>
      <c r="D4" s="304"/>
      <c r="E4" s="199" t="s">
        <v>77</v>
      </c>
      <c r="F4" s="200">
        <f>IF(C4&lt;H1,(675),(1351))</f>
        <v>1351</v>
      </c>
      <c r="G4" s="304"/>
      <c r="H4" s="302"/>
      <c r="I4" s="302"/>
      <c r="J4" s="196"/>
      <c r="K4" s="201" t="s">
        <v>45</v>
      </c>
      <c r="L4" s="202" t="s">
        <v>144</v>
      </c>
      <c r="M4" s="203" t="s">
        <v>145</v>
      </c>
      <c r="N4" s="304"/>
      <c r="O4" s="304"/>
      <c r="P4" s="304"/>
      <c r="Q4" s="304"/>
      <c r="R4" s="304"/>
      <c r="S4" s="304"/>
      <c r="T4" s="304"/>
      <c r="U4" s="304"/>
      <c r="V4" s="304"/>
      <c r="W4" s="304"/>
      <c r="X4" s="303"/>
      <c r="Y4" s="303"/>
      <c r="Z4" s="303"/>
      <c r="AA4" s="303"/>
      <c r="AB4" s="303"/>
      <c r="AC4" s="303"/>
      <c r="AD4" s="303"/>
      <c r="AE4" s="303"/>
      <c r="AF4" s="303"/>
      <c r="AG4" s="303"/>
      <c r="AH4" s="303"/>
      <c r="AI4" s="303"/>
      <c r="AJ4" s="303"/>
      <c r="AK4" s="303"/>
      <c r="AL4" s="303"/>
      <c r="AM4" s="303"/>
      <c r="AN4" s="303"/>
      <c r="AO4" s="303"/>
    </row>
    <row r="5" spans="1:41" x14ac:dyDescent="0.15">
      <c r="A5" s="204" t="s">
        <v>117</v>
      </c>
      <c r="B5" s="205"/>
      <c r="C5" s="206">
        <v>1500</v>
      </c>
      <c r="D5" s="304"/>
      <c r="E5" s="199" t="s">
        <v>75</v>
      </c>
      <c r="F5" s="207">
        <f>C5-(F4-F6)</f>
        <v>893.40100000000007</v>
      </c>
      <c r="G5" s="304"/>
      <c r="H5" s="302"/>
      <c r="I5" s="302"/>
      <c r="J5" s="204" t="s">
        <v>135</v>
      </c>
      <c r="K5" s="208">
        <f>F5*70/100</f>
        <v>625.38070000000005</v>
      </c>
      <c r="L5" s="209">
        <f>F5*30/100</f>
        <v>268.02030000000002</v>
      </c>
      <c r="M5" s="210" t="s">
        <v>196</v>
      </c>
      <c r="N5" s="304"/>
      <c r="O5" s="304"/>
      <c r="P5" s="304"/>
      <c r="Q5" s="304"/>
      <c r="R5" s="304"/>
      <c r="S5" s="304"/>
      <c r="T5" s="304"/>
      <c r="U5" s="304"/>
      <c r="V5" s="304"/>
      <c r="W5" s="304"/>
      <c r="X5" s="303"/>
      <c r="Y5" s="303"/>
      <c r="Z5" s="303"/>
      <c r="AA5" s="303"/>
      <c r="AB5" s="303"/>
      <c r="AC5" s="303"/>
      <c r="AD5" s="303"/>
      <c r="AE5" s="303"/>
      <c r="AF5" s="303"/>
      <c r="AG5" s="303"/>
      <c r="AH5" s="303"/>
      <c r="AI5" s="303"/>
      <c r="AJ5" s="303"/>
      <c r="AK5" s="303"/>
      <c r="AL5" s="303"/>
      <c r="AM5" s="303"/>
      <c r="AN5" s="303"/>
      <c r="AO5" s="303"/>
    </row>
    <row r="6" spans="1:41" x14ac:dyDescent="0.15">
      <c r="A6" s="304"/>
      <c r="B6" s="304"/>
      <c r="C6" s="304"/>
      <c r="D6" s="304"/>
      <c r="E6" s="199" t="s">
        <v>76</v>
      </c>
      <c r="F6" s="207">
        <f>IF(C4&lt;H1,(F4*27.3/100),(F4*55.1/100))</f>
        <v>744.40100000000007</v>
      </c>
      <c r="G6" s="304"/>
      <c r="H6" s="302"/>
      <c r="I6" s="302"/>
      <c r="J6" s="204" t="s">
        <v>136</v>
      </c>
      <c r="K6" s="208">
        <f>F5*20/100</f>
        <v>178.68020000000001</v>
      </c>
      <c r="L6" s="209">
        <f>F5*30/100</f>
        <v>268.02030000000002</v>
      </c>
      <c r="M6" s="211">
        <f>F5*50/100</f>
        <v>446.70050000000003</v>
      </c>
      <c r="N6" s="304"/>
      <c r="O6" s="304"/>
      <c r="P6" s="304"/>
      <c r="Q6" s="304"/>
      <c r="R6" s="304"/>
      <c r="S6" s="304"/>
      <c r="T6" s="304"/>
      <c r="U6" s="304"/>
      <c r="V6" s="304"/>
      <c r="W6" s="304"/>
      <c r="X6" s="303"/>
      <c r="Y6" s="303"/>
      <c r="Z6" s="303"/>
      <c r="AA6" s="303"/>
      <c r="AB6" s="303"/>
      <c r="AC6" s="303"/>
      <c r="AD6" s="303"/>
      <c r="AE6" s="303"/>
      <c r="AF6" s="303"/>
      <c r="AG6" s="303"/>
      <c r="AH6" s="303"/>
      <c r="AI6" s="303"/>
      <c r="AJ6" s="303"/>
      <c r="AK6" s="303"/>
      <c r="AL6" s="303"/>
      <c r="AM6" s="303"/>
      <c r="AN6" s="303"/>
      <c r="AO6" s="303"/>
    </row>
    <row r="7" spans="1:41" ht="15" thickBot="1" x14ac:dyDescent="0.2">
      <c r="A7" s="304"/>
      <c r="B7" s="304"/>
      <c r="C7" s="304"/>
      <c r="D7" s="304"/>
      <c r="E7" s="304"/>
      <c r="F7" s="304"/>
      <c r="G7" s="304"/>
      <c r="H7" s="302"/>
      <c r="I7" s="302"/>
      <c r="J7" s="304"/>
      <c r="K7" s="304"/>
      <c r="L7" s="304"/>
      <c r="M7" s="304"/>
      <c r="N7" s="304"/>
      <c r="O7" s="304"/>
      <c r="P7" s="304"/>
      <c r="Q7" s="304"/>
      <c r="R7" s="304"/>
      <c r="S7" s="304"/>
      <c r="T7" s="304"/>
      <c r="U7" s="304"/>
      <c r="V7" s="304"/>
      <c r="W7" s="304"/>
      <c r="X7" s="303"/>
      <c r="Y7" s="303"/>
      <c r="Z7" s="303"/>
      <c r="AA7" s="303"/>
      <c r="AB7" s="303"/>
      <c r="AC7" s="303"/>
      <c r="AD7" s="303"/>
      <c r="AE7" s="303"/>
      <c r="AF7" s="303"/>
      <c r="AG7" s="303"/>
      <c r="AH7" s="303"/>
      <c r="AI7" s="303"/>
      <c r="AJ7" s="303"/>
      <c r="AK7" s="303"/>
      <c r="AL7" s="303"/>
      <c r="AM7" s="303"/>
      <c r="AN7" s="303"/>
      <c r="AO7" s="303"/>
    </row>
    <row r="8" spans="1:41" x14ac:dyDescent="0.15">
      <c r="A8" s="248" t="s">
        <v>109</v>
      </c>
      <c r="B8" s="249"/>
      <c r="C8" s="249"/>
      <c r="D8" s="249"/>
      <c r="E8" s="249"/>
      <c r="F8" s="249"/>
      <c r="G8" s="249"/>
      <c r="H8" s="249"/>
      <c r="I8" s="249"/>
      <c r="J8" s="249"/>
      <c r="K8" s="249"/>
      <c r="L8" s="249"/>
      <c r="M8" s="249"/>
      <c r="N8" s="249"/>
      <c r="O8" s="249"/>
      <c r="P8" s="249"/>
      <c r="Q8" s="249"/>
      <c r="R8" s="249"/>
      <c r="S8" s="249"/>
      <c r="T8" s="249"/>
      <c r="U8" s="249"/>
      <c r="V8" s="249"/>
      <c r="W8" s="249"/>
      <c r="X8" s="303"/>
      <c r="Y8" s="303"/>
      <c r="Z8" s="303"/>
      <c r="AA8" s="303"/>
      <c r="AB8" s="303"/>
      <c r="AC8" s="303"/>
      <c r="AD8" s="303"/>
      <c r="AE8" s="303"/>
      <c r="AF8" s="303"/>
      <c r="AG8" s="303"/>
      <c r="AH8" s="303"/>
      <c r="AI8" s="303"/>
      <c r="AJ8" s="303"/>
      <c r="AK8" s="303"/>
      <c r="AL8" s="303"/>
      <c r="AM8" s="303"/>
      <c r="AN8" s="303"/>
      <c r="AO8" s="303"/>
    </row>
    <row r="9" spans="1:41" ht="90" x14ac:dyDescent="0.15">
      <c r="A9" s="251" t="s">
        <v>147</v>
      </c>
      <c r="B9" s="252" t="s">
        <v>133</v>
      </c>
      <c r="C9" s="253" t="s">
        <v>184</v>
      </c>
      <c r="D9" s="253" t="s">
        <v>16</v>
      </c>
      <c r="E9" s="278" t="s">
        <v>395</v>
      </c>
      <c r="F9" s="253" t="s">
        <v>186</v>
      </c>
      <c r="G9" s="253" t="s">
        <v>74</v>
      </c>
      <c r="H9" s="261" t="s">
        <v>34</v>
      </c>
      <c r="I9" s="261" t="s">
        <v>121</v>
      </c>
      <c r="J9" s="254" t="s">
        <v>360</v>
      </c>
      <c r="K9" s="255" t="s">
        <v>119</v>
      </c>
      <c r="L9" s="255" t="s">
        <v>63</v>
      </c>
      <c r="M9" s="255" t="s">
        <v>91</v>
      </c>
      <c r="N9" s="255" t="s">
        <v>150</v>
      </c>
      <c r="O9" s="256" t="s">
        <v>430</v>
      </c>
      <c r="P9" s="262" t="s">
        <v>361</v>
      </c>
      <c r="Q9" s="262" t="s">
        <v>362</v>
      </c>
      <c r="R9" s="263" t="s">
        <v>102</v>
      </c>
      <c r="S9" s="263" t="s">
        <v>29</v>
      </c>
      <c r="T9" s="263" t="s">
        <v>226</v>
      </c>
      <c r="U9" s="263" t="s">
        <v>100</v>
      </c>
      <c r="V9" s="256" t="s">
        <v>101</v>
      </c>
      <c r="W9" s="256" t="s">
        <v>174</v>
      </c>
      <c r="X9" s="303"/>
      <c r="Y9" s="303"/>
      <c r="Z9" s="303"/>
      <c r="AA9" s="303"/>
      <c r="AB9" s="303"/>
      <c r="AC9" s="303"/>
      <c r="AD9" s="303"/>
      <c r="AE9" s="303"/>
      <c r="AF9" s="303"/>
      <c r="AG9" s="303"/>
      <c r="AH9" s="303"/>
      <c r="AI9" s="303"/>
      <c r="AJ9" s="303"/>
      <c r="AK9" s="303"/>
      <c r="AL9" s="303"/>
      <c r="AM9" s="303"/>
      <c r="AN9" s="303"/>
      <c r="AO9" s="303"/>
    </row>
    <row r="10" spans="1:41" x14ac:dyDescent="0.15">
      <c r="A10" s="212" t="str">
        <f>'Tariffs 2023'!K2</f>
        <v>ActewAGL</v>
      </c>
      <c r="B10" s="213" t="str">
        <f>'Tariffs 2023'!L2</f>
        <v>Solar Saver</v>
      </c>
      <c r="C10" s="214">
        <f>IF('Tariffs 2023'!BP2=0,91*'Tariffs 2023'!M2/100,(91*'Tariffs 2023'!M2/100)+'Tariffs 2023'!BP2/4)</f>
        <v>84.629999999999981</v>
      </c>
      <c r="D10" s="214">
        <f>IF('Tariffs 2023'!O2="",$F$5*'Tariffs 2023'!N2/100,IF($F$5&gt;='Tariffs 2023'!P2,('Tariffs 2023'!P2*'Tariffs 2023'!N2/100),($F$5*'Tariffs 2023'!N2/100)))</f>
        <v>221.56344800000002</v>
      </c>
      <c r="E10" s="214">
        <f>IF(AND('Tariffs 2023'!R2&gt;0,'Tariffs 2023'!T2&gt;0),IF($F$5&lt;'Tariffs 2023'!P2,0,IF(($F$5-'Tariffs 2023'!P2)&lt;='Tariffs 2023'!R2,(($F$5-'Tariffs 2023'!P2)*'Tariffs 2023'!Q2/100),(('Tariffs 2023'!R2-'Tariffs 2023'!P2)*'Tariffs 2023'!Q2/100))),IF(AND('Tariffs 2023'!R2&gt;0,'Tariffs 2023'!T2=""),IF($F$5&lt;'Tariffs 2023'!P2,0, IF(($F$5)&lt;= 'Tariffs 2023'!R2,(($F$5-'Tariffs 2023'!P2)* 'Tariffs 2023'!Q2/100),(( 'Tariffs 2023'!R2-'Tariffs 2023'!P2)* 'Tariffs 2023'!Q2/100))),0))</f>
        <v>0</v>
      </c>
      <c r="F10" s="214">
        <f>IF('Tariffs 2023'!T2&gt;0,IF(($F$5&lt;'Tariffs 2023'!T2),(0),($F$5-'Tariffs 2023'!T2)*'Tariffs 2023'!U2/100),IF(AND('Tariffs 2023'!R2&gt;0,'Tariffs 2023'!T2=""),IF(($F$5&lt;'Tariffs 2023'!R2),(0),($F$5-'Tariffs 2023'!R2)*'Tariffs 2023'!S2/100),IF(AND('Tariffs 2023'!P2&gt;0,'Tariffs 2023'!R2=""),IF(($F$5&lt;'Tariffs 2023'!P2),(0),($F$5-'Tariffs 2023'!P2)*'Tariffs 2023'!Q2/100),0)))</f>
        <v>0</v>
      </c>
      <c r="G10" s="214">
        <f t="shared" ref="G10:G13" si="0">SUM(C10:F10)</f>
        <v>306.19344799999999</v>
      </c>
      <c r="H10" s="226">
        <f t="shared" ref="H10:H13" si="1">(G10-C10)*4</f>
        <v>886.25379199999998</v>
      </c>
      <c r="I10" s="264">
        <f t="shared" ref="I10:I13" si="2">G10*4</f>
        <v>1224.773792</v>
      </c>
      <c r="J10" s="215">
        <f t="shared" ref="J10:J13" si="3">I10*1.1</f>
        <v>1347.2511712</v>
      </c>
      <c r="K10" s="213">
        <f>'Tariffs 2023'!AZ2</f>
        <v>0</v>
      </c>
      <c r="L10" s="213">
        <f>'Tariffs 2023'!BA2</f>
        <v>0</v>
      </c>
      <c r="M10" s="213">
        <f>'Tariffs 2023'!BB2</f>
        <v>0</v>
      </c>
      <c r="N10" s="213">
        <f>'Tariffs 2023'!BC2</f>
        <v>0</v>
      </c>
      <c r="O10" s="215">
        <f>($F$6*'Tariffs 2023'!AT2/100)*4</f>
        <v>446.64060000000006</v>
      </c>
      <c r="P10" s="216" t="str">
        <f t="shared" ref="P10:P13" si="4">IF(SUM(K10:N10)=0,"No discount",IF(K10&gt;0,"Guaranteed off bill",IF(L10&gt;0,"Guaranteed off usage",IF(M10&gt;0,"Pay-on-time off bill","Pay-on-time off usage"))))</f>
        <v>No discount</v>
      </c>
      <c r="Q10" s="216" t="str">
        <f t="shared" ref="Q10:Q13" si="5">IF(OR(A10="Origin Energy",A10="Red Energy",A10="Powershop"),"Inclusive","Exclusive")</f>
        <v>Exclusive</v>
      </c>
      <c r="R10" s="264">
        <f t="shared" ref="R10:R13" si="6">IF(AND(P10="Guaranteed off bill",Q10="Inclusive"),((I10*1.1)-((I10*1.1)*K10/100))/1.1,IF(AND(P10="Guaranteed off usage",Q10="Inclusive"),((I10*1.1)-((H10*1.1)*L10/100))/1.1,IF(AND(P10="Guaranteed off bill",Q10="Exclusive"),I10-(I10*K10/100),IF(AND(P10="Guaranteed off usage",Q10="Exclusive"),I10-(H10*L10/100),IF(Q10="Inclusive",((I10*1.1))/1.1,I10)))))</f>
        <v>1224.773792</v>
      </c>
      <c r="S10" s="264">
        <f t="shared" ref="S10:S13" si="7">IF(AND(P10="Pay-on-time off bill",Q10="Inclusive"),((R10*1.1)-((R10*1.1)*M10/100))/1.1,IF(AND(P10="Pay-on-time off usage",Q10="Inclusive"),((R10*1.1)-((H10*1.1)*N10/100))/1.1,IF(AND(P10="Pay-on-time off bill",Q10="Exclusive"),R10-(R10*M10/100),IF(AND(P10="Pay-on-time off usage",Q10="Exclusive"),R10-(H10*N10/100),IF(Q10="Inclusive",((R10*1.1))/1.1,R10)))))</f>
        <v>1224.773792</v>
      </c>
      <c r="T10" s="264">
        <f t="shared" ref="T10:T13" si="8">R10-O10</f>
        <v>778.13319199999989</v>
      </c>
      <c r="U10" s="264">
        <f t="shared" ref="U10:U13" si="9">S10-O10</f>
        <v>778.13319199999989</v>
      </c>
      <c r="V10" s="281">
        <f t="shared" ref="V10:W13" si="10">T10*1.1</f>
        <v>855.94651119999992</v>
      </c>
      <c r="W10" s="281">
        <f t="shared" si="10"/>
        <v>855.94651119999992</v>
      </c>
      <c r="X10" s="303"/>
      <c r="Y10" s="303"/>
      <c r="Z10" s="303"/>
      <c r="AA10" s="303"/>
      <c r="AB10" s="303"/>
      <c r="AC10" s="303"/>
      <c r="AD10" s="303"/>
      <c r="AE10" s="303"/>
      <c r="AF10" s="303"/>
      <c r="AG10" s="303"/>
      <c r="AH10" s="303"/>
      <c r="AI10" s="303"/>
      <c r="AJ10" s="303"/>
      <c r="AK10" s="303"/>
      <c r="AL10" s="303"/>
      <c r="AM10" s="303"/>
      <c r="AN10" s="303"/>
      <c r="AO10" s="303"/>
    </row>
    <row r="11" spans="1:41" x14ac:dyDescent="0.15">
      <c r="A11" s="212" t="str">
        <f>'Tariffs 2023'!K3</f>
        <v>EnergyAustralia</v>
      </c>
      <c r="B11" s="213" t="str">
        <f>'Tariffs 2023'!L3</f>
        <v>Flexi Plan</v>
      </c>
      <c r="C11" s="214">
        <f>IF('Tariffs 2023'!BP3=0,91*'Tariffs 2023'!M3/100,(91*'Tariffs 2023'!M3/100)+'Tariffs 2023'!BP3/4)</f>
        <v>84.266000000000005</v>
      </c>
      <c r="D11" s="214">
        <f>IF('Tariffs 2023'!O3="",$F$5*'Tariffs 2023'!N3/100,IF($F$5&gt;='Tariffs 2023'!P3,('Tariffs 2023'!P3*'Tariffs 2023'!N3/100),($F$5*'Tariffs 2023'!N3/100)))</f>
        <v>255.59390427272726</v>
      </c>
      <c r="E11" s="214">
        <f>IF(AND('Tariffs 2023'!R3&gt;0,'Tariffs 2023'!T3&gt;0),IF($F$5&lt;'Tariffs 2023'!P3,0,IF(($F$5-'Tariffs 2023'!P3)&lt;='Tariffs 2023'!R3,(($F$5-'Tariffs 2023'!P3)*'Tariffs 2023'!Q3/100),(('Tariffs 2023'!R3-'Tariffs 2023'!P3)*'Tariffs 2023'!Q3/100))),IF(AND('Tariffs 2023'!R3&gt;0,'Tariffs 2023'!T3=""),IF($F$5&lt;'Tariffs 2023'!P3,0, IF(($F$5)&lt;= 'Tariffs 2023'!R3,(($F$5-'Tariffs 2023'!P3)* 'Tariffs 2023'!Q3/100),(( 'Tariffs 2023'!R3-'Tariffs 2023'!P3)* 'Tariffs 2023'!Q3/100))),0))</f>
        <v>0</v>
      </c>
      <c r="F11" s="214">
        <f>IF('Tariffs 2023'!T3&gt;0,IF(($F$5&lt;'Tariffs 2023'!T3),(0),($F$5-'Tariffs 2023'!T3)*'Tariffs 2023'!U3/100),IF(AND('Tariffs 2023'!R3&gt;0,'Tariffs 2023'!T3=""),IF(($F$5&lt;'Tariffs 2023'!R3),(0),($F$5-'Tariffs 2023'!R3)*'Tariffs 2023'!S3/100),IF(AND('Tariffs 2023'!P3&gt;0,'Tariffs 2023'!R3=""),IF(($F$5&lt;'Tariffs 2023'!P3),(0),($F$5-'Tariffs 2023'!P3)*'Tariffs 2023'!Q3/100),0)))</f>
        <v>0</v>
      </c>
      <c r="G11" s="214">
        <f t="shared" si="0"/>
        <v>339.85990427272725</v>
      </c>
      <c r="H11" s="226">
        <f t="shared" si="1"/>
        <v>1022.3756170909089</v>
      </c>
      <c r="I11" s="264">
        <f t="shared" si="2"/>
        <v>1359.439617090909</v>
      </c>
      <c r="J11" s="215">
        <f t="shared" si="3"/>
        <v>1495.3835788000001</v>
      </c>
      <c r="K11" s="213">
        <f>'Tariffs 2023'!AZ3</f>
        <v>11</v>
      </c>
      <c r="L11" s="213">
        <f>'Tariffs 2023'!BA3</f>
        <v>0</v>
      </c>
      <c r="M11" s="213">
        <f>'Tariffs 2023'!BB3</f>
        <v>0</v>
      </c>
      <c r="N11" s="213">
        <f>'Tariffs 2023'!BC3</f>
        <v>0</v>
      </c>
      <c r="O11" s="215">
        <f>($F$6*'Tariffs 2023'!AT3/100)*4</f>
        <v>226.29790400000002</v>
      </c>
      <c r="P11" s="216" t="str">
        <f t="shared" si="4"/>
        <v>Guaranteed off bill</v>
      </c>
      <c r="Q11" s="216" t="str">
        <f t="shared" si="5"/>
        <v>Exclusive</v>
      </c>
      <c r="R11" s="264">
        <f t="shared" si="6"/>
        <v>1209.9012592109091</v>
      </c>
      <c r="S11" s="264">
        <f t="shared" si="7"/>
        <v>1209.9012592109091</v>
      </c>
      <c r="T11" s="264">
        <f t="shared" si="8"/>
        <v>983.60335521090906</v>
      </c>
      <c r="U11" s="264">
        <f t="shared" si="9"/>
        <v>983.60335521090906</v>
      </c>
      <c r="V11" s="281">
        <f t="shared" si="10"/>
        <v>1081.963690732</v>
      </c>
      <c r="W11" s="281">
        <f t="shared" si="10"/>
        <v>1081.963690732</v>
      </c>
      <c r="X11" s="303"/>
      <c r="Y11" s="303"/>
      <c r="Z11" s="303"/>
      <c r="AA11" s="303"/>
      <c r="AB11" s="303"/>
      <c r="AC11" s="303"/>
      <c r="AD11" s="303"/>
      <c r="AE11" s="303"/>
      <c r="AF11" s="303"/>
      <c r="AG11" s="303"/>
      <c r="AH11" s="303"/>
      <c r="AI11" s="303"/>
      <c r="AJ11" s="303"/>
      <c r="AK11" s="303"/>
      <c r="AL11" s="303"/>
      <c r="AM11" s="303"/>
      <c r="AN11" s="303"/>
      <c r="AO11" s="303"/>
    </row>
    <row r="12" spans="1:41" x14ac:dyDescent="0.15">
      <c r="A12" s="212" t="str">
        <f>'Tariffs 2023'!K4</f>
        <v>Origin Energy</v>
      </c>
      <c r="B12" s="213" t="str">
        <f>'Tariffs 2023'!L4</f>
        <v>Solar Boost</v>
      </c>
      <c r="C12" s="214">
        <f>IF('Tariffs 2023'!BP4=0,91*'Tariffs 2023'!M4/100,(91*'Tariffs 2023'!M4/100)+'Tariffs 2023'!BP4/4)</f>
        <v>94.871636363636355</v>
      </c>
      <c r="D12" s="214">
        <f>IF('Tariffs 2023'!O4="",$F$5*'Tariffs 2023'!N4/100,IF($F$5&gt;='Tariffs 2023'!P4,('Tariffs 2023'!P4*'Tariffs 2023'!N4/100),($F$5*'Tariffs 2023'!N4/100)))</f>
        <v>194.03045354545455</v>
      </c>
      <c r="E12" s="214">
        <f>IF(AND('Tariffs 2023'!R4&gt;0,'Tariffs 2023'!T4&gt;0),IF($F$5&lt;'Tariffs 2023'!P4,0,IF(($F$5-'Tariffs 2023'!P4)&lt;='Tariffs 2023'!R4,(($F$5-'Tariffs 2023'!P4)*'Tariffs 2023'!Q4/100),(('Tariffs 2023'!R4-'Tariffs 2023'!P4)*'Tariffs 2023'!Q4/100))),IF(AND('Tariffs 2023'!R4&gt;0,'Tariffs 2023'!T4=""),IF($F$5&lt;'Tariffs 2023'!P4,0, IF(($F$5)&lt;= 'Tariffs 2023'!R4,(($F$5-'Tariffs 2023'!P4)* 'Tariffs 2023'!Q4/100),(( 'Tariffs 2023'!R4-'Tariffs 2023'!P4)* 'Tariffs 2023'!Q4/100))),0))</f>
        <v>0</v>
      </c>
      <c r="F12" s="214">
        <f>IF('Tariffs 2023'!T4&gt;0,IF(($F$5&lt;'Tariffs 2023'!T4),(0),($F$5-'Tariffs 2023'!T4)*'Tariffs 2023'!U4/100),IF(AND('Tariffs 2023'!R4&gt;0,'Tariffs 2023'!T4=""),IF(($F$5&lt;'Tariffs 2023'!R4),(0),($F$5-'Tariffs 2023'!R4)*'Tariffs 2023'!S4/100),IF(AND('Tariffs 2023'!P4&gt;0,'Tariffs 2023'!R4=""),IF(($F$5&lt;'Tariffs 2023'!P4),(0),($F$5-'Tariffs 2023'!P4)*'Tariffs 2023'!Q4/100),0)))</f>
        <v>0</v>
      </c>
      <c r="G12" s="214">
        <f t="shared" si="0"/>
        <v>288.90208990909093</v>
      </c>
      <c r="H12" s="226">
        <f t="shared" si="1"/>
        <v>776.12181418181831</v>
      </c>
      <c r="I12" s="264">
        <f t="shared" si="2"/>
        <v>1155.6083596363637</v>
      </c>
      <c r="J12" s="215">
        <f t="shared" si="3"/>
        <v>1271.1691956000002</v>
      </c>
      <c r="K12" s="213">
        <f>'Tariffs 2023'!AZ4</f>
        <v>0</v>
      </c>
      <c r="L12" s="213">
        <f>'Tariffs 2023'!BA4</f>
        <v>0</v>
      </c>
      <c r="M12" s="213">
        <f>'Tariffs 2023'!BB4</f>
        <v>0</v>
      </c>
      <c r="N12" s="213">
        <f>'Tariffs 2023'!BC4</f>
        <v>0</v>
      </c>
      <c r="O12" s="215">
        <f>($F$6*'Tariffs 2023'!AT4/100)*4</f>
        <v>357.31248000000005</v>
      </c>
      <c r="P12" s="216" t="str">
        <f t="shared" si="4"/>
        <v>No discount</v>
      </c>
      <c r="Q12" s="216" t="str">
        <f t="shared" si="5"/>
        <v>Inclusive</v>
      </c>
      <c r="R12" s="264">
        <f t="shared" si="6"/>
        <v>1155.6083596363637</v>
      </c>
      <c r="S12" s="264">
        <f t="shared" si="7"/>
        <v>1155.6083596363637</v>
      </c>
      <c r="T12" s="264">
        <f t="shared" si="8"/>
        <v>798.29587963636368</v>
      </c>
      <c r="U12" s="264">
        <f t="shared" si="9"/>
        <v>798.29587963636368</v>
      </c>
      <c r="V12" s="281">
        <f t="shared" si="10"/>
        <v>878.12546760000009</v>
      </c>
      <c r="W12" s="281">
        <f t="shared" si="10"/>
        <v>878.12546760000009</v>
      </c>
      <c r="X12" s="303"/>
      <c r="Y12" s="303"/>
      <c r="Z12" s="303"/>
      <c r="AA12" s="303"/>
      <c r="AB12" s="303"/>
      <c r="AC12" s="303"/>
      <c r="AD12" s="303"/>
      <c r="AE12" s="303"/>
      <c r="AF12" s="303"/>
      <c r="AG12" s="303"/>
      <c r="AH12" s="303"/>
      <c r="AI12" s="303"/>
      <c r="AJ12" s="303"/>
      <c r="AK12" s="303"/>
      <c r="AL12" s="303"/>
      <c r="AM12" s="303"/>
      <c r="AN12" s="303"/>
      <c r="AO12" s="303"/>
    </row>
    <row r="13" spans="1:41" x14ac:dyDescent="0.15">
      <c r="A13" s="212" t="str">
        <f>'Tariffs 2023'!K5</f>
        <v>Red Energy</v>
      </c>
      <c r="B13" s="213" t="str">
        <f>'Tariffs 2023'!L5</f>
        <v>Living Energy Saver</v>
      </c>
      <c r="C13" s="214">
        <f>IF('Tariffs 2023'!BP5=0,91*'Tariffs 2023'!M5/100,(91*'Tariffs 2023'!M5/100)+'Tariffs 2023'!BP5/4)</f>
        <v>82.809999999999988</v>
      </c>
      <c r="D13" s="214">
        <f>IF('Tariffs 2023'!O5="",$F$5*'Tariffs 2023'!N5/100,IF($F$5&gt;='Tariffs 2023'!P5,('Tariffs 2023'!P5*'Tariffs 2023'!N5/100),($F$5*'Tariffs 2023'!N5/100)))</f>
        <v>171.93908336363637</v>
      </c>
      <c r="E13" s="214">
        <f>IF(AND('Tariffs 2023'!R5&gt;0,'Tariffs 2023'!T5&gt;0),IF($F$5&lt;'Tariffs 2023'!P5,0,IF(($F$5-'Tariffs 2023'!P5)&lt;='Tariffs 2023'!R5,(($F$5-'Tariffs 2023'!P5)*'Tariffs 2023'!Q5/100),(('Tariffs 2023'!R5-'Tariffs 2023'!P5)*'Tariffs 2023'!Q5/100))),IF(AND('Tariffs 2023'!R5&gt;0,'Tariffs 2023'!T5=""),IF($F$5&lt;'Tariffs 2023'!P5,0, IF(($F$5)&lt;= 'Tariffs 2023'!R5,(($F$5-'Tariffs 2023'!P5)* 'Tariffs 2023'!Q5/100),(( 'Tariffs 2023'!R5-'Tariffs 2023'!P5)* 'Tariffs 2023'!Q5/100))),0))</f>
        <v>0</v>
      </c>
      <c r="F13" s="214">
        <f>IF('Tariffs 2023'!T5&gt;0,IF(($F$5&lt;'Tariffs 2023'!T5),(0),($F$5-'Tariffs 2023'!T5)*'Tariffs 2023'!U5/100),IF(AND('Tariffs 2023'!R5&gt;0,'Tariffs 2023'!T5=""),IF(($F$5&lt;'Tariffs 2023'!R5),(0),($F$5-'Tariffs 2023'!R5)*'Tariffs 2023'!S5/100),IF(AND('Tariffs 2023'!P5&gt;0,'Tariffs 2023'!R5=""),IF(($F$5&lt;'Tariffs 2023'!P5),(0),($F$5-'Tariffs 2023'!P5)*'Tariffs 2023'!Q5/100),0)))</f>
        <v>0</v>
      </c>
      <c r="G13" s="214">
        <f t="shared" si="0"/>
        <v>254.74908336363637</v>
      </c>
      <c r="H13" s="226">
        <f t="shared" si="1"/>
        <v>687.75633345454548</v>
      </c>
      <c r="I13" s="264">
        <f t="shared" si="2"/>
        <v>1018.9963334545455</v>
      </c>
      <c r="J13" s="215">
        <f t="shared" si="3"/>
        <v>1120.8959668000002</v>
      </c>
      <c r="K13" s="213">
        <f>'Tariffs 2023'!AZ5</f>
        <v>0</v>
      </c>
      <c r="L13" s="213">
        <f>'Tariffs 2023'!BA5</f>
        <v>0</v>
      </c>
      <c r="M13" s="213">
        <f>'Tariffs 2023'!BB5</f>
        <v>0</v>
      </c>
      <c r="N13" s="213">
        <f>'Tariffs 2023'!BC5</f>
        <v>0</v>
      </c>
      <c r="O13" s="215">
        <f>($F$6*'Tariffs 2023'!AT5/100)*4</f>
        <v>178.65624000000003</v>
      </c>
      <c r="P13" s="216" t="str">
        <f t="shared" si="4"/>
        <v>No discount</v>
      </c>
      <c r="Q13" s="216" t="str">
        <f t="shared" si="5"/>
        <v>Inclusive</v>
      </c>
      <c r="R13" s="264">
        <f t="shared" si="6"/>
        <v>1018.9963334545456</v>
      </c>
      <c r="S13" s="264">
        <f t="shared" si="7"/>
        <v>1018.9963334545456</v>
      </c>
      <c r="T13" s="264">
        <f t="shared" si="8"/>
        <v>840.34009345454558</v>
      </c>
      <c r="U13" s="264">
        <f t="shared" si="9"/>
        <v>840.34009345454558</v>
      </c>
      <c r="V13" s="281">
        <f t="shared" si="10"/>
        <v>924.37410280000017</v>
      </c>
      <c r="W13" s="281">
        <f t="shared" si="10"/>
        <v>924.37410280000017</v>
      </c>
      <c r="X13" s="303"/>
      <c r="Y13" s="303"/>
      <c r="Z13" s="303"/>
      <c r="AA13" s="303"/>
      <c r="AB13" s="303"/>
      <c r="AC13" s="303"/>
      <c r="AD13" s="303"/>
      <c r="AE13" s="303"/>
      <c r="AF13" s="303"/>
      <c r="AG13" s="303"/>
      <c r="AH13" s="303"/>
      <c r="AI13" s="303"/>
      <c r="AJ13" s="303"/>
      <c r="AK13" s="303"/>
      <c r="AL13" s="303"/>
      <c r="AM13" s="303"/>
      <c r="AN13" s="303"/>
      <c r="AO13" s="303"/>
    </row>
    <row r="14" spans="1:41" x14ac:dyDescent="0.15">
      <c r="A14" s="212" t="str">
        <f>'Tariffs 2023'!K6</f>
        <v>Energy Locals</v>
      </c>
      <c r="B14" s="213" t="str">
        <f>'Tariffs 2023'!L6</f>
        <v>Local Member</v>
      </c>
      <c r="C14" s="214">
        <f>IF('Tariffs 2023'!BP6=0,91*'Tariffs 2023'!M6/100,(91*'Tariffs 2023'!M6/100)+'Tariffs 2023'!BP6/4)</f>
        <v>107.41818181818181</v>
      </c>
      <c r="D14" s="214">
        <f>IF('Tariffs 2023'!O6="",$F$5*'Tariffs 2023'!N6/100,IF($F$5&gt;='Tariffs 2023'!P6,('Tariffs 2023'!P6*'Tariffs 2023'!N6/100),($F$5*'Tariffs 2023'!N6/100)))</f>
        <v>215.22842272727274</v>
      </c>
      <c r="E14" s="214">
        <f>IF(AND('Tariffs 2023'!R6&gt;0,'Tariffs 2023'!T6&gt;0),IF($F$5&lt;'Tariffs 2023'!P6,0,IF(($F$5-'Tariffs 2023'!P6)&lt;='Tariffs 2023'!R6,(($F$5-'Tariffs 2023'!P6)*'Tariffs 2023'!Q6/100),(('Tariffs 2023'!R6-'Tariffs 2023'!P6)*'Tariffs 2023'!Q6/100))),IF(AND('Tariffs 2023'!R6&gt;0,'Tariffs 2023'!T6=""),IF($F$5&lt;'Tariffs 2023'!P6,0, IF(($F$5)&lt;= 'Tariffs 2023'!R6,(($F$5-'Tariffs 2023'!P6)* 'Tariffs 2023'!Q6/100),(( 'Tariffs 2023'!R6-'Tariffs 2023'!P6)* 'Tariffs 2023'!Q6/100))),0))</f>
        <v>0</v>
      </c>
      <c r="F14" s="214">
        <f>IF('Tariffs 2023'!T6&gt;0,IF(($F$5&lt;'Tariffs 2023'!T6),(0),($F$5-'Tariffs 2023'!T6)*'Tariffs 2023'!U6/100),IF(AND('Tariffs 2023'!R6&gt;0,'Tariffs 2023'!T6=""),IF(($F$5&lt;'Tariffs 2023'!R6),(0),($F$5-'Tariffs 2023'!R6)*'Tariffs 2023'!S6/100),IF(AND('Tariffs 2023'!P6&gt;0,'Tariffs 2023'!R6=""),IF(($F$5&lt;'Tariffs 2023'!P6),(0),($F$5-'Tariffs 2023'!P6)*'Tariffs 2023'!Q6/100),0)))</f>
        <v>0</v>
      </c>
      <c r="G14" s="214">
        <f t="shared" ref="G14:G15" si="11">SUM(C14:F14)</f>
        <v>322.64660454545458</v>
      </c>
      <c r="H14" s="226">
        <f t="shared" ref="H14:H15" si="12">(G14-C14)*4</f>
        <v>860.91369090909109</v>
      </c>
      <c r="I14" s="264">
        <f t="shared" ref="I14:I15" si="13">G14*4</f>
        <v>1290.5864181818183</v>
      </c>
      <c r="J14" s="215">
        <f t="shared" ref="J14:J15" si="14">I14*1.1</f>
        <v>1419.6450600000003</v>
      </c>
      <c r="K14" s="213">
        <f>'Tariffs 2023'!AZ6</f>
        <v>0</v>
      </c>
      <c r="L14" s="213">
        <f>'Tariffs 2023'!BA6</f>
        <v>0</v>
      </c>
      <c r="M14" s="213">
        <f>'Tariffs 2023'!BB6</f>
        <v>0</v>
      </c>
      <c r="N14" s="213">
        <f>'Tariffs 2023'!BC6</f>
        <v>0</v>
      </c>
      <c r="O14" s="215">
        <f>($F$6*'Tariffs 2023'!AT6/100)*4</f>
        <v>211.40988400000003</v>
      </c>
      <c r="P14" s="216" t="str">
        <f t="shared" ref="P14:P15" si="15">IF(SUM(K14:N14)=0,"No discount",IF(K14&gt;0,"Guaranteed off bill",IF(L14&gt;0,"Guaranteed off usage",IF(M14&gt;0,"Pay-on-time off bill","Pay-on-time off usage"))))</f>
        <v>No discount</v>
      </c>
      <c r="Q14" s="216" t="str">
        <f t="shared" ref="Q14:Q15" si="16">IF(OR(A14="Origin Energy",A14="Red Energy",A14="Powershop"),"Inclusive","Exclusive")</f>
        <v>Exclusive</v>
      </c>
      <c r="R14" s="264">
        <f t="shared" ref="R14:R15" si="17">IF(AND(P14="Guaranteed off bill",Q14="Inclusive"),((I14*1.1)-((I14*1.1)*K14/100))/1.1,IF(AND(P14="Guaranteed off usage",Q14="Inclusive"),((I14*1.1)-((H14*1.1)*L14/100))/1.1,IF(AND(P14="Guaranteed off bill",Q14="Exclusive"),I14-(I14*K14/100),IF(AND(P14="Guaranteed off usage",Q14="Exclusive"),I14-(H14*L14/100),IF(Q14="Inclusive",((I14*1.1))/1.1,I14)))))</f>
        <v>1290.5864181818183</v>
      </c>
      <c r="S14" s="264">
        <f t="shared" ref="S14:S15" si="18">IF(AND(P14="Pay-on-time off bill",Q14="Inclusive"),((R14*1.1)-((R14*1.1)*M14/100))/1.1,IF(AND(P14="Pay-on-time off usage",Q14="Inclusive"),((R14*1.1)-((H14*1.1)*N14/100))/1.1,IF(AND(P14="Pay-on-time off bill",Q14="Exclusive"),R14-(R14*M14/100),IF(AND(P14="Pay-on-time off usage",Q14="Exclusive"),R14-(H14*N14/100),IF(Q14="Inclusive",((R14*1.1))/1.1,R14)))))</f>
        <v>1290.5864181818183</v>
      </c>
      <c r="T14" s="264">
        <f t="shared" ref="T14:T15" si="19">R14-O14</f>
        <v>1079.1765341818182</v>
      </c>
      <c r="U14" s="264">
        <f t="shared" ref="U14:U15" si="20">S14-O14</f>
        <v>1079.1765341818182</v>
      </c>
      <c r="V14" s="281">
        <f t="shared" ref="V14:V15" si="21">T14*1.1</f>
        <v>1187.0941876000002</v>
      </c>
      <c r="W14" s="281">
        <f t="shared" ref="W14:W15" si="22">U14*1.1</f>
        <v>1187.0941876000002</v>
      </c>
      <c r="X14" s="303"/>
      <c r="Y14" s="303"/>
      <c r="Z14" s="303"/>
      <c r="AA14" s="303"/>
      <c r="AB14" s="303"/>
      <c r="AC14" s="303"/>
      <c r="AD14" s="303"/>
      <c r="AE14" s="303"/>
      <c r="AF14" s="303"/>
      <c r="AG14" s="303"/>
      <c r="AH14" s="303"/>
      <c r="AI14" s="303"/>
      <c r="AJ14" s="303"/>
      <c r="AK14" s="303"/>
      <c r="AL14" s="303"/>
      <c r="AM14" s="303"/>
      <c r="AN14" s="303"/>
      <c r="AO14" s="303"/>
    </row>
    <row r="15" spans="1:41" x14ac:dyDescent="0.15">
      <c r="A15" s="212" t="str">
        <f>'Tariffs 2023'!K7</f>
        <v>Nectr</v>
      </c>
      <c r="B15" s="213" t="str">
        <f>'Tariffs 2023'!L7</f>
        <v>100% Clean</v>
      </c>
      <c r="C15" s="214">
        <f>IF('Tariffs 2023'!BP7=0,91*'Tariffs 2023'!M7/100,(91*'Tariffs 2023'!M7/100)+'Tariffs 2023'!BP7/4)</f>
        <v>81.610454545454544</v>
      </c>
      <c r="D15" s="214">
        <f>IF('Tariffs 2023'!O7="",$F$5*'Tariffs 2023'!N7/100,IF($F$5&gt;='Tariffs 2023'!P7,('Tariffs 2023'!P7*'Tariffs 2023'!N7/100),($F$5*'Tariffs 2023'!N7/100)))</f>
        <v>224.08121445454543</v>
      </c>
      <c r="E15" s="214">
        <f>IF(AND('Tariffs 2023'!R7&gt;0,'Tariffs 2023'!T7&gt;0),IF($F$5&lt;'Tariffs 2023'!P7,0,IF(($F$5-'Tariffs 2023'!P7)&lt;='Tariffs 2023'!R7,(($F$5-'Tariffs 2023'!P7)*'Tariffs 2023'!Q7/100),(('Tariffs 2023'!R7-'Tariffs 2023'!P7)*'Tariffs 2023'!Q7/100))),IF(AND('Tariffs 2023'!R7&gt;0,'Tariffs 2023'!T7=""),IF($F$5&lt;'Tariffs 2023'!P7,0, IF(($F$5)&lt;= 'Tariffs 2023'!R7,(($F$5-'Tariffs 2023'!P7)* 'Tariffs 2023'!Q7/100),(( 'Tariffs 2023'!R7-'Tariffs 2023'!P7)* 'Tariffs 2023'!Q7/100))),0))</f>
        <v>0</v>
      </c>
      <c r="F15" s="214">
        <f>IF('Tariffs 2023'!T7&gt;0,IF(($F$5&lt;'Tariffs 2023'!T7),(0),($F$5-'Tariffs 2023'!T7)*'Tariffs 2023'!U7/100),IF(AND('Tariffs 2023'!R7&gt;0,'Tariffs 2023'!T7=""),IF(($F$5&lt;'Tariffs 2023'!R7),(0),($F$5-'Tariffs 2023'!R7)*'Tariffs 2023'!S7/100),IF(AND('Tariffs 2023'!P7&gt;0,'Tariffs 2023'!R7=""),IF(($F$5&lt;'Tariffs 2023'!P7),(0),($F$5-'Tariffs 2023'!P7)*'Tariffs 2023'!Q7/100),0)))</f>
        <v>0</v>
      </c>
      <c r="G15" s="214">
        <f t="shared" si="11"/>
        <v>305.69166899999999</v>
      </c>
      <c r="H15" s="226">
        <f t="shared" si="12"/>
        <v>896.32485781818173</v>
      </c>
      <c r="I15" s="264">
        <f t="shared" si="13"/>
        <v>1222.766676</v>
      </c>
      <c r="J15" s="215">
        <f t="shared" si="14"/>
        <v>1345.0433436000001</v>
      </c>
      <c r="K15" s="213">
        <f>'Tariffs 2023'!AZ7</f>
        <v>0</v>
      </c>
      <c r="L15" s="213">
        <f>'Tariffs 2023'!BA7</f>
        <v>0</v>
      </c>
      <c r="M15" s="213">
        <f>'Tariffs 2023'!BB7</f>
        <v>0</v>
      </c>
      <c r="N15" s="213">
        <f>'Tariffs 2023'!BC7</f>
        <v>0</v>
      </c>
      <c r="O15" s="215">
        <f>($F$6*'Tariffs 2023'!AT7/100)*4</f>
        <v>131.01457600000001</v>
      </c>
      <c r="P15" s="216" t="str">
        <f t="shared" si="15"/>
        <v>No discount</v>
      </c>
      <c r="Q15" s="216" t="str">
        <f t="shared" si="16"/>
        <v>Exclusive</v>
      </c>
      <c r="R15" s="264">
        <f t="shared" si="17"/>
        <v>1222.766676</v>
      </c>
      <c r="S15" s="264">
        <f t="shared" si="18"/>
        <v>1222.766676</v>
      </c>
      <c r="T15" s="264">
        <f t="shared" si="19"/>
        <v>1091.7520999999999</v>
      </c>
      <c r="U15" s="264">
        <f t="shared" si="20"/>
        <v>1091.7520999999999</v>
      </c>
      <c r="V15" s="281">
        <f t="shared" si="21"/>
        <v>1200.92731</v>
      </c>
      <c r="W15" s="281">
        <f t="shared" si="22"/>
        <v>1200.92731</v>
      </c>
      <c r="X15" s="303"/>
      <c r="Y15" s="303"/>
      <c r="Z15" s="303"/>
      <c r="AA15" s="303"/>
      <c r="AB15" s="303"/>
      <c r="AC15" s="303"/>
      <c r="AD15" s="303"/>
      <c r="AE15" s="303"/>
      <c r="AF15" s="303"/>
      <c r="AG15" s="303"/>
      <c r="AH15" s="303"/>
      <c r="AI15" s="303"/>
      <c r="AJ15" s="303"/>
      <c r="AK15" s="303"/>
      <c r="AL15" s="303"/>
      <c r="AM15" s="303"/>
      <c r="AN15" s="303"/>
      <c r="AO15" s="303"/>
    </row>
    <row r="16" spans="1:41" customFormat="1" ht="13" x14ac:dyDescent="0.15">
      <c r="A16" s="303"/>
      <c r="B16" s="303"/>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row>
    <row r="17" spans="1:41" customFormat="1" thickBot="1" x14ac:dyDescent="0.2">
      <c r="A17" s="303"/>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row>
    <row r="18" spans="1:41" x14ac:dyDescent="0.15">
      <c r="A18" s="248" t="s">
        <v>30</v>
      </c>
      <c r="B18" s="249"/>
      <c r="C18" s="249"/>
      <c r="D18" s="258"/>
      <c r="E18" s="258"/>
      <c r="F18" s="258"/>
      <c r="G18" s="259"/>
      <c r="H18" s="259"/>
      <c r="I18" s="249"/>
      <c r="J18" s="249"/>
      <c r="K18" s="249"/>
      <c r="L18" s="249"/>
      <c r="M18" s="249"/>
      <c r="N18" s="249"/>
      <c r="O18" s="249"/>
      <c r="P18" s="249"/>
      <c r="Q18" s="249"/>
      <c r="R18" s="249"/>
      <c r="S18" s="249"/>
      <c r="T18" s="249"/>
      <c r="U18" s="249"/>
      <c r="V18" s="249"/>
      <c r="W18" s="249"/>
      <c r="X18" s="303"/>
      <c r="Y18" s="303"/>
      <c r="Z18" s="303"/>
      <c r="AA18" s="303"/>
      <c r="AB18" s="303"/>
      <c r="AC18" s="303"/>
      <c r="AD18" s="303"/>
      <c r="AE18" s="303"/>
      <c r="AF18" s="303"/>
      <c r="AG18" s="303"/>
      <c r="AH18" s="303"/>
      <c r="AI18" s="303"/>
      <c r="AJ18" s="303"/>
      <c r="AK18" s="303"/>
      <c r="AL18" s="303"/>
      <c r="AM18" s="303"/>
      <c r="AN18" s="303"/>
      <c r="AO18" s="303"/>
    </row>
    <row r="19" spans="1:41" ht="90" x14ac:dyDescent="0.15">
      <c r="A19" s="251" t="s">
        <v>147</v>
      </c>
      <c r="B19" s="252" t="s">
        <v>133</v>
      </c>
      <c r="C19" s="253" t="s">
        <v>184</v>
      </c>
      <c r="D19" s="253" t="s">
        <v>16</v>
      </c>
      <c r="E19" s="253" t="s">
        <v>186</v>
      </c>
      <c r="F19" s="253" t="s">
        <v>113</v>
      </c>
      <c r="G19" s="253" t="s">
        <v>74</v>
      </c>
      <c r="H19" s="261" t="s">
        <v>34</v>
      </c>
      <c r="I19" s="261" t="s">
        <v>121</v>
      </c>
      <c r="J19" s="254" t="s">
        <v>360</v>
      </c>
      <c r="K19" s="255" t="s">
        <v>119</v>
      </c>
      <c r="L19" s="255" t="s">
        <v>63</v>
      </c>
      <c r="M19" s="255" t="s">
        <v>91</v>
      </c>
      <c r="N19" s="255" t="s">
        <v>150</v>
      </c>
      <c r="O19" s="256" t="s">
        <v>430</v>
      </c>
      <c r="P19" s="262" t="s">
        <v>361</v>
      </c>
      <c r="Q19" s="262" t="s">
        <v>362</v>
      </c>
      <c r="R19" s="263" t="s">
        <v>102</v>
      </c>
      <c r="S19" s="263" t="s">
        <v>29</v>
      </c>
      <c r="T19" s="263" t="s">
        <v>226</v>
      </c>
      <c r="U19" s="263" t="s">
        <v>100</v>
      </c>
      <c r="V19" s="256" t="s">
        <v>101</v>
      </c>
      <c r="W19" s="256" t="s">
        <v>174</v>
      </c>
      <c r="X19" s="303"/>
      <c r="Y19" s="303"/>
      <c r="Z19" s="303"/>
      <c r="AA19" s="303"/>
      <c r="AB19" s="303"/>
      <c r="AC19" s="303"/>
      <c r="AD19" s="303"/>
      <c r="AE19" s="303"/>
      <c r="AF19" s="303"/>
      <c r="AG19" s="303"/>
      <c r="AH19" s="303"/>
      <c r="AI19" s="303"/>
      <c r="AJ19" s="303"/>
      <c r="AK19" s="303"/>
      <c r="AL19" s="303"/>
      <c r="AM19" s="303"/>
      <c r="AN19" s="303"/>
      <c r="AO19" s="303"/>
    </row>
    <row r="20" spans="1:41" x14ac:dyDescent="0.15">
      <c r="A20" s="212" t="str">
        <f>'Tariffs 2023'!K8</f>
        <v>ActewAGL</v>
      </c>
      <c r="B20" s="213" t="str">
        <f>'Tariffs 2023'!L8</f>
        <v>Solar Saver</v>
      </c>
      <c r="C20" s="226">
        <f>IF('Tariffs 2023'!BP8=0,91*'Tariffs 2023'!M8/100,(91*'Tariffs 2023'!M8/100)+'Tariffs 2023'!BP8/4)</f>
        <v>84.629999999999981</v>
      </c>
      <c r="D20" s="226">
        <f>IF('Tariffs 2023'!O8="",$K$5*'Tariffs 2023'!N8/100,IF($K$5&gt;='Tariffs 2023'!P8,('Tariffs 2023'!P8*'Tariffs 2023'!N8/100),($K$5*'Tariffs 2023'!N8/100)))</f>
        <v>155.0944136</v>
      </c>
      <c r="E20" s="226">
        <f>IF('Tariffs 2023'!T8&gt;0,IF(($F$5&lt;'Tariffs 2023'!T8),(0),($F$5-'Tariffs 2023'!T8)*'Tariffs 2023'!U8/100),IF(AND('Tariffs 2023'!R8&gt;0,'Tariffs 2023'!T8=""),IF(($F$5&lt;'Tariffs 2023'!R8),(0),($F$5-'Tariffs 2023'!R8)*'Tariffs 2023'!S8/100),IF(AND('Tariffs 2023'!P8&gt;0,'Tariffs 2023'!R8=""),IF(($F$5&lt;'Tariffs 2023'!P8),(0),($F$5-'Tariffs 2023'!P8)*'Tariffs 2023'!Q8/100),0)))</f>
        <v>0</v>
      </c>
      <c r="F20" s="226">
        <f>($L$5)*'Tariffs 2023'!AE8/100</f>
        <v>42.176649027272724</v>
      </c>
      <c r="G20" s="226">
        <f>SUM(C20:F20)</f>
        <v>281.90106262727272</v>
      </c>
      <c r="H20" s="226">
        <f t="shared" ref="H20:H23" si="23">(G20-C20)*4</f>
        <v>789.08425050909091</v>
      </c>
      <c r="I20" s="264">
        <f t="shared" ref="I20:I23" si="24">G20*4</f>
        <v>1127.6042505090909</v>
      </c>
      <c r="J20" s="215">
        <f>I20*1.1</f>
        <v>1240.36467556</v>
      </c>
      <c r="K20" s="213">
        <f>'Tariffs 2023'!AZ8</f>
        <v>0</v>
      </c>
      <c r="L20" s="213">
        <f>'Tariffs 2023'!BA8</f>
        <v>0</v>
      </c>
      <c r="M20" s="213">
        <f>'Tariffs 2023'!BB8</f>
        <v>0</v>
      </c>
      <c r="N20" s="213">
        <f>'Tariffs 2023'!BC8</f>
        <v>0</v>
      </c>
      <c r="O20" s="215">
        <f>($F$6*'Tariffs 2023'!AT8/100)*4</f>
        <v>446.64060000000006</v>
      </c>
      <c r="P20" s="216" t="str">
        <f t="shared" ref="P20:P23" si="25">IF(SUM(K20:N20)=0,"No discount",IF(K20&gt;0,"Guaranteed off bill",IF(L20&gt;0,"Guaranteed off usage",IF(M20&gt;0,"Pay-on-time off bill","Pay-on-time off usage"))))</f>
        <v>No discount</v>
      </c>
      <c r="Q20" s="216" t="str">
        <f t="shared" ref="Q20:Q23" si="26">IF(OR(A20="Origin Energy",A20="Red Energy",A20="Powershop"),"Inclusive","Exclusive")</f>
        <v>Exclusive</v>
      </c>
      <c r="R20" s="279">
        <f t="shared" ref="R20:R23" si="27">IF(AND(P20="Guaranteed off bill",Q20="Inclusive"),((I20*1.1)-((I20*1.1)*K20/100))/1.1,IF(AND(P20="Guaranteed off usage",Q20="Inclusive"),((I20*1.1)-((H20*1.1)*L20/100))/1.1,IF(AND(P20="Guaranteed off bill",Q20="Exclusive"),I20-(I20*K20/100),IF(AND(P20="Guaranteed off usage",Q20="Exclusive"),I20-(H20*L20/100),IF(Q20="Inclusive",((I20*1.1))/1.1,I20)))))</f>
        <v>1127.6042505090909</v>
      </c>
      <c r="S20" s="264">
        <f t="shared" ref="S20:S23" si="28">IF(AND(P20="Pay-on-time off bill",Q20="Inclusive"),((R20*1.1)-((R20*1.1)*M20/100))/1.1,IF(AND(P20="Pay-on-time off usage",Q20="Inclusive"),((R20*1.1)-((H20*1.1)*N20/100))/1.1,IF(AND(P20="Pay-on-time off bill",Q20="Exclusive"),R20-(R20*M20/100),IF(AND(P20="Pay-on-time off usage",Q20="Exclusive"),R20-(H20*N20/100),IF(Q20="Inclusive",((R20*1.1))/1.1,R20)))))</f>
        <v>1127.6042505090909</v>
      </c>
      <c r="T20" s="264">
        <f>R20-O20</f>
        <v>680.96365050909083</v>
      </c>
      <c r="U20" s="264">
        <f>S20-O20</f>
        <v>680.96365050909083</v>
      </c>
      <c r="V20" s="281">
        <f t="shared" ref="V20:W23" si="29">T20*1.1</f>
        <v>749.06001556000001</v>
      </c>
      <c r="W20" s="281">
        <f t="shared" si="29"/>
        <v>749.06001556000001</v>
      </c>
      <c r="X20" s="303"/>
      <c r="Y20" s="303"/>
      <c r="Z20" s="303"/>
      <c r="AA20" s="303"/>
      <c r="AB20" s="303"/>
      <c r="AC20" s="303"/>
      <c r="AD20" s="303"/>
      <c r="AE20" s="303"/>
      <c r="AF20" s="303"/>
      <c r="AG20" s="303"/>
      <c r="AH20" s="303"/>
      <c r="AI20" s="303"/>
      <c r="AJ20" s="303"/>
      <c r="AK20" s="303"/>
      <c r="AL20" s="303"/>
      <c r="AM20" s="303"/>
      <c r="AN20" s="303"/>
      <c r="AO20" s="303"/>
    </row>
    <row r="21" spans="1:41" x14ac:dyDescent="0.15">
      <c r="A21" s="212" t="str">
        <f>'Tariffs 2023'!K9</f>
        <v>EnergyAustralia</v>
      </c>
      <c r="B21" s="213" t="str">
        <f>'Tariffs 2023'!L9</f>
        <v>Flexi Plan</v>
      </c>
      <c r="C21" s="226">
        <f>IF('Tariffs 2023'!BP9=0,91*'Tariffs 2023'!M9/100,(91*'Tariffs 2023'!M9/100)+'Tariffs 2023'!BP9/4)</f>
        <v>84.266000000000005</v>
      </c>
      <c r="D21" s="226">
        <f>IF('Tariffs 2023'!O9="",$K$5*'Tariffs 2023'!N9/100,IF($K$5&gt;='Tariffs 2023'!P9,('Tariffs 2023'!P9*'Tariffs 2023'!N9/100),($K$5*'Tariffs 2023'!N9/100)))</f>
        <v>178.91573299090908</v>
      </c>
      <c r="E21" s="226">
        <f>IF('Tariffs 2023'!T9&gt;0,IF(($F$5&lt;'Tariffs 2023'!T9),(0),($F$5-'Tariffs 2023'!T9)*'Tariffs 2023'!U9/100),IF(AND('Tariffs 2023'!R9&gt;0,'Tariffs 2023'!T9=""),IF(($F$5&lt;'Tariffs 2023'!R9),(0),($F$5-'Tariffs 2023'!R9)*'Tariffs 2023'!S9/100),IF(AND('Tariffs 2023'!P9&gt;0,'Tariffs 2023'!R9=""),IF(($F$5&lt;'Tariffs 2023'!P9),(0),($F$5-'Tariffs 2023'!P9)*'Tariffs 2023'!Q9/100),0)))</f>
        <v>0</v>
      </c>
      <c r="F21" s="226">
        <f>($L$5)*'Tariffs 2023'!AE9/100</f>
        <v>43.394923118181815</v>
      </c>
      <c r="G21" s="226">
        <f>SUM(C21:F21)</f>
        <v>306.57665610909089</v>
      </c>
      <c r="H21" s="226">
        <f t="shared" si="23"/>
        <v>889.24262443636349</v>
      </c>
      <c r="I21" s="264">
        <f t="shared" si="24"/>
        <v>1226.3066244363636</v>
      </c>
      <c r="J21" s="215">
        <f>I21*1.1</f>
        <v>1348.9372868800001</v>
      </c>
      <c r="K21" s="213">
        <f>'Tariffs 2023'!AZ9</f>
        <v>11</v>
      </c>
      <c r="L21" s="213">
        <f>'Tariffs 2023'!BA9</f>
        <v>0</v>
      </c>
      <c r="M21" s="213">
        <f>'Tariffs 2023'!BB9</f>
        <v>0</v>
      </c>
      <c r="N21" s="213">
        <f>'Tariffs 2023'!BC9</f>
        <v>0</v>
      </c>
      <c r="O21" s="215">
        <f>($F$6*'Tariffs 2023'!AT9/100)*4</f>
        <v>226.29790400000002</v>
      </c>
      <c r="P21" s="216" t="str">
        <f t="shared" si="25"/>
        <v>Guaranteed off bill</v>
      </c>
      <c r="Q21" s="216" t="str">
        <f t="shared" si="26"/>
        <v>Exclusive</v>
      </c>
      <c r="R21" s="279">
        <f t="shared" si="27"/>
        <v>1091.4128957483636</v>
      </c>
      <c r="S21" s="264">
        <f t="shared" si="28"/>
        <v>1091.4128957483636</v>
      </c>
      <c r="T21" s="264">
        <f>R21-O21</f>
        <v>865.11499174836354</v>
      </c>
      <c r="U21" s="264">
        <f>S21-O21</f>
        <v>865.11499174836354</v>
      </c>
      <c r="V21" s="281">
        <f t="shared" si="29"/>
        <v>951.62649092319998</v>
      </c>
      <c r="W21" s="281">
        <f t="shared" si="29"/>
        <v>951.62649092319998</v>
      </c>
      <c r="X21" s="303"/>
      <c r="Y21" s="303"/>
      <c r="Z21" s="303"/>
      <c r="AA21" s="303"/>
      <c r="AB21" s="303"/>
      <c r="AC21" s="303"/>
      <c r="AD21" s="303"/>
      <c r="AE21" s="303"/>
      <c r="AF21" s="303"/>
      <c r="AG21" s="303"/>
      <c r="AH21" s="303"/>
      <c r="AI21" s="303"/>
      <c r="AJ21" s="303"/>
      <c r="AK21" s="303"/>
      <c r="AL21" s="303"/>
      <c r="AM21" s="303"/>
      <c r="AN21" s="303"/>
      <c r="AO21" s="303"/>
    </row>
    <row r="22" spans="1:41" x14ac:dyDescent="0.15">
      <c r="A22" s="212" t="str">
        <f>'Tariffs 2023'!K10</f>
        <v>Origin Energy</v>
      </c>
      <c r="B22" s="213" t="str">
        <f>'Tariffs 2023'!L10</f>
        <v>Solar Boost</v>
      </c>
      <c r="C22" s="226">
        <f>IF('Tariffs 2023'!BP10=0,91*'Tariffs 2023'!M10/100,(91*'Tariffs 2023'!M10/100)+'Tariffs 2023'!BP10/4)</f>
        <v>94.871636363636355</v>
      </c>
      <c r="D22" s="226">
        <f>IF('Tariffs 2023'!O10="",$K$5*'Tariffs 2023'!N10/100,IF($K$5&gt;='Tariffs 2023'!P10,('Tariffs 2023'!P10*'Tariffs 2023'!N10/100),($K$5*'Tariffs 2023'!N10/100)))</f>
        <v>135.8213174818182</v>
      </c>
      <c r="E22" s="226">
        <f>IF('Tariffs 2023'!T10&gt;0,IF(($F$5&lt;'Tariffs 2023'!T10),(0),($F$5-'Tariffs 2023'!T10)*'Tariffs 2023'!U10/100),IF(AND('Tariffs 2023'!R10&gt;0,'Tariffs 2023'!T10=""),IF(($F$5&lt;'Tariffs 2023'!R10),(0),($F$5-'Tariffs 2023'!R10)*'Tariffs 2023'!S10/100),IF(AND('Tariffs 2023'!P10&gt;0,'Tariffs 2023'!R10=""),IF(($F$5&lt;'Tariffs 2023'!P10),(0),($F$5-'Tariffs 2023'!P10)*'Tariffs 2023'!Q10/100),0)))</f>
        <v>0</v>
      </c>
      <c r="F22" s="226">
        <f>($L$5)*'Tariffs 2023'!AE10/100</f>
        <v>44.467004318181814</v>
      </c>
      <c r="G22" s="226">
        <f>SUM(C22:F22)</f>
        <v>275.15995816363636</v>
      </c>
      <c r="H22" s="226">
        <f t="shared" si="23"/>
        <v>721.15328720000002</v>
      </c>
      <c r="I22" s="264">
        <f t="shared" si="24"/>
        <v>1100.6398326545454</v>
      </c>
      <c r="J22" s="215">
        <f t="shared" ref="J22:J23" si="30">I22*1.1</f>
        <v>1210.7038159200001</v>
      </c>
      <c r="K22" s="213">
        <f>'Tariffs 2023'!AZ10</f>
        <v>0</v>
      </c>
      <c r="L22" s="213">
        <f>'Tariffs 2023'!BA10</f>
        <v>0</v>
      </c>
      <c r="M22" s="213">
        <f>'Tariffs 2023'!BB10</f>
        <v>0</v>
      </c>
      <c r="N22" s="213">
        <f>'Tariffs 2023'!BC10</f>
        <v>0</v>
      </c>
      <c r="O22" s="215">
        <f>($F$6*'Tariffs 2023'!AT10/100)*4</f>
        <v>357.31248000000005</v>
      </c>
      <c r="P22" s="216" t="str">
        <f t="shared" si="25"/>
        <v>No discount</v>
      </c>
      <c r="Q22" s="216" t="str">
        <f t="shared" si="26"/>
        <v>Inclusive</v>
      </c>
      <c r="R22" s="279">
        <f t="shared" si="27"/>
        <v>1100.6398326545454</v>
      </c>
      <c r="S22" s="264">
        <f t="shared" si="28"/>
        <v>1100.6398326545454</v>
      </c>
      <c r="T22" s="264">
        <f>R22-O22</f>
        <v>743.32735265454539</v>
      </c>
      <c r="U22" s="264">
        <f>S22-O22</f>
        <v>743.32735265454539</v>
      </c>
      <c r="V22" s="281">
        <f t="shared" si="29"/>
        <v>817.66008792000002</v>
      </c>
      <c r="W22" s="281">
        <f t="shared" si="29"/>
        <v>817.66008792000002</v>
      </c>
      <c r="X22" s="303"/>
      <c r="Y22" s="303"/>
      <c r="Z22" s="303"/>
      <c r="AA22" s="303"/>
      <c r="AB22" s="303"/>
      <c r="AC22" s="303"/>
      <c r="AD22" s="303"/>
      <c r="AE22" s="303"/>
      <c r="AF22" s="303"/>
      <c r="AG22" s="303"/>
      <c r="AH22" s="303"/>
      <c r="AI22" s="303"/>
      <c r="AJ22" s="303"/>
      <c r="AK22" s="303"/>
      <c r="AL22" s="303"/>
      <c r="AM22" s="303"/>
      <c r="AN22" s="303"/>
      <c r="AO22" s="303"/>
    </row>
    <row r="23" spans="1:41" x14ac:dyDescent="0.15">
      <c r="A23" s="212" t="str">
        <f>'Tariffs 2023'!K11</f>
        <v>Red Energy</v>
      </c>
      <c r="B23" s="213" t="str">
        <f>'Tariffs 2023'!L11</f>
        <v>Living Energy Saver</v>
      </c>
      <c r="C23" s="226">
        <f>IF('Tariffs 2023'!BP11=0,91*'Tariffs 2023'!M11/100,(91*'Tariffs 2023'!M11/100)+'Tariffs 2023'!BP11/4)</f>
        <v>82.809999999999988</v>
      </c>
      <c r="D23" s="226">
        <f>IF('Tariffs 2023'!O11="",$K$5*'Tariffs 2023'!N11/100,IF($K$5&gt;='Tariffs 2023'!P11,('Tariffs 2023'!P11*'Tariffs 2023'!N11/100),($K$5*'Tariffs 2023'!N11/100)))</f>
        <v>120.35735835454547</v>
      </c>
      <c r="E23" s="226">
        <f>IF('Tariffs 2023'!T11&gt;0,IF(($F$5&lt;'Tariffs 2023'!T11),(0),($F$5-'Tariffs 2023'!T11)*'Tariffs 2023'!U11/100),IF(AND('Tariffs 2023'!R11&gt;0,'Tariffs 2023'!T11=""),IF(($F$5&lt;'Tariffs 2023'!R11),(0),($F$5-'Tariffs 2023'!R11)*'Tariffs 2023'!S11/100),IF(AND('Tariffs 2023'!P11&gt;0,'Tariffs 2023'!R11=""),IF(($F$5&lt;'Tariffs 2023'!P11),(0),($F$5-'Tariffs 2023'!P11)*'Tariffs 2023'!Q11/100),0)))</f>
        <v>0</v>
      </c>
      <c r="F23" s="226">
        <f>($L$5)*'Tariffs 2023'!AE11/100</f>
        <v>34.842639000000005</v>
      </c>
      <c r="G23" s="226">
        <f>SUM(C23:F23)</f>
        <v>238.00999735454548</v>
      </c>
      <c r="H23" s="226">
        <f t="shared" si="23"/>
        <v>620.79998941818189</v>
      </c>
      <c r="I23" s="264">
        <f t="shared" si="24"/>
        <v>952.0399894181819</v>
      </c>
      <c r="J23" s="215">
        <f t="shared" si="30"/>
        <v>1047.2439883600002</v>
      </c>
      <c r="K23" s="213">
        <f>'Tariffs 2023'!AZ11</f>
        <v>0</v>
      </c>
      <c r="L23" s="213">
        <f>'Tariffs 2023'!BA11</f>
        <v>0</v>
      </c>
      <c r="M23" s="213">
        <f>'Tariffs 2023'!BB11</f>
        <v>0</v>
      </c>
      <c r="N23" s="213">
        <f>'Tariffs 2023'!BC11</f>
        <v>0</v>
      </c>
      <c r="O23" s="215">
        <f>($F$6*'Tariffs 2023'!AT11/100)*4</f>
        <v>178.65624000000003</v>
      </c>
      <c r="P23" s="216" t="str">
        <f t="shared" si="25"/>
        <v>No discount</v>
      </c>
      <c r="Q23" s="216" t="str">
        <f t="shared" si="26"/>
        <v>Inclusive</v>
      </c>
      <c r="R23" s="279">
        <f t="shared" si="27"/>
        <v>952.0399894181819</v>
      </c>
      <c r="S23" s="264">
        <f t="shared" si="28"/>
        <v>952.0399894181819</v>
      </c>
      <c r="T23" s="264">
        <f>R23-O23</f>
        <v>773.38374941818188</v>
      </c>
      <c r="U23" s="264">
        <f>S23-O23</f>
        <v>773.38374941818188</v>
      </c>
      <c r="V23" s="281">
        <f t="shared" si="29"/>
        <v>850.72212436000018</v>
      </c>
      <c r="W23" s="281">
        <f t="shared" si="29"/>
        <v>850.72212436000018</v>
      </c>
      <c r="X23" s="303"/>
      <c r="Y23" s="303"/>
      <c r="Z23" s="303"/>
      <c r="AA23" s="303"/>
      <c r="AB23" s="303"/>
      <c r="AC23" s="303"/>
      <c r="AD23" s="303"/>
      <c r="AE23" s="303"/>
      <c r="AF23" s="303"/>
      <c r="AG23" s="303"/>
      <c r="AH23" s="303"/>
      <c r="AI23" s="303"/>
      <c r="AJ23" s="303"/>
      <c r="AK23" s="303"/>
      <c r="AL23" s="303"/>
      <c r="AM23" s="303"/>
      <c r="AN23" s="303"/>
      <c r="AO23" s="303"/>
    </row>
    <row r="24" spans="1:41" customFormat="1" ht="13" x14ac:dyDescent="0.15">
      <c r="A24" s="303"/>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row>
    <row r="25" spans="1:41" customFormat="1" thickBot="1" x14ac:dyDescent="0.2">
      <c r="A25" s="303"/>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row>
    <row r="26" spans="1:41" x14ac:dyDescent="0.15">
      <c r="A26" s="248" t="s">
        <v>11</v>
      </c>
      <c r="B26" s="249"/>
      <c r="C26" s="249"/>
      <c r="D26" s="249"/>
      <c r="E26" s="249"/>
      <c r="F26" s="249"/>
      <c r="G26" s="249"/>
      <c r="H26" s="249"/>
      <c r="I26" s="249"/>
      <c r="J26" s="249"/>
      <c r="K26" s="249"/>
      <c r="L26" s="249"/>
      <c r="M26" s="249"/>
      <c r="N26" s="249"/>
      <c r="O26" s="249"/>
      <c r="P26" s="249"/>
      <c r="Q26" s="249"/>
      <c r="R26" s="249"/>
      <c r="S26" s="249"/>
      <c r="T26" s="249"/>
      <c r="U26" s="249"/>
      <c r="V26" s="249"/>
      <c r="W26" s="249"/>
      <c r="X26" s="303"/>
      <c r="Y26" s="303"/>
      <c r="Z26" s="303"/>
      <c r="AA26" s="303"/>
      <c r="AB26" s="303"/>
      <c r="AC26" s="303"/>
      <c r="AD26" s="303"/>
      <c r="AE26" s="303"/>
      <c r="AF26" s="303"/>
      <c r="AG26" s="303"/>
      <c r="AH26" s="303"/>
      <c r="AI26" s="303"/>
      <c r="AJ26" s="303"/>
      <c r="AK26" s="303"/>
      <c r="AL26" s="303"/>
      <c r="AM26" s="303"/>
      <c r="AN26" s="303"/>
      <c r="AO26" s="303"/>
    </row>
    <row r="27" spans="1:41" ht="90" x14ac:dyDescent="0.15">
      <c r="A27" s="251" t="s">
        <v>147</v>
      </c>
      <c r="B27" s="252" t="s">
        <v>133</v>
      </c>
      <c r="C27" s="253" t="s">
        <v>184</v>
      </c>
      <c r="D27" s="253" t="s">
        <v>16</v>
      </c>
      <c r="E27" s="253" t="s">
        <v>32</v>
      </c>
      <c r="F27" s="253" t="s">
        <v>33</v>
      </c>
      <c r="G27" s="253" t="s">
        <v>74</v>
      </c>
      <c r="H27" s="261" t="s">
        <v>34</v>
      </c>
      <c r="I27" s="261" t="s">
        <v>121</v>
      </c>
      <c r="J27" s="254" t="s">
        <v>360</v>
      </c>
      <c r="K27" s="255" t="s">
        <v>119</v>
      </c>
      <c r="L27" s="255" t="s">
        <v>63</v>
      </c>
      <c r="M27" s="255" t="s">
        <v>91</v>
      </c>
      <c r="N27" s="255" t="s">
        <v>150</v>
      </c>
      <c r="O27" s="256" t="s">
        <v>430</v>
      </c>
      <c r="P27" s="262" t="s">
        <v>361</v>
      </c>
      <c r="Q27" s="262" t="s">
        <v>362</v>
      </c>
      <c r="R27" s="263" t="s">
        <v>102</v>
      </c>
      <c r="S27" s="263" t="s">
        <v>29</v>
      </c>
      <c r="T27" s="263" t="s">
        <v>226</v>
      </c>
      <c r="U27" s="263" t="s">
        <v>100</v>
      </c>
      <c r="V27" s="256" t="s">
        <v>101</v>
      </c>
      <c r="W27" s="256" t="s">
        <v>174</v>
      </c>
      <c r="X27" s="303"/>
      <c r="Y27" s="303"/>
      <c r="Z27" s="303"/>
      <c r="AA27" s="303"/>
      <c r="AB27" s="303"/>
      <c r="AC27" s="303"/>
      <c r="AD27" s="303"/>
      <c r="AE27" s="303"/>
      <c r="AF27" s="303"/>
      <c r="AG27" s="303"/>
      <c r="AH27" s="303"/>
      <c r="AI27" s="303"/>
      <c r="AJ27" s="303"/>
      <c r="AK27" s="303"/>
      <c r="AL27" s="303"/>
      <c r="AM27" s="303"/>
      <c r="AN27" s="303"/>
      <c r="AO27" s="303"/>
    </row>
    <row r="28" spans="1:41" x14ac:dyDescent="0.15">
      <c r="A28" s="212" t="str">
        <f>'Tariffs 2023'!K12</f>
        <v>ActewAGL</v>
      </c>
      <c r="B28" s="213" t="str">
        <f>'Tariffs 2023'!L12</f>
        <v>Solar Saver</v>
      </c>
      <c r="C28" s="226">
        <f>IF('Tariffs 2023'!BP12=0,91*'Tariffs 2023'!M12/100,(91*'Tariffs 2023'!M12/100)+'Tariffs 2023'!BP12/4)</f>
        <v>84.629999999999981</v>
      </c>
      <c r="D28" s="226">
        <f>IF('Tariffs 2023'!O12="",$K$6*'Tariffs 2023'!N12/100,IF($K$6&gt;='Tariffs 2023'!P12,('Tariffs 2023'!P12*'Tariffs 2023'!N12/100),($K$6*'Tariffs 2023'!N12/100)))</f>
        <v>58.964465999999994</v>
      </c>
      <c r="E28" s="226">
        <f>($M$6)*'Tariffs 2023'!AH12/100</f>
        <v>101.847714</v>
      </c>
      <c r="F28" s="226">
        <f>($L$6)*'Tariffs 2023'!W12/100</f>
        <v>52.531978799999997</v>
      </c>
      <c r="G28" s="226">
        <f t="shared" ref="G28:G31" si="31">SUM(C28:F28)</f>
        <v>297.9741588</v>
      </c>
      <c r="H28" s="226">
        <f t="shared" ref="H28:H31" si="32">(G28-C28)*4</f>
        <v>853.37663520000001</v>
      </c>
      <c r="I28" s="264">
        <f t="shared" ref="I28:I31" si="33">G28*4</f>
        <v>1191.8966352</v>
      </c>
      <c r="J28" s="215">
        <f>I28*1.1</f>
        <v>1311.0862987200001</v>
      </c>
      <c r="K28" s="213">
        <f>'Tariffs 2023'!AZ12</f>
        <v>0</v>
      </c>
      <c r="L28" s="213">
        <f>'Tariffs 2023'!BA12</f>
        <v>0</v>
      </c>
      <c r="M28" s="213">
        <f>'Tariffs 2023'!BB12</f>
        <v>0</v>
      </c>
      <c r="N28" s="213">
        <f>'Tariffs 2023'!BC12</f>
        <v>0</v>
      </c>
      <c r="O28" s="215">
        <f>($F$6*'Tariffs 2023'!AT12/100)*4</f>
        <v>446.64060000000006</v>
      </c>
      <c r="P28" s="216" t="str">
        <f t="shared" ref="P28:P31" si="34">IF(SUM(K28:N28)=0,"No discount",IF(K28&gt;0,"Guaranteed off bill",IF(L28&gt;0,"Guaranteed off usage",IF(M28&gt;0,"Pay-on-time off bill","Pay-on-time off usage"))))</f>
        <v>No discount</v>
      </c>
      <c r="Q28" s="216" t="str">
        <f t="shared" ref="Q28:Q31" si="35">IF(OR(A28="Origin Energy",A28="Red Energy",A28="Powershop"),"Inclusive","Exclusive")</f>
        <v>Exclusive</v>
      </c>
      <c r="R28" s="279">
        <f t="shared" ref="R28:R31" si="36">IF(AND(P28="Guaranteed off bill",Q28="Inclusive"),((I28*1.1)-((I28*1.1)*K28/100))/1.1,IF(AND(P28="Guaranteed off usage",Q28="Inclusive"),((I28*1.1)-((H28*1.1)*L28/100))/1.1,IF(AND(P28="Guaranteed off bill",Q28="Exclusive"),I28-(I28*K28/100),IF(AND(P28="Guaranteed off usage",Q28="Exclusive"),I28-(H28*L28/100),IF(Q28="Inclusive",((I28*1.1))/1.1,I28)))))</f>
        <v>1191.8966352</v>
      </c>
      <c r="S28" s="264">
        <f t="shared" ref="S28:S31" si="37">IF(AND(P28="Pay-on-time off bill",Q28="Inclusive"),((R28*1.1)-((R28*1.1)*M28/100))/1.1,IF(AND(P28="Pay-on-time off usage",Q28="Inclusive"),((R28*1.1)-((H28*1.1)*N28/100))/1.1,IF(AND(P28="Pay-on-time off bill",Q28="Exclusive"),R28-(R28*M28/100),IF(AND(P28="Pay-on-time off usage",Q28="Exclusive"),R28-(H28*N28/100),IF(Q28="Inclusive",((R28*1.1))/1.1,R28)))))</f>
        <v>1191.8966352</v>
      </c>
      <c r="T28" s="264">
        <f t="shared" ref="T28:T31" si="38">R28-O28</f>
        <v>745.25603519999993</v>
      </c>
      <c r="U28" s="264">
        <f t="shared" ref="U28:U31" si="39">S28-O28</f>
        <v>745.25603519999993</v>
      </c>
      <c r="V28" s="281">
        <f t="shared" ref="V28:W31" si="40">T28*1.1</f>
        <v>819.78163871999993</v>
      </c>
      <c r="W28" s="281">
        <f t="shared" si="40"/>
        <v>819.78163871999993</v>
      </c>
      <c r="X28" s="303"/>
      <c r="Y28" s="303"/>
      <c r="Z28" s="303"/>
      <c r="AA28" s="303"/>
      <c r="AB28" s="303"/>
      <c r="AC28" s="303"/>
      <c r="AD28" s="303"/>
      <c r="AE28" s="303"/>
      <c r="AF28" s="303"/>
      <c r="AG28" s="303"/>
      <c r="AH28" s="303"/>
      <c r="AI28" s="303"/>
      <c r="AJ28" s="303"/>
      <c r="AK28" s="303"/>
      <c r="AL28" s="303"/>
      <c r="AM28" s="303"/>
      <c r="AN28" s="303"/>
      <c r="AO28" s="303"/>
    </row>
    <row r="29" spans="1:41" x14ac:dyDescent="0.15">
      <c r="A29" s="212" t="str">
        <f>'Tariffs 2023'!K13</f>
        <v>EnergyAustralia</v>
      </c>
      <c r="B29" s="213" t="str">
        <f>'Tariffs 2023'!L13</f>
        <v>Flexi Plan</v>
      </c>
      <c r="C29" s="226">
        <f>IF('Tariffs 2023'!BP13=0,91*'Tariffs 2023'!M13/100,(91*'Tariffs 2023'!M13/100)+'Tariffs 2023'!BP13/4)</f>
        <v>78.259999999999991</v>
      </c>
      <c r="D29" s="226">
        <f>IF('Tariffs 2023'!O13="",$K$6*'Tariffs 2023'!N13/100,IF($K$6&gt;='Tariffs 2023'!P13,('Tariffs 2023'!P13*'Tariffs 2023'!N13/100),($K$6*'Tariffs 2023'!N13/100)))</f>
        <v>59.874110654545454</v>
      </c>
      <c r="E29" s="226">
        <f>($M$6)*'Tariffs 2023'!AH13/100</f>
        <v>108.42639409090908</v>
      </c>
      <c r="F29" s="226">
        <f>($L$6)*'Tariffs 2023'!W13/100</f>
        <v>49.315735199999999</v>
      </c>
      <c r="G29" s="226">
        <f t="shared" si="31"/>
        <v>295.87623994545453</v>
      </c>
      <c r="H29" s="226">
        <f t="shared" si="32"/>
        <v>870.46495978181815</v>
      </c>
      <c r="I29" s="264">
        <f t="shared" si="33"/>
        <v>1183.5049597818181</v>
      </c>
      <c r="J29" s="215">
        <f>I29*1.1</f>
        <v>1301.85545576</v>
      </c>
      <c r="K29" s="213">
        <f>'Tariffs 2023'!AZ13</f>
        <v>11</v>
      </c>
      <c r="L29" s="213">
        <f>'Tariffs 2023'!BA13</f>
        <v>0</v>
      </c>
      <c r="M29" s="213">
        <f>'Tariffs 2023'!BB13</f>
        <v>0</v>
      </c>
      <c r="N29" s="213">
        <f>'Tariffs 2023'!BC13</f>
        <v>0</v>
      </c>
      <c r="O29" s="215">
        <f>($F$6*'Tariffs 2023'!AT13/100)*4</f>
        <v>226.29790400000002</v>
      </c>
      <c r="P29" s="216" t="str">
        <f t="shared" si="34"/>
        <v>Guaranteed off bill</v>
      </c>
      <c r="Q29" s="216" t="str">
        <f t="shared" si="35"/>
        <v>Exclusive</v>
      </c>
      <c r="R29" s="279">
        <f t="shared" si="36"/>
        <v>1053.3194142058182</v>
      </c>
      <c r="S29" s="264">
        <f t="shared" si="37"/>
        <v>1053.3194142058182</v>
      </c>
      <c r="T29" s="264">
        <f t="shared" si="38"/>
        <v>827.02151020581823</v>
      </c>
      <c r="U29" s="264">
        <f t="shared" si="39"/>
        <v>827.02151020581823</v>
      </c>
      <c r="V29" s="281">
        <f t="shared" si="40"/>
        <v>909.72366122640017</v>
      </c>
      <c r="W29" s="281">
        <f t="shared" si="40"/>
        <v>909.72366122640017</v>
      </c>
      <c r="X29" s="303"/>
      <c r="Y29" s="303"/>
      <c r="Z29" s="303"/>
      <c r="AA29" s="303"/>
      <c r="AB29" s="303"/>
      <c r="AC29" s="303"/>
      <c r="AD29" s="303"/>
      <c r="AE29" s="303"/>
      <c r="AF29" s="303"/>
      <c r="AG29" s="303"/>
      <c r="AH29" s="303"/>
      <c r="AI29" s="303"/>
      <c r="AJ29" s="303"/>
      <c r="AK29" s="303"/>
      <c r="AL29" s="303"/>
      <c r="AM29" s="303"/>
      <c r="AN29" s="303"/>
      <c r="AO29" s="303"/>
    </row>
    <row r="30" spans="1:41" x14ac:dyDescent="0.15">
      <c r="A30" s="212" t="str">
        <f>'Tariffs 2023'!K14</f>
        <v>Origin Energy</v>
      </c>
      <c r="B30" s="213" t="str">
        <f>'Tariffs 2023'!L14</f>
        <v>Solar Boost</v>
      </c>
      <c r="C30" s="226">
        <f>IF('Tariffs 2023'!BP14=0,91*'Tariffs 2023'!M14/100,(91*'Tariffs 2023'!M14/100)+'Tariffs 2023'!BP14/4)</f>
        <v>94.871636363636355</v>
      </c>
      <c r="D30" s="226">
        <f>IF('Tariffs 2023'!O14="",$K$6*'Tariffs 2023'!N14/100,IF($K$6&gt;='Tariffs 2023'!P14,('Tariffs 2023'!P14*'Tariffs 2023'!N14/100),($K$6*'Tariffs 2023'!N14/100)))</f>
        <v>61.920811127272721</v>
      </c>
      <c r="E30" s="226">
        <f>($M$6)*'Tariffs 2023'!AH14/100</f>
        <v>108.994922</v>
      </c>
      <c r="F30" s="226">
        <f>($L$6)*'Tariffs 2023'!W14/100</f>
        <v>51.459897600000005</v>
      </c>
      <c r="G30" s="226">
        <f t="shared" si="31"/>
        <v>317.24726709090908</v>
      </c>
      <c r="H30" s="226">
        <f t="shared" si="32"/>
        <v>889.50252290909089</v>
      </c>
      <c r="I30" s="264">
        <f t="shared" si="33"/>
        <v>1268.9890683636363</v>
      </c>
      <c r="J30" s="215">
        <f t="shared" ref="J30:J31" si="41">I30*1.1</f>
        <v>1395.8879752</v>
      </c>
      <c r="K30" s="213">
        <f>'Tariffs 2023'!AZ14</f>
        <v>0</v>
      </c>
      <c r="L30" s="213">
        <f>'Tariffs 2023'!BA14</f>
        <v>0</v>
      </c>
      <c r="M30" s="213">
        <f>'Tariffs 2023'!BB14</f>
        <v>0</v>
      </c>
      <c r="N30" s="213">
        <f>'Tariffs 2023'!BC14</f>
        <v>0</v>
      </c>
      <c r="O30" s="215">
        <f>($F$6*'Tariffs 2023'!AT14/100)*4</f>
        <v>357.31248000000005</v>
      </c>
      <c r="P30" s="216" t="str">
        <f t="shared" si="34"/>
        <v>No discount</v>
      </c>
      <c r="Q30" s="216" t="str">
        <f t="shared" si="35"/>
        <v>Inclusive</v>
      </c>
      <c r="R30" s="279">
        <f t="shared" si="36"/>
        <v>1268.9890683636363</v>
      </c>
      <c r="S30" s="264">
        <f t="shared" si="37"/>
        <v>1268.9890683636363</v>
      </c>
      <c r="T30" s="264">
        <f t="shared" si="38"/>
        <v>911.67658836363626</v>
      </c>
      <c r="U30" s="264">
        <f t="shared" si="39"/>
        <v>911.67658836363626</v>
      </c>
      <c r="V30" s="281">
        <f t="shared" si="40"/>
        <v>1002.8442471999999</v>
      </c>
      <c r="W30" s="281">
        <f t="shared" si="40"/>
        <v>1002.8442471999999</v>
      </c>
      <c r="X30" s="303"/>
      <c r="Y30" s="303"/>
      <c r="Z30" s="303"/>
      <c r="AA30" s="303"/>
      <c r="AB30" s="303"/>
      <c r="AC30" s="303"/>
      <c r="AD30" s="303"/>
      <c r="AE30" s="303"/>
      <c r="AF30" s="303"/>
      <c r="AG30" s="303"/>
      <c r="AH30" s="303"/>
      <c r="AI30" s="303"/>
      <c r="AJ30" s="303"/>
      <c r="AK30" s="303"/>
      <c r="AL30" s="303"/>
      <c r="AM30" s="303"/>
      <c r="AN30" s="303"/>
      <c r="AO30" s="303"/>
    </row>
    <row r="31" spans="1:41" x14ac:dyDescent="0.15">
      <c r="A31" s="212" t="str">
        <f>'Tariffs 2023'!K15</f>
        <v>Red Energy</v>
      </c>
      <c r="B31" s="213" t="str">
        <f>'Tariffs 2023'!L15</f>
        <v>Living Energy Saver</v>
      </c>
      <c r="C31" s="226">
        <f>IF('Tariffs 2023'!BP15=0,91*'Tariffs 2023'!M15/100,(91*'Tariffs 2023'!M15/100)+'Tariffs 2023'!BP15/4)</f>
        <v>82.809999999999988</v>
      </c>
      <c r="D31" s="226">
        <f>IF('Tariffs 2023'!O15="",$K$6*'Tariffs 2023'!N15/100,IF($K$6&gt;='Tariffs 2023'!P15,('Tariffs 2023'!P15*'Tariffs 2023'!N15/100),($K$6*'Tariffs 2023'!N15/100)))</f>
        <v>46.814212400000002</v>
      </c>
      <c r="E31" s="226">
        <f>($M$6)*'Tariffs 2023'!AH15/100</f>
        <v>79.512688999999995</v>
      </c>
      <c r="F31" s="226">
        <f>($L$6)*'Tariffs 2023'!W15/100</f>
        <v>38.8629435</v>
      </c>
      <c r="G31" s="226">
        <f t="shared" si="31"/>
        <v>247.99984489999997</v>
      </c>
      <c r="H31" s="226">
        <f t="shared" si="32"/>
        <v>660.75937959999987</v>
      </c>
      <c r="I31" s="264">
        <f t="shared" si="33"/>
        <v>991.99937959999988</v>
      </c>
      <c r="J31" s="215">
        <f t="shared" si="41"/>
        <v>1091.1993175600001</v>
      </c>
      <c r="K31" s="213">
        <f>'Tariffs 2023'!AZ15</f>
        <v>0</v>
      </c>
      <c r="L31" s="213">
        <f>'Tariffs 2023'!BA15</f>
        <v>0</v>
      </c>
      <c r="M31" s="213">
        <f>'Tariffs 2023'!BB15</f>
        <v>0</v>
      </c>
      <c r="N31" s="213">
        <f>'Tariffs 2023'!BC15</f>
        <v>0</v>
      </c>
      <c r="O31" s="215">
        <f>($F$6*'Tariffs 2023'!AT15/100)*4</f>
        <v>178.65624000000003</v>
      </c>
      <c r="P31" s="216" t="str">
        <f t="shared" si="34"/>
        <v>No discount</v>
      </c>
      <c r="Q31" s="216" t="str">
        <f t="shared" si="35"/>
        <v>Inclusive</v>
      </c>
      <c r="R31" s="279">
        <f t="shared" si="36"/>
        <v>991.9993796</v>
      </c>
      <c r="S31" s="264">
        <f t="shared" si="37"/>
        <v>991.9993796</v>
      </c>
      <c r="T31" s="264">
        <f t="shared" si="38"/>
        <v>813.34313959999997</v>
      </c>
      <c r="U31" s="264">
        <f t="shared" si="39"/>
        <v>813.34313959999997</v>
      </c>
      <c r="V31" s="281">
        <f t="shared" si="40"/>
        <v>894.67745356</v>
      </c>
      <c r="W31" s="281">
        <f t="shared" si="40"/>
        <v>894.67745356</v>
      </c>
      <c r="X31" s="303"/>
      <c r="Y31" s="303"/>
      <c r="Z31" s="303"/>
      <c r="AA31" s="303"/>
      <c r="AB31" s="303"/>
      <c r="AC31" s="303"/>
      <c r="AD31" s="303"/>
      <c r="AE31" s="303"/>
      <c r="AF31" s="303"/>
      <c r="AG31" s="303"/>
      <c r="AH31" s="303"/>
      <c r="AI31" s="303"/>
      <c r="AJ31" s="303"/>
      <c r="AK31" s="303"/>
      <c r="AL31" s="303"/>
      <c r="AM31" s="303"/>
      <c r="AN31" s="303"/>
      <c r="AO31" s="303"/>
    </row>
    <row r="32" spans="1:41" customFormat="1" x14ac:dyDescent="0.15">
      <c r="A32" s="212" t="str">
        <f>'Tariffs 2023'!K16</f>
        <v>Energy Locals</v>
      </c>
      <c r="B32" s="213" t="str">
        <f>'Tariffs 2023'!L16</f>
        <v>Local Member</v>
      </c>
      <c r="C32" s="226">
        <f>IF('Tariffs 2023'!BP16=0,91*'Tariffs 2023'!M16/100,(91*'Tariffs 2023'!M16/100)+'Tariffs 2023'!BP16/4)</f>
        <v>107.41818181818181</v>
      </c>
      <c r="D32" s="226">
        <f>IF('Tariffs 2023'!O16="",$K$6*'Tariffs 2023'!N16/100,IF($K$6&gt;='Tariffs 2023'!P16,('Tariffs 2023'!P16*'Tariffs 2023'!N16/100),($K$6*'Tariffs 2023'!N16/100)))</f>
        <v>53.604059999999997</v>
      </c>
      <c r="E32" s="226">
        <f>($M$6)*'Tariffs 2023'!AH16/100</f>
        <v>101.52284090909092</v>
      </c>
      <c r="F32" s="226">
        <f>($L$6)*'Tariffs 2023'!W16/100</f>
        <v>54.822334090909088</v>
      </c>
      <c r="G32" s="226">
        <f t="shared" ref="G32:G33" si="42">SUM(C32:F32)</f>
        <v>317.36741681818182</v>
      </c>
      <c r="H32" s="226">
        <f t="shared" ref="H32:H33" si="43">(G32-C32)*4</f>
        <v>839.79694000000006</v>
      </c>
      <c r="I32" s="264">
        <f t="shared" ref="I32:I33" si="44">G32*4</f>
        <v>1269.4696672727273</v>
      </c>
      <c r="J32" s="215">
        <f t="shared" ref="J32:J33" si="45">I32*1.1</f>
        <v>1396.4166340000002</v>
      </c>
      <c r="K32" s="213">
        <f>'Tariffs 2023'!AZ16</f>
        <v>0</v>
      </c>
      <c r="L32" s="213">
        <f>'Tariffs 2023'!BA16</f>
        <v>0</v>
      </c>
      <c r="M32" s="213">
        <f>'Tariffs 2023'!BB16</f>
        <v>0</v>
      </c>
      <c r="N32" s="213">
        <f>'Tariffs 2023'!BC16</f>
        <v>0</v>
      </c>
      <c r="O32" s="215">
        <f>($F$6*'Tariffs 2023'!AT16/100)*4</f>
        <v>211.40988400000003</v>
      </c>
      <c r="P32" s="216" t="str">
        <f t="shared" ref="P32:P33" si="46">IF(SUM(K32:N32)=0,"No discount",IF(K32&gt;0,"Guaranteed off bill",IF(L32&gt;0,"Guaranteed off usage",IF(M32&gt;0,"Pay-on-time off bill","Pay-on-time off usage"))))</f>
        <v>No discount</v>
      </c>
      <c r="Q32" s="216" t="str">
        <f t="shared" ref="Q32:Q33" si="47">IF(OR(A32="Origin Energy",A32="Red Energy",A32="Powershop"),"Inclusive","Exclusive")</f>
        <v>Exclusive</v>
      </c>
      <c r="R32" s="279">
        <f t="shared" ref="R32:R33" si="48">IF(AND(P32="Guaranteed off bill",Q32="Inclusive"),((I32*1.1)-((I32*1.1)*K32/100))/1.1,IF(AND(P32="Guaranteed off usage",Q32="Inclusive"),((I32*1.1)-((H32*1.1)*L32/100))/1.1,IF(AND(P32="Guaranteed off bill",Q32="Exclusive"),I32-(I32*K32/100),IF(AND(P32="Guaranteed off usage",Q32="Exclusive"),I32-(H32*L32/100),IF(Q32="Inclusive",((I32*1.1))/1.1,I32)))))</f>
        <v>1269.4696672727273</v>
      </c>
      <c r="S32" s="264">
        <f t="shared" ref="S32:S33" si="49">IF(AND(P32="Pay-on-time off bill",Q32="Inclusive"),((R32*1.1)-((R32*1.1)*M32/100))/1.1,IF(AND(P32="Pay-on-time off usage",Q32="Inclusive"),((R32*1.1)-((H32*1.1)*N32/100))/1.1,IF(AND(P32="Pay-on-time off bill",Q32="Exclusive"),R32-(R32*M32/100),IF(AND(P32="Pay-on-time off usage",Q32="Exclusive"),R32-(H32*N32/100),IF(Q32="Inclusive",((R32*1.1))/1.1,R32)))))</f>
        <v>1269.4696672727273</v>
      </c>
      <c r="T32" s="264">
        <f t="shared" ref="T32:T33" si="50">R32-O32</f>
        <v>1058.0597832727271</v>
      </c>
      <c r="U32" s="264">
        <f t="shared" ref="U32:U33" si="51">S32-O32</f>
        <v>1058.0597832727271</v>
      </c>
      <c r="V32" s="281">
        <f t="shared" ref="V32:V33" si="52">T32*1.1</f>
        <v>1163.8657616</v>
      </c>
      <c r="W32" s="281">
        <f t="shared" ref="W32:W33" si="53">U32*1.1</f>
        <v>1163.8657616</v>
      </c>
      <c r="X32" s="303"/>
      <c r="Y32" s="303"/>
      <c r="Z32" s="303"/>
      <c r="AA32" s="303"/>
      <c r="AB32" s="303"/>
      <c r="AC32" s="303"/>
      <c r="AD32" s="303"/>
      <c r="AE32" s="303"/>
      <c r="AF32" s="303"/>
      <c r="AG32" s="303"/>
      <c r="AH32" s="303"/>
      <c r="AI32" s="303"/>
      <c r="AJ32" s="303"/>
      <c r="AK32" s="303"/>
      <c r="AL32" s="303"/>
      <c r="AM32" s="303"/>
      <c r="AN32" s="303"/>
      <c r="AO32" s="303"/>
    </row>
    <row r="33" spans="1:41" customFormat="1" x14ac:dyDescent="0.15">
      <c r="A33" s="212" t="str">
        <f>'Tariffs 2023'!K17</f>
        <v>Nectr</v>
      </c>
      <c r="B33" s="213" t="str">
        <f>'Tariffs 2023'!L17</f>
        <v>100% Clean</v>
      </c>
      <c r="C33" s="226">
        <f>IF('Tariffs 2023'!BP17=0,91*'Tariffs 2023'!M17/100,(91*'Tariffs 2023'!M17/100)+'Tariffs 2023'!BP17/4)</f>
        <v>81.51945454545455</v>
      </c>
      <c r="D33" s="226">
        <f>IF('Tariffs 2023'!O17="",$K$6*'Tariffs 2023'!N17/100,IF($K$6&gt;='Tariffs 2023'!P17,('Tariffs 2023'!P17*'Tariffs 2023'!N17/100),($K$6*'Tariffs 2023'!N17/100)))</f>
        <v>60.426394909090916</v>
      </c>
      <c r="E33" s="226">
        <f>($M$6)*'Tariffs 2023'!AH17/100</f>
        <v>111.18781536363636</v>
      </c>
      <c r="F33" s="226">
        <f>($L$6)*'Tariffs 2023'!W17/100</f>
        <v>45.319796181818191</v>
      </c>
      <c r="G33" s="226">
        <f t="shared" si="42"/>
        <v>298.453461</v>
      </c>
      <c r="H33" s="226">
        <f t="shared" si="43"/>
        <v>867.73602581818182</v>
      </c>
      <c r="I33" s="264">
        <f t="shared" si="44"/>
        <v>1193.813844</v>
      </c>
      <c r="J33" s="215">
        <f t="shared" si="45"/>
        <v>1313.1952284000001</v>
      </c>
      <c r="K33" s="213">
        <f>'Tariffs 2023'!AZ17</f>
        <v>0</v>
      </c>
      <c r="L33" s="213">
        <f>'Tariffs 2023'!BA17</f>
        <v>0</v>
      </c>
      <c r="M33" s="213">
        <f>'Tariffs 2023'!BB17</f>
        <v>0</v>
      </c>
      <c r="N33" s="213">
        <f>'Tariffs 2023'!BC17</f>
        <v>0</v>
      </c>
      <c r="O33" s="215">
        <f>($F$6*'Tariffs 2023'!AT17/100)*4</f>
        <v>131.01457600000001</v>
      </c>
      <c r="P33" s="216" t="str">
        <f t="shared" si="46"/>
        <v>No discount</v>
      </c>
      <c r="Q33" s="216" t="str">
        <f t="shared" si="47"/>
        <v>Exclusive</v>
      </c>
      <c r="R33" s="279">
        <f t="shared" si="48"/>
        <v>1193.813844</v>
      </c>
      <c r="S33" s="264">
        <f t="shared" si="49"/>
        <v>1193.813844</v>
      </c>
      <c r="T33" s="264">
        <f t="shared" si="50"/>
        <v>1062.799268</v>
      </c>
      <c r="U33" s="264">
        <f t="shared" si="51"/>
        <v>1062.799268</v>
      </c>
      <c r="V33" s="281">
        <f t="shared" si="52"/>
        <v>1169.0791948000001</v>
      </c>
      <c r="W33" s="281">
        <f t="shared" si="53"/>
        <v>1169.0791948000001</v>
      </c>
      <c r="X33" s="303"/>
      <c r="Y33" s="303"/>
      <c r="Z33" s="303"/>
      <c r="AA33" s="303"/>
      <c r="AB33" s="303"/>
      <c r="AC33" s="303"/>
      <c r="AD33" s="303"/>
      <c r="AE33" s="303"/>
      <c r="AF33" s="303"/>
      <c r="AG33" s="303"/>
      <c r="AH33" s="303"/>
      <c r="AI33" s="303"/>
      <c r="AJ33" s="303"/>
      <c r="AK33" s="303"/>
      <c r="AL33" s="303"/>
      <c r="AM33" s="303"/>
      <c r="AN33" s="303"/>
      <c r="AO33" s="303"/>
    </row>
    <row r="34" spans="1:41" customFormat="1" ht="13" x14ac:dyDescent="0.15">
      <c r="A34" s="303"/>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row>
    <row r="35" spans="1:41" customFormat="1" ht="13" x14ac:dyDescent="0.15">
      <c r="A35" s="303"/>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row>
    <row r="36" spans="1:41" customFormat="1" ht="13" x14ac:dyDescent="0.15">
      <c r="A36" s="303"/>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row>
    <row r="37" spans="1:41" customFormat="1" ht="13" x14ac:dyDescent="0.15">
      <c r="A37" s="303"/>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row>
    <row r="38" spans="1:41" customFormat="1" ht="13" x14ac:dyDescent="0.15">
      <c r="A38" s="303"/>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row>
    <row r="39" spans="1:41" customFormat="1" ht="13" x14ac:dyDescent="0.15">
      <c r="A39" s="303"/>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row>
    <row r="40" spans="1:41" customFormat="1" ht="13" x14ac:dyDescent="0.15">
      <c r="A40" s="303"/>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row>
    <row r="41" spans="1:41" customFormat="1" ht="13" x14ac:dyDescent="0.15">
      <c r="A41" s="303"/>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row>
    <row r="42" spans="1:41" customFormat="1" ht="13" x14ac:dyDescent="0.15">
      <c r="A42" s="303"/>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row>
    <row r="43" spans="1:41" customFormat="1" ht="13" x14ac:dyDescent="0.15">
      <c r="A43" s="303"/>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row>
    <row r="44" spans="1:41" customFormat="1" ht="13" x14ac:dyDescent="0.15">
      <c r="A44" s="303"/>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row>
    <row r="45" spans="1:41" customFormat="1" ht="13" x14ac:dyDescent="0.15">
      <c r="A45" s="303"/>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row>
    <row r="46" spans="1:41" customFormat="1" ht="13" x14ac:dyDescent="0.15">
      <c r="A46" s="303"/>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row>
    <row r="47" spans="1:41" customFormat="1" ht="13" x14ac:dyDescent="0.15">
      <c r="A47" s="303"/>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row>
    <row r="48" spans="1:41" customFormat="1" ht="13" x14ac:dyDescent="0.15">
      <c r="A48" s="303"/>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row>
    <row r="49" spans="1:41" customFormat="1" ht="13" x14ac:dyDescent="0.15">
      <c r="A49" s="303"/>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row>
    <row r="50" spans="1:41" customFormat="1" ht="13" x14ac:dyDescent="0.15">
      <c r="A50" s="303"/>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row>
    <row r="51" spans="1:41" customFormat="1" ht="13" x14ac:dyDescent="0.15">
      <c r="A51" s="303"/>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row>
    <row r="52" spans="1:41" customFormat="1" ht="13" x14ac:dyDescent="0.15">
      <c r="A52" s="303"/>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row>
    <row r="53" spans="1:41" customFormat="1" ht="13" x14ac:dyDescent="0.15">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row>
    <row r="54" spans="1:41" customFormat="1" ht="13" x14ac:dyDescent="0.15">
      <c r="A54" s="303"/>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row>
    <row r="55" spans="1:41" customFormat="1" ht="13" x14ac:dyDescent="0.15">
      <c r="A55" s="303"/>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row>
    <row r="56" spans="1:41" customFormat="1" ht="13" x14ac:dyDescent="0.15">
      <c r="A56" s="303"/>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row>
    <row r="57" spans="1:41" customFormat="1" ht="13" x14ac:dyDescent="0.15">
      <c r="A57" s="303"/>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row>
    <row r="58" spans="1:41" customFormat="1" ht="13" x14ac:dyDescent="0.15">
      <c r="A58" s="303"/>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row>
    <row r="59" spans="1:41" customFormat="1" ht="13" x14ac:dyDescent="0.15">
      <c r="A59" s="303"/>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row>
    <row r="60" spans="1:41" customFormat="1" ht="13" x14ac:dyDescent="0.15">
      <c r="A60" s="303"/>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row>
    <row r="61" spans="1:41" customFormat="1" ht="13" x14ac:dyDescent="0.15">
      <c r="A61" s="303"/>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row>
    <row r="62" spans="1:41" customFormat="1" ht="13" x14ac:dyDescent="0.15">
      <c r="A62" s="303"/>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row>
    <row r="63" spans="1:41" customFormat="1" ht="13" x14ac:dyDescent="0.15">
      <c r="A63" s="303"/>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row>
    <row r="64" spans="1:41" customFormat="1" ht="13" x14ac:dyDescent="0.15">
      <c r="A64" s="303"/>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row>
    <row r="65" spans="1:41" customFormat="1" ht="13" x14ac:dyDescent="0.15">
      <c r="A65" s="303"/>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row>
    <row r="66" spans="1:41" customFormat="1" ht="13" x14ac:dyDescent="0.15">
      <c r="A66" s="303"/>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row>
    <row r="67" spans="1:41" customFormat="1" ht="13" x14ac:dyDescent="0.15">
      <c r="A67" s="303"/>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row>
    <row r="68" spans="1:41" customFormat="1" ht="13" x14ac:dyDescent="0.15">
      <c r="A68" s="303"/>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row>
    <row r="69" spans="1:41" customFormat="1" ht="13" x14ac:dyDescent="0.15">
      <c r="A69" s="303"/>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row>
    <row r="70" spans="1:41" customFormat="1" ht="13" x14ac:dyDescent="0.15">
      <c r="A70" s="303"/>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row>
    <row r="71" spans="1:41" customFormat="1" ht="13" x14ac:dyDescent="0.15">
      <c r="A71" s="303"/>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row>
    <row r="72" spans="1:41" customFormat="1" ht="13" x14ac:dyDescent="0.15">
      <c r="A72" s="303"/>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row>
    <row r="73" spans="1:41" customFormat="1" ht="13" x14ac:dyDescent="0.15">
      <c r="A73" s="303"/>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row>
    <row r="74" spans="1:41" customFormat="1" ht="13" x14ac:dyDescent="0.15">
      <c r="A74" s="303"/>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row>
    <row r="75" spans="1:41" customFormat="1" ht="13" x14ac:dyDescent="0.15">
      <c r="A75" s="303"/>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row>
    <row r="76" spans="1:41" customFormat="1" ht="13" x14ac:dyDescent="0.15">
      <c r="A76" s="303"/>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row>
    <row r="77" spans="1:41" customFormat="1" ht="13" x14ac:dyDescent="0.1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row>
    <row r="78" spans="1:41" customFormat="1" ht="13" x14ac:dyDescent="0.1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row>
    <row r="79" spans="1:41" customFormat="1" ht="13" x14ac:dyDescent="0.15"/>
    <row r="80" spans="1:41" customFormat="1" ht="13" x14ac:dyDescent="0.15"/>
    <row r="81" customFormat="1" ht="13" x14ac:dyDescent="0.15"/>
    <row r="82" customFormat="1" ht="13" x14ac:dyDescent="0.15"/>
    <row r="83" customFormat="1" ht="13" x14ac:dyDescent="0.15"/>
    <row r="84" customFormat="1" ht="13" x14ac:dyDescent="0.15"/>
    <row r="85" customFormat="1" ht="13" x14ac:dyDescent="0.15"/>
    <row r="86" customFormat="1" ht="13" x14ac:dyDescent="0.15"/>
    <row r="87" customFormat="1" ht="13" x14ac:dyDescent="0.15"/>
    <row r="88" customFormat="1" ht="13" x14ac:dyDescent="0.15"/>
    <row r="89" customFormat="1" ht="13" x14ac:dyDescent="0.15"/>
    <row r="90" customFormat="1" ht="13" x14ac:dyDescent="0.15"/>
    <row r="91" customFormat="1" ht="13" x14ac:dyDescent="0.15"/>
    <row r="92" customFormat="1" ht="13" x14ac:dyDescent="0.15"/>
    <row r="93" customFormat="1" ht="13" x14ac:dyDescent="0.15"/>
    <row r="94" customFormat="1" ht="13" x14ac:dyDescent="0.15"/>
    <row r="95" customFormat="1" ht="13" x14ac:dyDescent="0.15"/>
    <row r="96" customFormat="1" ht="13" x14ac:dyDescent="0.15"/>
    <row r="97" customFormat="1" ht="13" x14ac:dyDescent="0.15"/>
    <row r="98" customFormat="1" ht="13" x14ac:dyDescent="0.15"/>
    <row r="99" customFormat="1" ht="13" x14ac:dyDescent="0.15"/>
    <row r="100" customFormat="1" ht="13" x14ac:dyDescent="0.15"/>
    <row r="101" customFormat="1" ht="13" x14ac:dyDescent="0.15"/>
    <row r="102" customFormat="1" ht="13" x14ac:dyDescent="0.15"/>
    <row r="103" customFormat="1" ht="13" x14ac:dyDescent="0.15"/>
    <row r="104" customFormat="1" ht="13" x14ac:dyDescent="0.15"/>
    <row r="105" customFormat="1" ht="13" x14ac:dyDescent="0.15"/>
    <row r="106" customFormat="1" ht="13" x14ac:dyDescent="0.15"/>
    <row r="107" customFormat="1" ht="13" x14ac:dyDescent="0.15"/>
    <row r="108" customFormat="1" ht="13" x14ac:dyDescent="0.15"/>
    <row r="109" customFormat="1" ht="13" x14ac:dyDescent="0.15"/>
    <row r="110" customFormat="1" ht="13" x14ac:dyDescent="0.15"/>
    <row r="111" customFormat="1" ht="13" x14ac:dyDescent="0.15"/>
    <row r="112" customFormat="1" ht="13" x14ac:dyDescent="0.15"/>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sheetData>
  <sheetProtection algorithmName="SHA-512" hashValue="Vuci3+rcKaV+PHDJc0rDaBRMlaz1v0KUkvZB8wN4tcEFFh2y4Bmhog50B2qvmHqLnDIO4r+dzkqEstfT2I7Sxg==" saltValue="g8OlVkKuJmc8yS6Jh6AJtQ==" spinCount="100000" sheet="1" objects="1" scenarios="1"/>
  <dataValidations count="2">
    <dataValidation type="whole" showInputMessage="1" showErrorMessage="1" errorTitle="Incorrect number" error="Please enter quarterly consumption between 700-4000kWh" sqref="C5" xr:uid="{CBD1AB08-D166-0848-B1BC-F19BA85CD95D}">
      <formula1>700</formula1>
      <formula2>4000</formula2>
    </dataValidation>
    <dataValidation type="decimal" showInputMessage="1" showErrorMessage="1" errorTitle="Incorrect entry" error="Enter 1.5 or 3.0 only" sqref="C4" xr:uid="{9A625BD3-99D9-3942-9CDF-5BB1C37B5713}">
      <formula1>1.5</formula1>
      <formula2>3</formula2>
    </dataValidation>
  </dataValidations>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90BA-B385-AE43-9CA6-65D470546F90}">
  <sheetPr codeName="Sheet17"/>
  <dimension ref="A1:LS3167"/>
  <sheetViews>
    <sheetView zoomScale="120" zoomScaleNormal="120" workbookViewId="0">
      <pane xSplit="2" ySplit="9" topLeftCell="C10" activePane="bottomRight" state="frozen"/>
      <selection pane="topRight" activeCell="C1" sqref="C1"/>
      <selection pane="bottomLeft" activeCell="A10" sqref="A10"/>
      <selection pane="bottomRight" activeCell="P1" sqref="P1:U1048576"/>
    </sheetView>
  </sheetViews>
  <sheetFormatPr baseColWidth="10" defaultColWidth="11.1640625" defaultRowHeight="14" x14ac:dyDescent="0.15"/>
  <cols>
    <col min="1" max="1" width="21.5" style="229" customWidth="1"/>
    <col min="2" max="2" width="26.83203125" style="229" customWidth="1"/>
    <col min="3" max="7" width="14.83203125" style="229" customWidth="1"/>
    <col min="8" max="9" width="11.83203125" style="229" hidden="1" customWidth="1"/>
    <col min="10" max="15" width="14.83203125" style="229" customWidth="1"/>
    <col min="16" max="21" width="11.83203125" style="229" hidden="1" customWidth="1"/>
    <col min="22" max="25" width="14.83203125" style="229" customWidth="1"/>
    <col min="26" max="36" width="7.5" customWidth="1"/>
    <col min="332" max="16384" width="11.1640625" style="229"/>
  </cols>
  <sheetData>
    <row r="1" spans="1:43" customFormat="1" ht="13" x14ac:dyDescent="0.15">
      <c r="A1" s="297" t="s">
        <v>44</v>
      </c>
      <c r="B1" s="297"/>
      <c r="C1" s="297"/>
      <c r="D1" s="297"/>
      <c r="E1" s="297"/>
      <c r="F1" s="297"/>
      <c r="G1" s="297"/>
      <c r="H1" s="300">
        <v>3</v>
      </c>
      <c r="I1" s="297"/>
      <c r="J1" s="297"/>
      <c r="K1" s="297"/>
      <c r="L1" s="297"/>
      <c r="M1" s="297"/>
      <c r="N1" s="297"/>
      <c r="O1" s="297"/>
      <c r="P1" s="297"/>
      <c r="Q1" s="297"/>
      <c r="R1" s="297"/>
      <c r="S1" s="297"/>
      <c r="T1" s="297"/>
      <c r="U1" s="297"/>
      <c r="V1" s="297"/>
      <c r="W1" s="297"/>
      <c r="X1" s="297"/>
      <c r="Y1" s="297"/>
      <c r="Z1" s="296"/>
      <c r="AA1" s="296"/>
      <c r="AB1" s="296"/>
      <c r="AC1" s="296"/>
      <c r="AD1" s="296"/>
      <c r="AE1" s="296"/>
      <c r="AF1" s="296"/>
      <c r="AG1" s="296"/>
      <c r="AH1" s="296"/>
      <c r="AI1" s="296"/>
      <c r="AJ1" s="296"/>
      <c r="AK1" s="296"/>
      <c r="AL1" s="296"/>
      <c r="AM1" s="296"/>
      <c r="AN1" s="296"/>
      <c r="AO1" s="296"/>
      <c r="AP1" s="296"/>
      <c r="AQ1" s="296"/>
    </row>
    <row r="2" spans="1:43" customFormat="1" ht="13" x14ac:dyDescent="0.15">
      <c r="A2" s="297" t="s">
        <v>6</v>
      </c>
      <c r="B2" s="297"/>
      <c r="C2" s="297"/>
      <c r="D2" s="297"/>
      <c r="E2" s="297"/>
      <c r="F2" s="297"/>
      <c r="G2" s="297"/>
      <c r="H2" s="297"/>
      <c r="I2" s="297"/>
      <c r="J2" s="297"/>
      <c r="K2" s="297"/>
      <c r="L2" s="297"/>
      <c r="M2" s="297"/>
      <c r="N2" s="297"/>
      <c r="O2" s="297"/>
      <c r="P2" s="297"/>
      <c r="Q2" s="297"/>
      <c r="R2" s="297"/>
      <c r="S2" s="297"/>
      <c r="T2" s="297"/>
      <c r="U2" s="297"/>
      <c r="V2" s="297"/>
      <c r="W2" s="297"/>
      <c r="X2" s="297"/>
      <c r="Y2" s="297"/>
      <c r="Z2" s="296"/>
      <c r="AA2" s="296"/>
      <c r="AB2" s="296"/>
      <c r="AC2" s="296"/>
      <c r="AD2" s="296"/>
      <c r="AE2" s="296"/>
      <c r="AF2" s="296"/>
      <c r="AG2" s="296"/>
      <c r="AH2" s="296"/>
      <c r="AI2" s="296"/>
      <c r="AJ2" s="296"/>
      <c r="AK2" s="296"/>
      <c r="AL2" s="296"/>
      <c r="AM2" s="296"/>
      <c r="AN2" s="296"/>
      <c r="AO2" s="296"/>
      <c r="AP2" s="296"/>
      <c r="AQ2" s="296"/>
    </row>
    <row r="3" spans="1:43" customFormat="1" ht="13" x14ac:dyDescent="0.15">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6"/>
      <c r="AA3" s="296"/>
      <c r="AB3" s="296"/>
      <c r="AC3" s="296"/>
      <c r="AD3" s="296"/>
      <c r="AE3" s="296"/>
      <c r="AF3" s="296"/>
      <c r="AG3" s="296"/>
      <c r="AH3" s="296"/>
      <c r="AI3" s="296"/>
      <c r="AJ3" s="296"/>
      <c r="AK3" s="296"/>
      <c r="AL3" s="296"/>
      <c r="AM3" s="296"/>
      <c r="AN3" s="296"/>
      <c r="AO3" s="296"/>
      <c r="AP3" s="296"/>
      <c r="AQ3" s="296"/>
    </row>
    <row r="4" spans="1:43" x14ac:dyDescent="0.15">
      <c r="A4" s="196" t="s">
        <v>163</v>
      </c>
      <c r="B4" s="197"/>
      <c r="C4" s="198">
        <v>3</v>
      </c>
      <c r="D4" s="298"/>
      <c r="E4" s="199" t="s">
        <v>77</v>
      </c>
      <c r="F4" s="200">
        <f>IF(C4&lt;H1,(675),(1351))</f>
        <v>1351</v>
      </c>
      <c r="G4" s="298"/>
      <c r="H4" s="297"/>
      <c r="I4" s="297"/>
      <c r="J4" s="196"/>
      <c r="K4" s="201" t="s">
        <v>45</v>
      </c>
      <c r="L4" s="202" t="s">
        <v>144</v>
      </c>
      <c r="M4" s="203" t="s">
        <v>145</v>
      </c>
      <c r="N4" s="298"/>
      <c r="O4" s="298"/>
      <c r="P4" s="298"/>
      <c r="Q4" s="298"/>
      <c r="R4" s="298"/>
      <c r="S4" s="298"/>
      <c r="T4" s="298"/>
      <c r="U4" s="298"/>
      <c r="V4" s="298"/>
      <c r="W4" s="298"/>
      <c r="X4" s="298"/>
      <c r="Y4" s="298"/>
      <c r="Z4" s="296"/>
      <c r="AA4" s="296"/>
      <c r="AB4" s="296"/>
      <c r="AC4" s="296"/>
      <c r="AD4" s="296"/>
      <c r="AE4" s="296"/>
      <c r="AF4" s="296"/>
      <c r="AG4" s="296"/>
      <c r="AH4" s="296"/>
      <c r="AI4" s="296"/>
      <c r="AJ4" s="296"/>
      <c r="AK4" s="296"/>
      <c r="AL4" s="296"/>
      <c r="AM4" s="296"/>
      <c r="AN4" s="296"/>
      <c r="AO4" s="296"/>
      <c r="AP4" s="296"/>
      <c r="AQ4" s="296"/>
    </row>
    <row r="5" spans="1:43" x14ac:dyDescent="0.15">
      <c r="A5" s="204" t="s">
        <v>117</v>
      </c>
      <c r="B5" s="205"/>
      <c r="C5" s="206">
        <v>2000</v>
      </c>
      <c r="D5" s="298"/>
      <c r="E5" s="199" t="s">
        <v>75</v>
      </c>
      <c r="F5" s="207">
        <f>C5-(F4-F6)</f>
        <v>1393.4010000000001</v>
      </c>
      <c r="G5" s="298"/>
      <c r="H5" s="297"/>
      <c r="I5" s="297"/>
      <c r="J5" s="204" t="s">
        <v>135</v>
      </c>
      <c r="K5" s="208">
        <f>F5*70/100</f>
        <v>975.38070000000005</v>
      </c>
      <c r="L5" s="209">
        <f>F5*30/100</f>
        <v>418.02029999999996</v>
      </c>
      <c r="M5" s="210" t="s">
        <v>196</v>
      </c>
      <c r="N5" s="298"/>
      <c r="O5" s="298"/>
      <c r="P5" s="298"/>
      <c r="Q5" s="298"/>
      <c r="R5" s="298"/>
      <c r="S5" s="298"/>
      <c r="T5" s="298"/>
      <c r="U5" s="298"/>
      <c r="V5" s="298"/>
      <c r="W5" s="298"/>
      <c r="X5" s="298"/>
      <c r="Y5" s="298"/>
      <c r="Z5" s="296"/>
      <c r="AA5" s="296"/>
      <c r="AB5" s="296"/>
      <c r="AC5" s="296"/>
      <c r="AD5" s="296"/>
      <c r="AE5" s="296"/>
      <c r="AF5" s="296"/>
      <c r="AG5" s="296"/>
      <c r="AH5" s="296"/>
      <c r="AI5" s="296"/>
      <c r="AJ5" s="296"/>
      <c r="AK5" s="296"/>
      <c r="AL5" s="296"/>
      <c r="AM5" s="296"/>
      <c r="AN5" s="296"/>
      <c r="AO5" s="296"/>
      <c r="AP5" s="296"/>
      <c r="AQ5" s="296"/>
    </row>
    <row r="6" spans="1:43" x14ac:dyDescent="0.15">
      <c r="A6" s="298"/>
      <c r="B6" s="298"/>
      <c r="C6" s="298"/>
      <c r="D6" s="298"/>
      <c r="E6" s="199" t="s">
        <v>76</v>
      </c>
      <c r="F6" s="207">
        <f>IF(C4&lt;H1,(F4*27.3/100),(F4*55.1/100))</f>
        <v>744.40100000000007</v>
      </c>
      <c r="G6" s="298"/>
      <c r="H6" s="297"/>
      <c r="I6" s="297"/>
      <c r="J6" s="204" t="s">
        <v>136</v>
      </c>
      <c r="K6" s="208">
        <f>F5*20/100</f>
        <v>278.68020000000001</v>
      </c>
      <c r="L6" s="209">
        <f>F5*30/100</f>
        <v>418.02029999999996</v>
      </c>
      <c r="M6" s="211">
        <f>F5*50/100</f>
        <v>696.70050000000003</v>
      </c>
      <c r="N6" s="298"/>
      <c r="O6" s="298"/>
      <c r="P6" s="298"/>
      <c r="Q6" s="298"/>
      <c r="R6" s="298"/>
      <c r="S6" s="298"/>
      <c r="T6" s="298"/>
      <c r="U6" s="298"/>
      <c r="V6" s="298"/>
      <c r="W6" s="298"/>
      <c r="X6" s="298"/>
      <c r="Y6" s="298"/>
      <c r="Z6" s="296"/>
      <c r="AA6" s="296"/>
      <c r="AB6" s="296"/>
      <c r="AC6" s="296"/>
      <c r="AD6" s="296"/>
      <c r="AE6" s="296"/>
      <c r="AF6" s="296"/>
      <c r="AG6" s="296"/>
      <c r="AH6" s="296"/>
      <c r="AI6" s="296"/>
      <c r="AJ6" s="296"/>
      <c r="AK6" s="296"/>
      <c r="AL6" s="296"/>
      <c r="AM6" s="296"/>
      <c r="AN6" s="296"/>
      <c r="AO6" s="296"/>
      <c r="AP6" s="296"/>
      <c r="AQ6" s="296"/>
    </row>
    <row r="7" spans="1:43" ht="15" thickBot="1" x14ac:dyDescent="0.2">
      <c r="A7" s="298"/>
      <c r="B7" s="298"/>
      <c r="C7" s="298"/>
      <c r="D7" s="298"/>
      <c r="E7" s="298"/>
      <c r="F7" s="298"/>
      <c r="G7" s="298"/>
      <c r="H7" s="297"/>
      <c r="I7" s="297"/>
      <c r="J7" s="298"/>
      <c r="K7" s="298"/>
      <c r="L7" s="298"/>
      <c r="M7" s="298"/>
      <c r="N7" s="298"/>
      <c r="O7" s="298"/>
      <c r="P7" s="298"/>
      <c r="Q7" s="298"/>
      <c r="R7" s="298"/>
      <c r="S7" s="298"/>
      <c r="T7" s="298"/>
      <c r="U7" s="298"/>
      <c r="V7" s="298"/>
      <c r="W7" s="298"/>
      <c r="X7" s="298"/>
      <c r="Y7" s="298"/>
      <c r="Z7" s="296"/>
      <c r="AA7" s="296"/>
      <c r="AB7" s="296"/>
      <c r="AC7" s="296"/>
      <c r="AD7" s="296"/>
      <c r="AE7" s="296"/>
      <c r="AF7" s="296"/>
      <c r="AG7" s="296"/>
      <c r="AH7" s="296"/>
      <c r="AI7" s="296"/>
      <c r="AJ7" s="296"/>
      <c r="AK7" s="296"/>
      <c r="AL7" s="296"/>
      <c r="AM7" s="296"/>
      <c r="AN7" s="296"/>
      <c r="AO7" s="296"/>
      <c r="AP7" s="296"/>
      <c r="AQ7" s="296"/>
    </row>
    <row r="8" spans="1:43" x14ac:dyDescent="0.15">
      <c r="A8" s="248" t="s">
        <v>109</v>
      </c>
      <c r="B8" s="249"/>
      <c r="C8" s="249"/>
      <c r="D8" s="249"/>
      <c r="E8" s="249"/>
      <c r="F8" s="249"/>
      <c r="G8" s="249"/>
      <c r="H8" s="249"/>
      <c r="I8" s="249"/>
      <c r="J8" s="249"/>
      <c r="K8" s="249"/>
      <c r="L8" s="249"/>
      <c r="M8" s="249"/>
      <c r="N8" s="249"/>
      <c r="O8" s="249"/>
      <c r="P8" s="249"/>
      <c r="Q8" s="249"/>
      <c r="R8" s="249"/>
      <c r="S8" s="249"/>
      <c r="T8" s="249"/>
      <c r="U8" s="249"/>
      <c r="V8" s="249"/>
      <c r="W8" s="249"/>
      <c r="X8" s="249"/>
      <c r="Y8" s="250"/>
      <c r="Z8" s="296"/>
      <c r="AA8" s="296"/>
      <c r="AB8" s="296"/>
      <c r="AC8" s="296"/>
      <c r="AD8" s="296"/>
      <c r="AE8" s="296"/>
      <c r="AF8" s="296"/>
      <c r="AG8" s="296"/>
      <c r="AH8" s="296"/>
      <c r="AI8" s="296"/>
      <c r="AJ8" s="296"/>
      <c r="AK8" s="296"/>
      <c r="AL8" s="296"/>
      <c r="AM8" s="296"/>
      <c r="AN8" s="296"/>
      <c r="AO8" s="296"/>
      <c r="AP8" s="296"/>
      <c r="AQ8" s="296"/>
    </row>
    <row r="9" spans="1:43" ht="90" x14ac:dyDescent="0.15">
      <c r="A9" s="251" t="s">
        <v>147</v>
      </c>
      <c r="B9" s="252" t="s">
        <v>133</v>
      </c>
      <c r="C9" s="253" t="s">
        <v>184</v>
      </c>
      <c r="D9" s="253" t="s">
        <v>16</v>
      </c>
      <c r="E9" s="278" t="s">
        <v>395</v>
      </c>
      <c r="F9" s="253" t="s">
        <v>186</v>
      </c>
      <c r="G9" s="253" t="s">
        <v>74</v>
      </c>
      <c r="H9" s="261" t="s">
        <v>34</v>
      </c>
      <c r="I9" s="261" t="s">
        <v>121</v>
      </c>
      <c r="J9" s="254" t="s">
        <v>360</v>
      </c>
      <c r="K9" s="255" t="s">
        <v>119</v>
      </c>
      <c r="L9" s="255" t="s">
        <v>63</v>
      </c>
      <c r="M9" s="255" t="s">
        <v>91</v>
      </c>
      <c r="N9" s="255" t="s">
        <v>150</v>
      </c>
      <c r="O9" s="256" t="s">
        <v>430</v>
      </c>
      <c r="P9" s="262" t="s">
        <v>361</v>
      </c>
      <c r="Q9" s="262" t="s">
        <v>362</v>
      </c>
      <c r="R9" s="263" t="s">
        <v>102</v>
      </c>
      <c r="S9" s="263" t="s">
        <v>29</v>
      </c>
      <c r="T9" s="263" t="s">
        <v>226</v>
      </c>
      <c r="U9" s="263" t="s">
        <v>100</v>
      </c>
      <c r="V9" s="256" t="s">
        <v>101</v>
      </c>
      <c r="W9" s="256" t="s">
        <v>174</v>
      </c>
      <c r="X9" s="255" t="s">
        <v>142</v>
      </c>
      <c r="Y9" s="257" t="s">
        <v>143</v>
      </c>
      <c r="Z9" s="296"/>
      <c r="AA9" s="296"/>
      <c r="AB9" s="296"/>
      <c r="AC9" s="296"/>
      <c r="AD9" s="296"/>
      <c r="AE9" s="296"/>
      <c r="AF9" s="296"/>
      <c r="AG9" s="296"/>
      <c r="AH9" s="296"/>
      <c r="AI9" s="296"/>
      <c r="AJ9" s="296"/>
      <c r="AK9" s="296"/>
      <c r="AL9" s="296"/>
      <c r="AM9" s="296"/>
      <c r="AN9" s="296"/>
      <c r="AO9" s="296"/>
      <c r="AP9" s="296"/>
      <c r="AQ9" s="296"/>
    </row>
    <row r="10" spans="1:43" x14ac:dyDescent="0.15">
      <c r="A10" s="212" t="str">
        <f>'Tariffs 2022'!K2</f>
        <v>ActewAGL</v>
      </c>
      <c r="B10" s="213" t="str">
        <f>'Tariffs 2022'!L2</f>
        <v>Solar Plus</v>
      </c>
      <c r="C10" s="214">
        <f>IF('Tariffs 2022'!BP2=0,91*'Tariffs 2022'!M2/100,(91*'Tariffs 2022'!M2/100)+'Tariffs 2022'!BP2/4)</f>
        <v>85.312499999999986</v>
      </c>
      <c r="D10" s="214">
        <f>IF('Tariffs 2022'!O2="",$F$5*'Tariffs 2022'!N2/100,IF($F$5&gt;='Tariffs 2022'!P2,('Tariffs 2022'!P2*'Tariffs 2022'!N2/100),($F$5*'Tariffs 2022'!N2/100)))</f>
        <v>350.63036072727272</v>
      </c>
      <c r="E10" s="214">
        <f>IF(AND('Tariffs 2022'!R2&gt;0,'Tariffs 2022'!T2&gt;0),IF($F$5&lt;'Tariffs 2022'!P2,0,IF(($F$5-'Tariffs 2022'!P2)&lt;='Tariffs 2022'!R2,(($F$5-'Tariffs 2022'!P2)*'Tariffs 2022'!Q2/100),(('Tariffs 2022'!R2-'Tariffs 2022'!P2)*'Tariffs 2022'!Q2/100))),IF(AND('Tariffs 2022'!R2&gt;0,'Tariffs 2022'!T2=""),IF($F$5&lt;'Tariffs 2022'!P2,0, IF(($F$5)&lt;= 'Tariffs 2022'!R2,(($F$5-'Tariffs 2022'!P2)* 'Tariffs 2022'!Q2/100),(( 'Tariffs 2022'!R2-'Tariffs 2022'!P2)* 'Tariffs 2022'!Q2/100))),0))</f>
        <v>0</v>
      </c>
      <c r="F10" s="214">
        <f>IF('Tariffs 2022'!T2&gt;0,IF(($F$5&lt;'Tariffs 2022'!T2),(0),($F$5-'Tariffs 2022'!T2)*'Tariffs 2022'!U2/100),IF(AND('Tariffs 2022'!R2&gt;0,'Tariffs 2022'!T2=""),IF(($F$5&lt;'Tariffs 2022'!R2),(0),($F$5-'Tariffs 2022'!R2)*'Tariffs 2022'!S2/100),IF(AND('Tariffs 2022'!P2&gt;0,'Tariffs 2022'!R2=""),IF(($F$5&lt;'Tariffs 2022'!P2),(0),($F$5-'Tariffs 2022'!P2)*'Tariffs 2022'!Q2/100),0)))</f>
        <v>0</v>
      </c>
      <c r="G10" s="214">
        <f t="shared" ref="G10:G14" si="0">SUM(C10:F10)</f>
        <v>435.94286072727272</v>
      </c>
      <c r="H10" s="226">
        <f t="shared" ref="H10:H14" si="1">(G10-C10)*4</f>
        <v>1402.5214429090909</v>
      </c>
      <c r="I10" s="264">
        <f t="shared" ref="I10:I14" si="2">G10*4</f>
        <v>1743.7714429090909</v>
      </c>
      <c r="J10" s="215">
        <f t="shared" ref="J10:J14" si="3">I10*1.1</f>
        <v>1918.1485872000001</v>
      </c>
      <c r="K10" s="213">
        <f>'Tariffs 2022'!AZ2</f>
        <v>5</v>
      </c>
      <c r="L10" s="213">
        <f>'Tariffs 2022'!BA2</f>
        <v>0</v>
      </c>
      <c r="M10" s="213">
        <f>'Tariffs 2022'!BB2</f>
        <v>0</v>
      </c>
      <c r="N10" s="213">
        <f>'Tariffs 2022'!BC2</f>
        <v>0</v>
      </c>
      <c r="O10" s="215">
        <f>($F$6*'Tariffs 2022'!AT2/100)*4</f>
        <v>297.7604</v>
      </c>
      <c r="P10" s="216" t="str">
        <f t="shared" ref="P10:P14" si="4">IF(SUM(K10:N10)=0,"No discount",IF(K10&gt;0,"Guaranteed off bill",IF(L10&gt;0,"Guaranteed off usage",IF(M10&gt;0,"Pay-on-time off bill","Pay-on-time off usage"))))</f>
        <v>Guaranteed off bill</v>
      </c>
      <c r="Q10" s="216" t="str">
        <f t="shared" ref="Q10:Q14" si="5">IF(OR(A10="Origin Energy",A10="Red Energy",A10="Powershop"),"Inclusive","Exclusive")</f>
        <v>Exclusive</v>
      </c>
      <c r="R10" s="264">
        <f t="shared" ref="R10:R14" si="6">IF(AND(P10="Guaranteed off bill",Q10="Inclusive"),((I10*1.1)-((I10*1.1)*K10/100))/1.1,IF(AND(P10="Guaranteed off usage",Q10="Inclusive"),((I10*1.1)-((H10*1.1)*L10/100))/1.1,IF(AND(P10="Guaranteed off bill",Q10="Exclusive"),I10-(I10*K10/100),IF(AND(P10="Guaranteed off usage",Q10="Exclusive"),I10-(H10*L10/100),IF(Q10="Inclusive",((I10*1.1))/1.1,I10)))))</f>
        <v>1656.5828707636363</v>
      </c>
      <c r="S10" s="264">
        <f t="shared" ref="S10:S14" si="7">IF(AND(P10="Pay-on-time off bill",Q10="Inclusive"),((R10*1.1)-((R10*1.1)*M10/100))/1.1,IF(AND(P10="Pay-on-time off usage",Q10="Inclusive"),((R10*1.1)-((H10*1.1)*N10/100))/1.1,IF(AND(P10="Pay-on-time off bill",Q10="Exclusive"),R10-(R10*M10/100),IF(AND(P10="Pay-on-time off usage",Q10="Exclusive"),R10-(H10*N10/100),IF(Q10="Inclusive",((R10*1.1))/1.1,R10)))))</f>
        <v>1656.5828707636363</v>
      </c>
      <c r="T10" s="264">
        <f t="shared" ref="T10:T14" si="8">R10-O10</f>
        <v>1358.8224707636364</v>
      </c>
      <c r="U10" s="264">
        <f t="shared" ref="U10:U14" si="9">S10-O10</f>
        <v>1358.8224707636364</v>
      </c>
      <c r="V10" s="281">
        <f t="shared" ref="V10:W14" si="10">T10*1.1</f>
        <v>1494.7047178400001</v>
      </c>
      <c r="W10" s="281">
        <f t="shared" si="10"/>
        <v>1494.7047178400001</v>
      </c>
      <c r="X10" s="217">
        <f>'Tariffs 2022'!BL2</f>
        <v>12</v>
      </c>
      <c r="Y10" s="218" t="str">
        <f>'Tariffs 2022'!BM2</f>
        <v>n</v>
      </c>
      <c r="Z10" s="296"/>
      <c r="AA10" s="296"/>
      <c r="AB10" s="296"/>
      <c r="AC10" s="296"/>
      <c r="AD10" s="296"/>
      <c r="AE10" s="296"/>
      <c r="AF10" s="296"/>
      <c r="AG10" s="296"/>
      <c r="AH10" s="296"/>
      <c r="AI10" s="296"/>
      <c r="AJ10" s="296"/>
      <c r="AK10" s="296"/>
      <c r="AL10" s="296"/>
      <c r="AM10" s="296"/>
      <c r="AN10" s="296"/>
      <c r="AO10" s="296"/>
      <c r="AP10" s="296"/>
      <c r="AQ10" s="296"/>
    </row>
    <row r="11" spans="1:43" x14ac:dyDescent="0.15">
      <c r="A11" s="212" t="str">
        <f>'Tariffs 2022'!K3</f>
        <v>EnergyAustralia</v>
      </c>
      <c r="B11" s="213" t="str">
        <f>'Tariffs 2022'!L3</f>
        <v>Solar Max</v>
      </c>
      <c r="C11" s="214">
        <f>IF('Tariffs 2022'!BP3=0,91*'Tariffs 2022'!M3/100,(91*'Tariffs 2022'!M3/100)+'Tariffs 2022'!BP3/4)</f>
        <v>86.069454545454533</v>
      </c>
      <c r="D11" s="214">
        <f>IF('Tariffs 2022'!O3="",$F$5*'Tariffs 2022'!N3/100,IF($F$5&gt;='Tariffs 2022'!P3,('Tariffs 2022'!P3*'Tariffs 2022'!N3/100),($F$5*'Tariffs 2022'!N3/100)))</f>
        <v>398.63935881818179</v>
      </c>
      <c r="E11" s="214">
        <f>IF(AND('Tariffs 2022'!R3&gt;0,'Tariffs 2022'!T3&gt;0),IF($F$5&lt;'Tariffs 2022'!P3,0,IF(($F$5-'Tariffs 2022'!P3)&lt;='Tariffs 2022'!R3,(($F$5-'Tariffs 2022'!P3)*'Tariffs 2022'!Q3/100),(('Tariffs 2022'!R3-'Tariffs 2022'!P3)*'Tariffs 2022'!Q3/100))),IF(AND('Tariffs 2022'!R3&gt;0,'Tariffs 2022'!T3=""),IF($F$5&lt;'Tariffs 2022'!P3,0, IF(($F$5)&lt;= 'Tariffs 2022'!R3,(($F$5-'Tariffs 2022'!P3)* 'Tariffs 2022'!Q3/100),(( 'Tariffs 2022'!R3-'Tariffs 2022'!P3)* 'Tariffs 2022'!Q3/100))),0))</f>
        <v>0</v>
      </c>
      <c r="F11" s="214">
        <f>IF('Tariffs 2022'!T3&gt;0,IF(($F$5&lt;'Tariffs 2022'!T3),(0),($F$5-'Tariffs 2022'!T3)*'Tariffs 2022'!U3/100),IF(AND('Tariffs 2022'!R3&gt;0,'Tariffs 2022'!T3=""),IF(($F$5&lt;'Tariffs 2022'!R3),(0),($F$5-'Tariffs 2022'!R3)*'Tariffs 2022'!S3/100),IF(AND('Tariffs 2022'!P3&gt;0,'Tariffs 2022'!R3=""),IF(($F$5&lt;'Tariffs 2022'!P3),(0),($F$5-'Tariffs 2022'!P3)*'Tariffs 2022'!Q3/100),0)))</f>
        <v>0</v>
      </c>
      <c r="G11" s="214">
        <f t="shared" si="0"/>
        <v>484.7088133636363</v>
      </c>
      <c r="H11" s="226">
        <f t="shared" si="1"/>
        <v>1594.5574352727272</v>
      </c>
      <c r="I11" s="264">
        <f t="shared" si="2"/>
        <v>1938.8352534545452</v>
      </c>
      <c r="J11" s="215">
        <f t="shared" si="3"/>
        <v>2132.7187787999997</v>
      </c>
      <c r="K11" s="213">
        <f>'Tariffs 2022'!AZ3</f>
        <v>0</v>
      </c>
      <c r="L11" s="213">
        <f>'Tariffs 2022'!BA3</f>
        <v>0</v>
      </c>
      <c r="M11" s="213">
        <f>'Tariffs 2022'!BB3</f>
        <v>0</v>
      </c>
      <c r="N11" s="213">
        <f>'Tariffs 2022'!BC3</f>
        <v>0</v>
      </c>
      <c r="O11" s="215">
        <f>($F$6*'Tariffs 2022'!AT3/100)*4</f>
        <v>297.7604</v>
      </c>
      <c r="P11" s="216" t="str">
        <f t="shared" si="4"/>
        <v>No discount</v>
      </c>
      <c r="Q11" s="216" t="str">
        <f t="shared" si="5"/>
        <v>Exclusive</v>
      </c>
      <c r="R11" s="264">
        <f t="shared" si="6"/>
        <v>1938.8352534545452</v>
      </c>
      <c r="S11" s="264">
        <f t="shared" si="7"/>
        <v>1938.8352534545452</v>
      </c>
      <c r="T11" s="264">
        <f t="shared" si="8"/>
        <v>1641.0748534545451</v>
      </c>
      <c r="U11" s="264">
        <f t="shared" si="9"/>
        <v>1641.0748534545451</v>
      </c>
      <c r="V11" s="281">
        <f t="shared" si="10"/>
        <v>1805.1823387999998</v>
      </c>
      <c r="W11" s="281">
        <f t="shared" si="10"/>
        <v>1805.1823387999998</v>
      </c>
      <c r="X11" s="217">
        <f>'Tariffs 2022'!BL3</f>
        <v>0</v>
      </c>
      <c r="Y11" s="218" t="str">
        <f>'Tariffs 2022'!BM3</f>
        <v>n</v>
      </c>
      <c r="Z11" s="296"/>
      <c r="AA11" s="296"/>
      <c r="AB11" s="296"/>
      <c r="AC11" s="296"/>
      <c r="AD11" s="296"/>
      <c r="AE11" s="296"/>
      <c r="AF11" s="296"/>
      <c r="AG11" s="296"/>
      <c r="AH11" s="296"/>
      <c r="AI11" s="296"/>
      <c r="AJ11" s="296"/>
      <c r="AK11" s="296"/>
      <c r="AL11" s="296"/>
      <c r="AM11" s="296"/>
      <c r="AN11" s="296"/>
      <c r="AO11" s="296"/>
      <c r="AP11" s="296"/>
      <c r="AQ11" s="296"/>
    </row>
    <row r="12" spans="1:43" x14ac:dyDescent="0.15">
      <c r="A12" s="212" t="str">
        <f>'Tariffs 2022'!K4</f>
        <v>Origin Energy</v>
      </c>
      <c r="B12" s="213" t="str">
        <f>'Tariffs 2022'!L4</f>
        <v>Solar Boost</v>
      </c>
      <c r="C12" s="214">
        <f>IF('Tariffs 2022'!BP4=0,91*'Tariffs 2022'!M4/100,(91*'Tariffs 2022'!M4/100)+'Tariffs 2022'!BP4/4)</f>
        <v>98.519909090909081</v>
      </c>
      <c r="D12" s="214">
        <f>IF('Tariffs 2022'!O4="",$F$5*'Tariffs 2022'!N4/100,IF($F$5&gt;='Tariffs 2022'!P4,('Tariffs 2022'!P4*'Tariffs 2022'!N4/100),($F$5*'Tariffs 2022'!N4/100)))</f>
        <v>384.19865754545458</v>
      </c>
      <c r="E12" s="214">
        <f>IF(AND('Tariffs 2022'!R4&gt;0,'Tariffs 2022'!T4&gt;0),IF($F$5&lt;'Tariffs 2022'!P4,0,IF(($F$5-'Tariffs 2022'!P4)&lt;='Tariffs 2022'!R4,(($F$5-'Tariffs 2022'!P4)*'Tariffs 2022'!Q4/100),(('Tariffs 2022'!R4-'Tariffs 2022'!P4)*'Tariffs 2022'!Q4/100))),IF(AND('Tariffs 2022'!R4&gt;0,'Tariffs 2022'!T4=""),IF($F$5&lt;'Tariffs 2022'!P4,0, IF(($F$5)&lt;= 'Tariffs 2022'!R4,(($F$5-'Tariffs 2022'!P4)* 'Tariffs 2022'!Q4/100),(( 'Tariffs 2022'!R4-'Tariffs 2022'!P4)* 'Tariffs 2022'!Q4/100))),0))</f>
        <v>0</v>
      </c>
      <c r="F12" s="214">
        <f>IF('Tariffs 2022'!T4&gt;0,IF(($F$5&lt;'Tariffs 2022'!T4),(0),($F$5-'Tariffs 2022'!T4)*'Tariffs 2022'!U4/100),IF(AND('Tariffs 2022'!R4&gt;0,'Tariffs 2022'!T4=""),IF(($F$5&lt;'Tariffs 2022'!R4),(0),($F$5-'Tariffs 2022'!R4)*'Tariffs 2022'!S4/100),IF(AND('Tariffs 2022'!P4&gt;0,'Tariffs 2022'!R4=""),IF(($F$5&lt;'Tariffs 2022'!P4),(0),($F$5-'Tariffs 2022'!P4)*'Tariffs 2022'!Q4/100),0)))</f>
        <v>0</v>
      </c>
      <c r="G12" s="214">
        <f t="shared" si="0"/>
        <v>482.71856663636368</v>
      </c>
      <c r="H12" s="226">
        <f t="shared" si="1"/>
        <v>1536.7946301818183</v>
      </c>
      <c r="I12" s="264">
        <f t="shared" si="2"/>
        <v>1930.8742665454547</v>
      </c>
      <c r="J12" s="215">
        <f t="shared" si="3"/>
        <v>2123.9616932000004</v>
      </c>
      <c r="K12" s="213">
        <f>'Tariffs 2022'!AZ4</f>
        <v>0</v>
      </c>
      <c r="L12" s="213">
        <f>'Tariffs 2022'!BA4</f>
        <v>0</v>
      </c>
      <c r="M12" s="213">
        <f>'Tariffs 2022'!BB4</f>
        <v>0</v>
      </c>
      <c r="N12" s="213">
        <f>'Tariffs 2022'!BC4</f>
        <v>0</v>
      </c>
      <c r="O12" s="215">
        <f>($F$6*'Tariffs 2022'!AT4/100)*4</f>
        <v>297.7604</v>
      </c>
      <c r="P12" s="216" t="str">
        <f t="shared" si="4"/>
        <v>No discount</v>
      </c>
      <c r="Q12" s="216" t="str">
        <f t="shared" si="5"/>
        <v>Inclusive</v>
      </c>
      <c r="R12" s="264">
        <f t="shared" si="6"/>
        <v>1930.8742665454547</v>
      </c>
      <c r="S12" s="264">
        <f t="shared" si="7"/>
        <v>1930.8742665454547</v>
      </c>
      <c r="T12" s="264">
        <f t="shared" si="8"/>
        <v>1633.1138665454546</v>
      </c>
      <c r="U12" s="264">
        <f t="shared" si="9"/>
        <v>1633.1138665454546</v>
      </c>
      <c r="V12" s="281">
        <f t="shared" si="10"/>
        <v>1796.4252532000003</v>
      </c>
      <c r="W12" s="281">
        <f t="shared" si="10"/>
        <v>1796.4252532000003</v>
      </c>
      <c r="X12" s="217">
        <f>'Tariffs 2022'!BL4</f>
        <v>0</v>
      </c>
      <c r="Y12" s="218" t="str">
        <f>'Tariffs 2022'!BM4</f>
        <v>n</v>
      </c>
      <c r="Z12" s="296"/>
      <c r="AA12" s="296"/>
      <c r="AB12" s="296"/>
      <c r="AC12" s="296"/>
      <c r="AD12" s="296"/>
      <c r="AE12" s="296"/>
      <c r="AF12" s="296"/>
      <c r="AG12" s="296"/>
      <c r="AH12" s="296"/>
      <c r="AI12" s="296"/>
      <c r="AJ12" s="296"/>
      <c r="AK12" s="296"/>
      <c r="AL12" s="296"/>
      <c r="AM12" s="296"/>
      <c r="AN12" s="296"/>
      <c r="AO12" s="296"/>
      <c r="AP12" s="296"/>
      <c r="AQ12" s="296"/>
    </row>
    <row r="13" spans="1:43" x14ac:dyDescent="0.15">
      <c r="A13" s="212" t="str">
        <f>'Tariffs 2022'!K5</f>
        <v>Red Energy</v>
      </c>
      <c r="B13" s="213" t="str">
        <f>'Tariffs 2022'!L5</f>
        <v>Living Energy Saver</v>
      </c>
      <c r="C13" s="214">
        <f>IF('Tariffs 2022'!BP5=0,91*'Tariffs 2022'!M5/100,(91*'Tariffs 2022'!M5/100)+'Tariffs 2022'!BP5/4)</f>
        <v>77.349999999999994</v>
      </c>
      <c r="D13" s="214">
        <f>IF('Tariffs 2022'!O5="",$F$5*'Tariffs 2022'!N5/100,IF($F$5&gt;='Tariffs 2022'!P5,('Tariffs 2022'!P5*'Tariffs 2022'!N5/100),($F$5*'Tariffs 2022'!N5/100)))</f>
        <v>306.54821999999996</v>
      </c>
      <c r="E13" s="214">
        <f>IF(AND('Tariffs 2022'!R5&gt;0,'Tariffs 2022'!T5&gt;0),IF($F$5&lt;'Tariffs 2022'!P5,0,IF(($F$5-'Tariffs 2022'!P5)&lt;='Tariffs 2022'!R5,(($F$5-'Tariffs 2022'!P5)*'Tariffs 2022'!Q5/100),(('Tariffs 2022'!R5-'Tariffs 2022'!P5)*'Tariffs 2022'!Q5/100))),IF(AND('Tariffs 2022'!R5&gt;0,'Tariffs 2022'!T5=""),IF($F$5&lt;'Tariffs 2022'!P5,0, IF(($F$5)&lt;= 'Tariffs 2022'!R5,(($F$5-'Tariffs 2022'!P5)* 'Tariffs 2022'!Q5/100),(( 'Tariffs 2022'!R5-'Tariffs 2022'!P5)* 'Tariffs 2022'!Q5/100))),0))</f>
        <v>0</v>
      </c>
      <c r="F13" s="214">
        <f>IF('Tariffs 2022'!T5&gt;0,IF(($F$5&lt;'Tariffs 2022'!T5),(0),($F$5-'Tariffs 2022'!T5)*'Tariffs 2022'!U5/100),IF(AND('Tariffs 2022'!R5&gt;0,'Tariffs 2022'!T5=""),IF(($F$5&lt;'Tariffs 2022'!R5),(0),($F$5-'Tariffs 2022'!R5)*'Tariffs 2022'!S5/100),IF(AND('Tariffs 2022'!P5&gt;0,'Tariffs 2022'!R5=""),IF(($F$5&lt;'Tariffs 2022'!P5),(0),($F$5-'Tariffs 2022'!P5)*'Tariffs 2022'!Q5/100),0)))</f>
        <v>0</v>
      </c>
      <c r="G13" s="214">
        <f t="shared" si="0"/>
        <v>383.89821999999992</v>
      </c>
      <c r="H13" s="226">
        <f t="shared" si="1"/>
        <v>1226.1928799999996</v>
      </c>
      <c r="I13" s="264">
        <f t="shared" si="2"/>
        <v>1535.5928799999997</v>
      </c>
      <c r="J13" s="215">
        <f t="shared" si="3"/>
        <v>1689.1521679999998</v>
      </c>
      <c r="K13" s="213">
        <f>'Tariffs 2022'!AZ5</f>
        <v>0</v>
      </c>
      <c r="L13" s="213">
        <f>'Tariffs 2022'!BA5</f>
        <v>0</v>
      </c>
      <c r="M13" s="213">
        <f>'Tariffs 2022'!BB5</f>
        <v>0</v>
      </c>
      <c r="N13" s="213">
        <f>'Tariffs 2022'!BC5</f>
        <v>0</v>
      </c>
      <c r="O13" s="215">
        <f>($F$6*'Tariffs 2022'!AT5/100)*4</f>
        <v>178.65624000000003</v>
      </c>
      <c r="P13" s="216" t="str">
        <f t="shared" si="4"/>
        <v>No discount</v>
      </c>
      <c r="Q13" s="216" t="str">
        <f t="shared" si="5"/>
        <v>Inclusive</v>
      </c>
      <c r="R13" s="264">
        <f t="shared" si="6"/>
        <v>1535.5928799999997</v>
      </c>
      <c r="S13" s="264">
        <f t="shared" si="7"/>
        <v>1535.5928799999997</v>
      </c>
      <c r="T13" s="264">
        <f t="shared" si="8"/>
        <v>1356.9366399999997</v>
      </c>
      <c r="U13" s="264">
        <f t="shared" si="9"/>
        <v>1356.9366399999997</v>
      </c>
      <c r="V13" s="281">
        <f t="shared" si="10"/>
        <v>1492.6303039999998</v>
      </c>
      <c r="W13" s="281">
        <f t="shared" si="10"/>
        <v>1492.6303039999998</v>
      </c>
      <c r="X13" s="217">
        <f>'Tariffs 2022'!BL5</f>
        <v>0</v>
      </c>
      <c r="Y13" s="218" t="str">
        <f>'Tariffs 2022'!BM5</f>
        <v>n</v>
      </c>
      <c r="Z13" s="296"/>
      <c r="AA13" s="296"/>
      <c r="AB13" s="296"/>
      <c r="AC13" s="296"/>
      <c r="AD13" s="296"/>
      <c r="AE13" s="296"/>
      <c r="AF13" s="296"/>
      <c r="AG13" s="296"/>
      <c r="AH13" s="296"/>
      <c r="AI13" s="296"/>
      <c r="AJ13" s="296"/>
      <c r="AK13" s="296"/>
      <c r="AL13" s="296"/>
      <c r="AM13" s="296"/>
      <c r="AN13" s="296"/>
      <c r="AO13" s="296"/>
      <c r="AP13" s="296"/>
      <c r="AQ13" s="296"/>
    </row>
    <row r="14" spans="1:43" x14ac:dyDescent="0.15">
      <c r="A14" s="212" t="str">
        <f>'Tariffs 2022'!K6</f>
        <v>Amber Electric</v>
      </c>
      <c r="B14" s="213" t="str">
        <f>'Tariffs 2022'!L6</f>
        <v>Amber Plan</v>
      </c>
      <c r="C14" s="214">
        <f>IF('Tariffs 2022'!BP6=0,91*'Tariffs 2022'!M6/100,(91*'Tariffs 2022'!M6/100)+'Tariffs 2022'!BP6/4)</f>
        <v>121.02218181818181</v>
      </c>
      <c r="D14" s="214">
        <f>IF('Tariffs 2022'!O6="",$F$5*'Tariffs 2022'!N6/100,IF($F$5&gt;='Tariffs 2022'!P6,('Tariffs 2022'!P6*'Tariffs 2022'!N6/100),($F$5*'Tariffs 2022'!N6/100)))</f>
        <v>458.68227463636356</v>
      </c>
      <c r="E14" s="214">
        <f>IF(AND('Tariffs 2022'!R6&gt;0,'Tariffs 2022'!T6&gt;0),IF($F$5&lt;'Tariffs 2022'!P6,0,IF(($F$5-'Tariffs 2022'!P6)&lt;='Tariffs 2022'!R6,(($F$5-'Tariffs 2022'!P6)*'Tariffs 2022'!Q6/100),(('Tariffs 2022'!R6-'Tariffs 2022'!P6)*'Tariffs 2022'!Q6/100))),IF(AND('Tariffs 2022'!R6&gt;0,'Tariffs 2022'!T6=""),IF($F$5&lt;'Tariffs 2022'!P6,0, IF(($F$5)&lt;= 'Tariffs 2022'!R6,(($F$5-'Tariffs 2022'!P6)* 'Tariffs 2022'!Q6/100),(( 'Tariffs 2022'!R6-'Tariffs 2022'!P6)* 'Tariffs 2022'!Q6/100))),0))</f>
        <v>0</v>
      </c>
      <c r="F14" s="214">
        <f>IF('Tariffs 2022'!T6&gt;0,IF(($F$5&lt;'Tariffs 2022'!T6),(0),($F$5-'Tariffs 2022'!T6)*'Tariffs 2022'!U6/100),IF(AND('Tariffs 2022'!R6&gt;0,'Tariffs 2022'!T6=""),IF(($F$5&lt;'Tariffs 2022'!R6),(0),($F$5-'Tariffs 2022'!R6)*'Tariffs 2022'!S6/100),IF(AND('Tariffs 2022'!P6&gt;0,'Tariffs 2022'!R6=""),IF(($F$5&lt;'Tariffs 2022'!P6),(0),($F$5-'Tariffs 2022'!P6)*'Tariffs 2022'!Q6/100),0)))</f>
        <v>0</v>
      </c>
      <c r="G14" s="214">
        <f t="shared" si="0"/>
        <v>579.70445645454538</v>
      </c>
      <c r="H14" s="226">
        <f t="shared" si="1"/>
        <v>1834.7290985454542</v>
      </c>
      <c r="I14" s="264">
        <f t="shared" si="2"/>
        <v>2318.8178258181815</v>
      </c>
      <c r="J14" s="215">
        <f t="shared" si="3"/>
        <v>2550.6996083999998</v>
      </c>
      <c r="K14" s="213">
        <f>'Tariffs 2022'!AZ6</f>
        <v>0</v>
      </c>
      <c r="L14" s="213">
        <f>'Tariffs 2022'!BA6</f>
        <v>0</v>
      </c>
      <c r="M14" s="213">
        <f>'Tariffs 2022'!BB6</f>
        <v>0</v>
      </c>
      <c r="N14" s="213">
        <f>'Tariffs 2022'!BC6</f>
        <v>0</v>
      </c>
      <c r="O14" s="215">
        <f>($F$6*'Tariffs 2022'!AT6/100)*4</f>
        <v>0</v>
      </c>
      <c r="P14" s="216" t="str">
        <f t="shared" si="4"/>
        <v>No discount</v>
      </c>
      <c r="Q14" s="216" t="str">
        <f t="shared" si="5"/>
        <v>Exclusive</v>
      </c>
      <c r="R14" s="279">
        <f t="shared" si="6"/>
        <v>2318.8178258181815</v>
      </c>
      <c r="S14" s="264">
        <f t="shared" si="7"/>
        <v>2318.8178258181815</v>
      </c>
      <c r="T14" s="264">
        <f t="shared" si="8"/>
        <v>2318.8178258181815</v>
      </c>
      <c r="U14" s="264">
        <f t="shared" si="9"/>
        <v>2318.8178258181815</v>
      </c>
      <c r="V14" s="281">
        <f t="shared" si="10"/>
        <v>2550.6996083999998</v>
      </c>
      <c r="W14" s="281">
        <f t="shared" si="10"/>
        <v>2550.6996083999998</v>
      </c>
      <c r="X14" s="217">
        <f>'Tariffs 2022'!BL6</f>
        <v>0</v>
      </c>
      <c r="Y14" s="218" t="str">
        <f>'Tariffs 2022'!BM6</f>
        <v>n</v>
      </c>
      <c r="Z14" s="296"/>
      <c r="AA14" s="296"/>
      <c r="AB14" s="296"/>
      <c r="AC14" s="296"/>
      <c r="AD14" s="296"/>
      <c r="AE14" s="296"/>
      <c r="AF14" s="296"/>
      <c r="AG14" s="296"/>
      <c r="AH14" s="296"/>
      <c r="AI14" s="296"/>
      <c r="AJ14" s="296"/>
      <c r="AK14" s="296"/>
      <c r="AL14" s="296"/>
      <c r="AM14" s="296"/>
      <c r="AN14" s="296"/>
      <c r="AO14" s="296"/>
      <c r="AP14" s="296"/>
      <c r="AQ14" s="296"/>
    </row>
    <row r="15" spans="1:43" customFormat="1" ht="13" x14ac:dyDescent="0.15">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row>
    <row r="16" spans="1:43" customFormat="1" thickBot="1" x14ac:dyDescent="0.2">
      <c r="A16" s="296"/>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row>
    <row r="17" spans="1:43" x14ac:dyDescent="0.15">
      <c r="A17" s="248" t="s">
        <v>30</v>
      </c>
      <c r="B17" s="249"/>
      <c r="C17" s="249"/>
      <c r="D17" s="258"/>
      <c r="E17" s="258"/>
      <c r="F17" s="258"/>
      <c r="G17" s="259"/>
      <c r="H17" s="259"/>
      <c r="I17" s="249"/>
      <c r="J17" s="249"/>
      <c r="K17" s="249"/>
      <c r="L17" s="249"/>
      <c r="M17" s="249"/>
      <c r="N17" s="249"/>
      <c r="O17" s="249"/>
      <c r="P17" s="249"/>
      <c r="Q17" s="249"/>
      <c r="R17" s="249"/>
      <c r="S17" s="249"/>
      <c r="T17" s="249"/>
      <c r="U17" s="249"/>
      <c r="V17" s="249"/>
      <c r="W17" s="249"/>
      <c r="X17" s="249"/>
      <c r="Y17" s="250"/>
      <c r="Z17" s="296"/>
      <c r="AA17" s="296"/>
      <c r="AB17" s="296"/>
      <c r="AC17" s="296"/>
      <c r="AD17" s="296"/>
      <c r="AE17" s="296"/>
      <c r="AF17" s="296"/>
      <c r="AG17" s="296"/>
      <c r="AH17" s="296"/>
      <c r="AI17" s="296"/>
      <c r="AJ17" s="296"/>
      <c r="AK17" s="296"/>
      <c r="AL17" s="296"/>
      <c r="AM17" s="296"/>
      <c r="AN17" s="296"/>
      <c r="AO17" s="296"/>
      <c r="AP17" s="296"/>
      <c r="AQ17" s="296"/>
    </row>
    <row r="18" spans="1:43" ht="90" x14ac:dyDescent="0.15">
      <c r="A18" s="251" t="s">
        <v>147</v>
      </c>
      <c r="B18" s="252" t="s">
        <v>133</v>
      </c>
      <c r="C18" s="253" t="s">
        <v>184</v>
      </c>
      <c r="D18" s="253" t="s">
        <v>16</v>
      </c>
      <c r="E18" s="253" t="s">
        <v>186</v>
      </c>
      <c r="F18" s="253" t="s">
        <v>113</v>
      </c>
      <c r="G18" s="253" t="s">
        <v>74</v>
      </c>
      <c r="H18" s="261" t="s">
        <v>34</v>
      </c>
      <c r="I18" s="261" t="s">
        <v>121</v>
      </c>
      <c r="J18" s="254" t="s">
        <v>360</v>
      </c>
      <c r="K18" s="255" t="s">
        <v>119</v>
      </c>
      <c r="L18" s="255" t="s">
        <v>63</v>
      </c>
      <c r="M18" s="255" t="s">
        <v>91</v>
      </c>
      <c r="N18" s="255" t="s">
        <v>150</v>
      </c>
      <c r="O18" s="256" t="s">
        <v>430</v>
      </c>
      <c r="P18" s="262" t="s">
        <v>361</v>
      </c>
      <c r="Q18" s="262" t="s">
        <v>362</v>
      </c>
      <c r="R18" s="263" t="s">
        <v>102</v>
      </c>
      <c r="S18" s="263" t="s">
        <v>29</v>
      </c>
      <c r="T18" s="263" t="s">
        <v>226</v>
      </c>
      <c r="U18" s="263" t="s">
        <v>100</v>
      </c>
      <c r="V18" s="256" t="s">
        <v>101</v>
      </c>
      <c r="W18" s="256" t="s">
        <v>174</v>
      </c>
      <c r="X18" s="260" t="s">
        <v>142</v>
      </c>
      <c r="Y18" s="257" t="s">
        <v>143</v>
      </c>
      <c r="Z18" s="296"/>
      <c r="AA18" s="296"/>
      <c r="AB18" s="296"/>
      <c r="AC18" s="296"/>
      <c r="AD18" s="296"/>
      <c r="AE18" s="296"/>
      <c r="AF18" s="296"/>
      <c r="AG18" s="296"/>
      <c r="AH18" s="296"/>
      <c r="AI18" s="296"/>
      <c r="AJ18" s="296"/>
      <c r="AK18" s="296"/>
      <c r="AL18" s="296"/>
      <c r="AM18" s="296"/>
      <c r="AN18" s="296"/>
      <c r="AO18" s="296"/>
      <c r="AP18" s="296"/>
      <c r="AQ18" s="296"/>
    </row>
    <row r="19" spans="1:43" x14ac:dyDescent="0.15">
      <c r="A19" s="212" t="str">
        <f>'Tariffs 2022'!K7</f>
        <v>ActewAGL</v>
      </c>
      <c r="B19" s="213" t="str">
        <f>'Tariffs 2022'!L7</f>
        <v>Solar Plus</v>
      </c>
      <c r="C19" s="226">
        <f>IF('Tariffs 2022'!BP7=0,91*'Tariffs 2022'!M7/100,(91*'Tariffs 2022'!M7/100)+'Tariffs 2022'!BP7/4)</f>
        <v>85.312499999999986</v>
      </c>
      <c r="D19" s="226">
        <f>IF('Tariffs 2022'!O7="",$K$5*'Tariffs 2022'!N7/100,IF($K$5&gt;='Tariffs 2022'!P7,('Tariffs 2022'!P7*'Tariffs 2022'!N7/100),($K$5*'Tariffs 2022'!N7/100)))</f>
        <v>245.44125250909087</v>
      </c>
      <c r="E19" s="226">
        <f>IF('Tariffs 2022'!T7&gt;0,IF(($F$5&lt;'Tariffs 2022'!T7),(0),($F$5-'Tariffs 2022'!T7)*'Tariffs 2022'!U7/100),IF(AND('Tariffs 2022'!R7&gt;0,'Tariffs 2022'!T7=""),IF(($F$5&lt;'Tariffs 2022'!R7),(0),($F$5-'Tariffs 2022'!R7)*'Tariffs 2022'!S7/100),IF(AND('Tariffs 2022'!P7&gt;0,'Tariffs 2022'!R7=""),IF(($F$5&lt;'Tariffs 2022'!P7),(0),($F$5-'Tariffs 2022'!P7)*'Tariffs 2022'!Q7/100),0)))</f>
        <v>0</v>
      </c>
      <c r="F19" s="226">
        <f>($L$5)*'Tariffs 2022'!AE7/100</f>
        <v>65.249168645454532</v>
      </c>
      <c r="G19" s="226">
        <f>SUM(C19:F19)</f>
        <v>396.00292115454539</v>
      </c>
      <c r="H19" s="226">
        <f t="shared" ref="H19:H22" si="11">(G19-C19)*4</f>
        <v>1242.7616846181816</v>
      </c>
      <c r="I19" s="264">
        <f t="shared" ref="I19:I22" si="12">G19*4</f>
        <v>1584.0116846181816</v>
      </c>
      <c r="J19" s="215">
        <f>I19*1.1</f>
        <v>1742.4128530799999</v>
      </c>
      <c r="K19" s="213">
        <f>'Tariffs 2022'!AZ7</f>
        <v>5</v>
      </c>
      <c r="L19" s="213">
        <f>'Tariffs 2022'!BA7</f>
        <v>0</v>
      </c>
      <c r="M19" s="213">
        <f>'Tariffs 2022'!BB7</f>
        <v>0</v>
      </c>
      <c r="N19" s="213">
        <f>'Tariffs 2022'!BC7</f>
        <v>0</v>
      </c>
      <c r="O19" s="215">
        <f>($F$6*'Tariffs 2022'!AT7/100)*4</f>
        <v>297.7604</v>
      </c>
      <c r="P19" s="216" t="str">
        <f t="shared" ref="P19:P22" si="13">IF(SUM(K19:N19)=0,"No discount",IF(K19&gt;0,"Guaranteed off bill",IF(L19&gt;0,"Guaranteed off usage",IF(M19&gt;0,"Pay-on-time off bill","Pay-on-time off usage"))))</f>
        <v>Guaranteed off bill</v>
      </c>
      <c r="Q19" s="216" t="str">
        <f t="shared" ref="Q19:Q22" si="14">IF(OR(A19="Origin Energy",A19="Red Energy",A19="Powershop"),"Inclusive","Exclusive")</f>
        <v>Exclusive</v>
      </c>
      <c r="R19" s="279">
        <f t="shared" ref="R19:R22" si="15">IF(AND(P19="Guaranteed off bill",Q19="Inclusive"),((I19*1.1)-((I19*1.1)*K19/100))/1.1,IF(AND(P19="Guaranteed off usage",Q19="Inclusive"),((I19*1.1)-((H19*1.1)*L19/100))/1.1,IF(AND(P19="Guaranteed off bill",Q19="Exclusive"),I19-(I19*K19/100),IF(AND(P19="Guaranteed off usage",Q19="Exclusive"),I19-(H19*L19/100),IF(Q19="Inclusive",((I19*1.1))/1.1,I19)))))</f>
        <v>1504.8111003872725</v>
      </c>
      <c r="S19" s="264">
        <f t="shared" ref="S19:S22" si="16">IF(AND(P19="Pay-on-time off bill",Q19="Inclusive"),((R19*1.1)-((R19*1.1)*M19/100))/1.1,IF(AND(P19="Pay-on-time off usage",Q19="Inclusive"),((R19*1.1)-((H19*1.1)*N19/100))/1.1,IF(AND(P19="Pay-on-time off bill",Q19="Exclusive"),R19-(R19*M19/100),IF(AND(P19="Pay-on-time off usage",Q19="Exclusive"),R19-(H19*N19/100),IF(Q19="Inclusive",((R19*1.1))/1.1,R19)))))</f>
        <v>1504.8111003872725</v>
      </c>
      <c r="T19" s="264">
        <f>R19-O19</f>
        <v>1207.0507003872726</v>
      </c>
      <c r="U19" s="264">
        <f>S19-O19</f>
        <v>1207.0507003872726</v>
      </c>
      <c r="V19" s="281">
        <f t="shared" ref="V19:W22" si="17">T19*1.1</f>
        <v>1327.755770426</v>
      </c>
      <c r="W19" s="281">
        <f t="shared" si="17"/>
        <v>1327.755770426</v>
      </c>
      <c r="X19" s="217">
        <f>'Tariffs 2022'!BL7</f>
        <v>12</v>
      </c>
      <c r="Y19" s="218" t="str">
        <f>'Tariffs 2022'!BM7</f>
        <v>n</v>
      </c>
      <c r="Z19" s="296"/>
      <c r="AA19" s="296"/>
      <c r="AB19" s="296"/>
      <c r="AC19" s="296"/>
      <c r="AD19" s="296"/>
      <c r="AE19" s="296"/>
      <c r="AF19" s="296"/>
      <c r="AG19" s="296"/>
      <c r="AH19" s="296"/>
      <c r="AI19" s="296"/>
      <c r="AJ19" s="296"/>
      <c r="AK19" s="296"/>
      <c r="AL19" s="296"/>
      <c r="AM19" s="296"/>
      <c r="AN19" s="296"/>
      <c r="AO19" s="296"/>
      <c r="AP19" s="296"/>
      <c r="AQ19" s="296"/>
    </row>
    <row r="20" spans="1:43" x14ac:dyDescent="0.15">
      <c r="A20" s="212" t="str">
        <f>'Tariffs 2022'!K8</f>
        <v>EnergyAustralia</v>
      </c>
      <c r="B20" s="213" t="str">
        <f>'Tariffs 2022'!L8</f>
        <v>Solar Max</v>
      </c>
      <c r="C20" s="226">
        <f>IF('Tariffs 2022'!BP8=0,91*'Tariffs 2022'!M8/100,(91*'Tariffs 2022'!M8/100)+'Tariffs 2022'!BP8/4)</f>
        <v>86.069454545454533</v>
      </c>
      <c r="D20" s="226">
        <f>IF('Tariffs 2022'!O8="",$K$5*'Tariffs 2022'!N8/100,IF($K$5&gt;='Tariffs 2022'!P8,('Tariffs 2022'!P8*'Tariffs 2022'!N8/100),($K$5*'Tariffs 2022'!N8/100)))</f>
        <v>279.04755117272725</v>
      </c>
      <c r="E20" s="226">
        <f>IF('Tariffs 2022'!T8&gt;0,IF(($F$5&lt;'Tariffs 2022'!T8),(0),($F$5-'Tariffs 2022'!T8)*'Tariffs 2022'!U8/100),IF(AND('Tariffs 2022'!R8&gt;0,'Tariffs 2022'!T8=""),IF(($F$5&lt;'Tariffs 2022'!R8),(0),($F$5-'Tariffs 2022'!R8)*'Tariffs 2022'!S8/100),IF(AND('Tariffs 2022'!P8&gt;0,'Tariffs 2022'!R8=""),IF(($F$5&lt;'Tariffs 2022'!P8),(0),($F$5-'Tariffs 2022'!P8)*'Tariffs 2022'!Q8/100),0)))</f>
        <v>0</v>
      </c>
      <c r="F20" s="226">
        <f>($L$5)*'Tariffs 2022'!AE8/100</f>
        <v>67.68128675454544</v>
      </c>
      <c r="G20" s="226">
        <f>SUM(C20:F20)</f>
        <v>432.79829247272721</v>
      </c>
      <c r="H20" s="226">
        <f t="shared" si="11"/>
        <v>1386.9153517090908</v>
      </c>
      <c r="I20" s="264">
        <f t="shared" si="12"/>
        <v>1731.1931698909088</v>
      </c>
      <c r="J20" s="215">
        <f>I20*1.1</f>
        <v>1904.3124868799998</v>
      </c>
      <c r="K20" s="213">
        <f>'Tariffs 2022'!AZ8</f>
        <v>0</v>
      </c>
      <c r="L20" s="213">
        <f>'Tariffs 2022'!BA8</f>
        <v>0</v>
      </c>
      <c r="M20" s="213">
        <f>'Tariffs 2022'!BB8</f>
        <v>0</v>
      </c>
      <c r="N20" s="213">
        <f>'Tariffs 2022'!BC8</f>
        <v>0</v>
      </c>
      <c r="O20" s="215">
        <f>($F$6*'Tariffs 2022'!AT8/100)*4</f>
        <v>297.7604</v>
      </c>
      <c r="P20" s="216" t="str">
        <f t="shared" si="13"/>
        <v>No discount</v>
      </c>
      <c r="Q20" s="216" t="str">
        <f t="shared" si="14"/>
        <v>Exclusive</v>
      </c>
      <c r="R20" s="279">
        <f t="shared" si="15"/>
        <v>1731.1931698909088</v>
      </c>
      <c r="S20" s="264">
        <f t="shared" si="16"/>
        <v>1731.1931698909088</v>
      </c>
      <c r="T20" s="264">
        <f>R20-O20</f>
        <v>1433.4327698909087</v>
      </c>
      <c r="U20" s="264">
        <f>S20-O20</f>
        <v>1433.4327698909087</v>
      </c>
      <c r="V20" s="281">
        <f t="shared" si="17"/>
        <v>1576.7760468799997</v>
      </c>
      <c r="W20" s="281">
        <f t="shared" si="17"/>
        <v>1576.7760468799997</v>
      </c>
      <c r="X20" s="217">
        <f>'Tariffs 2022'!BL8</f>
        <v>0</v>
      </c>
      <c r="Y20" s="218" t="str">
        <f>'Tariffs 2022'!BM8</f>
        <v>n</v>
      </c>
      <c r="Z20" s="296"/>
      <c r="AA20" s="296"/>
      <c r="AB20" s="296"/>
      <c r="AC20" s="296"/>
      <c r="AD20" s="296"/>
      <c r="AE20" s="296"/>
      <c r="AF20" s="296"/>
      <c r="AG20" s="296"/>
      <c r="AH20" s="296"/>
      <c r="AI20" s="296"/>
      <c r="AJ20" s="296"/>
      <c r="AK20" s="296"/>
      <c r="AL20" s="296"/>
      <c r="AM20" s="296"/>
      <c r="AN20" s="296"/>
      <c r="AO20" s="296"/>
      <c r="AP20" s="296"/>
      <c r="AQ20" s="296"/>
    </row>
    <row r="21" spans="1:43" x14ac:dyDescent="0.15">
      <c r="A21" s="212" t="str">
        <f>'Tariffs 2022'!K9</f>
        <v>Origin Energy</v>
      </c>
      <c r="B21" s="213" t="str">
        <f>'Tariffs 2022'!L9</f>
        <v>Solar Boost</v>
      </c>
      <c r="C21" s="226">
        <f>IF('Tariffs 2022'!BP9=0,91*'Tariffs 2022'!M9/100,(91*'Tariffs 2022'!M9/100)+'Tariffs 2022'!BP9/4)</f>
        <v>98.519909090909081</v>
      </c>
      <c r="D21" s="226">
        <f>IF('Tariffs 2022'!O9="",$K$5*'Tariffs 2022'!N9/100,IF($K$5&gt;='Tariffs 2022'!P9,('Tariffs 2022'!P9*'Tariffs 2022'!N9/100),($K$5*'Tariffs 2022'!N9/100)))</f>
        <v>268.93906028181817</v>
      </c>
      <c r="E21" s="226">
        <f>IF('Tariffs 2022'!T9&gt;0,IF(($F$5&lt;'Tariffs 2022'!T9),(0),($F$5-'Tariffs 2022'!T9)*'Tariffs 2022'!U9/100),IF(AND('Tariffs 2022'!R9&gt;0,'Tariffs 2022'!T9=""),IF(($F$5&lt;'Tariffs 2022'!R9),(0),($F$5-'Tariffs 2022'!R9)*'Tariffs 2022'!S9/100),IF(AND('Tariffs 2022'!P9&gt;0,'Tariffs 2022'!R9=""),IF(($F$5&lt;'Tariffs 2022'!P9),(0),($F$5-'Tariffs 2022'!P9)*'Tariffs 2022'!Q9/100),0)))</f>
        <v>0</v>
      </c>
      <c r="F21" s="226">
        <f>($L$5)*'Tariffs 2022'!AE9/100</f>
        <v>60.004913972727252</v>
      </c>
      <c r="G21" s="226">
        <f>SUM(C21:F21)</f>
        <v>427.46388334545452</v>
      </c>
      <c r="H21" s="226">
        <f t="shared" si="11"/>
        <v>1315.7758970181817</v>
      </c>
      <c r="I21" s="264">
        <f t="shared" si="12"/>
        <v>1709.8555333818181</v>
      </c>
      <c r="J21" s="215">
        <f t="shared" ref="J21:J22" si="18">I21*1.1</f>
        <v>1880.84108672</v>
      </c>
      <c r="K21" s="213">
        <f>'Tariffs 2022'!AZ9</f>
        <v>0</v>
      </c>
      <c r="L21" s="213">
        <f>'Tariffs 2022'!BA9</f>
        <v>0</v>
      </c>
      <c r="M21" s="213">
        <f>'Tariffs 2022'!BB9</f>
        <v>0</v>
      </c>
      <c r="N21" s="213">
        <f>'Tariffs 2022'!BC9</f>
        <v>0</v>
      </c>
      <c r="O21" s="215">
        <f>($F$6*'Tariffs 2022'!AT9/100)*4</f>
        <v>297.7604</v>
      </c>
      <c r="P21" s="216" t="str">
        <f t="shared" si="13"/>
        <v>No discount</v>
      </c>
      <c r="Q21" s="216" t="str">
        <f t="shared" si="14"/>
        <v>Inclusive</v>
      </c>
      <c r="R21" s="279">
        <f t="shared" si="15"/>
        <v>1709.8555333818181</v>
      </c>
      <c r="S21" s="264">
        <f t="shared" si="16"/>
        <v>1709.8555333818181</v>
      </c>
      <c r="T21" s="264">
        <f>R21-O21</f>
        <v>1412.095133381818</v>
      </c>
      <c r="U21" s="264">
        <f>S21-O21</f>
        <v>1412.095133381818</v>
      </c>
      <c r="V21" s="281">
        <f t="shared" si="17"/>
        <v>1553.3046467199999</v>
      </c>
      <c r="W21" s="281">
        <f t="shared" si="17"/>
        <v>1553.3046467199999</v>
      </c>
      <c r="X21" s="217">
        <f>'Tariffs 2022'!BL9</f>
        <v>0</v>
      </c>
      <c r="Y21" s="218" t="str">
        <f>'Tariffs 2022'!BM9</f>
        <v>n</v>
      </c>
      <c r="Z21" s="296"/>
      <c r="AA21" s="296"/>
      <c r="AB21" s="296"/>
      <c r="AC21" s="296"/>
      <c r="AD21" s="296"/>
      <c r="AE21" s="296"/>
      <c r="AF21" s="296"/>
      <c r="AG21" s="296"/>
      <c r="AH21" s="296"/>
      <c r="AI21" s="296"/>
      <c r="AJ21" s="296"/>
      <c r="AK21" s="296"/>
      <c r="AL21" s="296"/>
      <c r="AM21" s="296"/>
      <c r="AN21" s="296"/>
      <c r="AO21" s="296"/>
      <c r="AP21" s="296"/>
      <c r="AQ21" s="296"/>
    </row>
    <row r="22" spans="1:43" x14ac:dyDescent="0.15">
      <c r="A22" s="212" t="str">
        <f>'Tariffs 2022'!K10</f>
        <v>Red Energy</v>
      </c>
      <c r="B22" s="213" t="str">
        <f>'Tariffs 2022'!L10</f>
        <v>Living Energy Saver</v>
      </c>
      <c r="C22" s="226">
        <f>IF('Tariffs 2022'!BP10=0,91*'Tariffs 2022'!M10/100,(91*'Tariffs 2022'!M10/100)+'Tariffs 2022'!BP10/4)</f>
        <v>77.349999999999994</v>
      </c>
      <c r="D22" s="226">
        <f>IF('Tariffs 2022'!O10="",$K$5*'Tariffs 2022'!N10/100,IF($K$5&gt;='Tariffs 2022'!P10,('Tariffs 2022'!P10*'Tariffs 2022'!N10/100),($K$5*'Tariffs 2022'!N10/100)))</f>
        <v>214.58375399999997</v>
      </c>
      <c r="E22" s="226">
        <f>IF('Tariffs 2022'!T10&gt;0,IF(($F$5&lt;'Tariffs 2022'!T10),(0),($F$5-'Tariffs 2022'!T10)*'Tariffs 2022'!U10/100),IF(AND('Tariffs 2022'!R10&gt;0,'Tariffs 2022'!T10=""),IF(($F$5&lt;'Tariffs 2022'!R10),(0),($F$5-'Tariffs 2022'!R10)*'Tariffs 2022'!S10/100),IF(AND('Tariffs 2022'!P10&gt;0,'Tariffs 2022'!R10=""),IF(($F$5&lt;'Tariffs 2022'!P10),(0),($F$5-'Tariffs 2022'!P10)*'Tariffs 2022'!Q10/100),0)))</f>
        <v>0</v>
      </c>
      <c r="F22" s="226">
        <f>($L$5)*'Tariffs 2022'!AE10/100</f>
        <v>50.162435999999985</v>
      </c>
      <c r="G22" s="226">
        <f>SUM(C22:F22)</f>
        <v>342.09618999999998</v>
      </c>
      <c r="H22" s="226">
        <f t="shared" si="11"/>
        <v>1058.9847599999998</v>
      </c>
      <c r="I22" s="264">
        <f t="shared" si="12"/>
        <v>1368.3847599999999</v>
      </c>
      <c r="J22" s="215">
        <f t="shared" si="18"/>
        <v>1505.223236</v>
      </c>
      <c r="K22" s="213">
        <f>'Tariffs 2022'!AZ10</f>
        <v>0</v>
      </c>
      <c r="L22" s="213">
        <f>'Tariffs 2022'!BA10</f>
        <v>0</v>
      </c>
      <c r="M22" s="213">
        <f>'Tariffs 2022'!BB10</f>
        <v>0</v>
      </c>
      <c r="N22" s="213">
        <f>'Tariffs 2022'!BC10</f>
        <v>0</v>
      </c>
      <c r="O22" s="215">
        <f>($F$6*'Tariffs 2022'!AT10/100)*4</f>
        <v>178.65624000000003</v>
      </c>
      <c r="P22" s="216" t="str">
        <f t="shared" si="13"/>
        <v>No discount</v>
      </c>
      <c r="Q22" s="216" t="str">
        <f t="shared" si="14"/>
        <v>Inclusive</v>
      </c>
      <c r="R22" s="279">
        <f t="shared" si="15"/>
        <v>1368.3847599999999</v>
      </c>
      <c r="S22" s="264">
        <f t="shared" si="16"/>
        <v>1368.3847599999999</v>
      </c>
      <c r="T22" s="264">
        <f>R22-O22</f>
        <v>1189.7285199999999</v>
      </c>
      <c r="U22" s="264">
        <f>S22-O22</f>
        <v>1189.7285199999999</v>
      </c>
      <c r="V22" s="281">
        <f t="shared" si="17"/>
        <v>1308.701372</v>
      </c>
      <c r="W22" s="281">
        <f t="shared" si="17"/>
        <v>1308.701372</v>
      </c>
      <c r="X22" s="217">
        <f>'Tariffs 2022'!BL10</f>
        <v>0</v>
      </c>
      <c r="Y22" s="218" t="str">
        <f>'Tariffs 2022'!BM10</f>
        <v>n</v>
      </c>
      <c r="Z22" s="296"/>
      <c r="AA22" s="296"/>
      <c r="AB22" s="296"/>
      <c r="AC22" s="296"/>
      <c r="AD22" s="296"/>
      <c r="AE22" s="296"/>
      <c r="AF22" s="296"/>
      <c r="AG22" s="296"/>
      <c r="AH22" s="296"/>
      <c r="AI22" s="296"/>
      <c r="AJ22" s="296"/>
      <c r="AK22" s="296"/>
      <c r="AL22" s="296"/>
      <c r="AM22" s="296"/>
      <c r="AN22" s="296"/>
      <c r="AO22" s="296"/>
      <c r="AP22" s="296"/>
      <c r="AQ22" s="296"/>
    </row>
    <row r="23" spans="1:43" customFormat="1" ht="13" x14ac:dyDescent="0.15">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row>
    <row r="24" spans="1:43" customFormat="1" thickBot="1" x14ac:dyDescent="0.2">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row>
    <row r="25" spans="1:43" x14ac:dyDescent="0.15">
      <c r="A25" s="248" t="s">
        <v>11</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50"/>
      <c r="Z25" s="296"/>
      <c r="AA25" s="296"/>
      <c r="AB25" s="296"/>
      <c r="AC25" s="296"/>
      <c r="AD25" s="296"/>
      <c r="AE25" s="296"/>
      <c r="AF25" s="296"/>
      <c r="AG25" s="296"/>
      <c r="AH25" s="296"/>
      <c r="AI25" s="296"/>
      <c r="AJ25" s="296"/>
      <c r="AK25" s="296"/>
      <c r="AL25" s="296"/>
      <c r="AM25" s="296"/>
      <c r="AN25" s="296"/>
      <c r="AO25" s="296"/>
      <c r="AP25" s="296"/>
      <c r="AQ25" s="296"/>
    </row>
    <row r="26" spans="1:43" ht="90" x14ac:dyDescent="0.15">
      <c r="A26" s="251" t="s">
        <v>147</v>
      </c>
      <c r="B26" s="252" t="s">
        <v>133</v>
      </c>
      <c r="C26" s="253" t="s">
        <v>184</v>
      </c>
      <c r="D26" s="253" t="s">
        <v>16</v>
      </c>
      <c r="E26" s="253" t="s">
        <v>32</v>
      </c>
      <c r="F26" s="253" t="s">
        <v>33</v>
      </c>
      <c r="G26" s="253" t="s">
        <v>74</v>
      </c>
      <c r="H26" s="261" t="s">
        <v>34</v>
      </c>
      <c r="I26" s="261" t="s">
        <v>121</v>
      </c>
      <c r="J26" s="254" t="s">
        <v>360</v>
      </c>
      <c r="K26" s="255" t="s">
        <v>119</v>
      </c>
      <c r="L26" s="255" t="s">
        <v>63</v>
      </c>
      <c r="M26" s="255" t="s">
        <v>91</v>
      </c>
      <c r="N26" s="255" t="s">
        <v>150</v>
      </c>
      <c r="O26" s="256" t="s">
        <v>430</v>
      </c>
      <c r="P26" s="262" t="s">
        <v>361</v>
      </c>
      <c r="Q26" s="262" t="s">
        <v>362</v>
      </c>
      <c r="R26" s="263" t="s">
        <v>102</v>
      </c>
      <c r="S26" s="263" t="s">
        <v>29</v>
      </c>
      <c r="T26" s="263" t="s">
        <v>226</v>
      </c>
      <c r="U26" s="263" t="s">
        <v>100</v>
      </c>
      <c r="V26" s="256" t="s">
        <v>101</v>
      </c>
      <c r="W26" s="256" t="s">
        <v>174</v>
      </c>
      <c r="X26" s="255" t="s">
        <v>142</v>
      </c>
      <c r="Y26" s="257" t="s">
        <v>143</v>
      </c>
      <c r="Z26" s="296"/>
      <c r="AA26" s="296"/>
      <c r="AB26" s="296"/>
      <c r="AC26" s="296"/>
      <c r="AD26" s="296"/>
      <c r="AE26" s="296"/>
      <c r="AF26" s="296"/>
      <c r="AG26" s="296"/>
      <c r="AH26" s="296"/>
      <c r="AI26" s="296"/>
      <c r="AJ26" s="296"/>
      <c r="AK26" s="296"/>
      <c r="AL26" s="296"/>
      <c r="AM26" s="296"/>
      <c r="AN26" s="296"/>
      <c r="AO26" s="296"/>
      <c r="AP26" s="296"/>
      <c r="AQ26" s="296"/>
    </row>
    <row r="27" spans="1:43" x14ac:dyDescent="0.15">
      <c r="A27" s="212" t="str">
        <f>'Tariffs 2022'!K11</f>
        <v>ActewAGL</v>
      </c>
      <c r="B27" s="213" t="str">
        <f>'Tariffs 2022'!L11</f>
        <v>Solar Plus</v>
      </c>
      <c r="C27" s="226">
        <f>IF('Tariffs 2022'!BP11=0,91*'Tariffs 2022'!M11/100,(91*'Tariffs 2022'!M11/100)+'Tariffs 2022'!BP11/4)</f>
        <v>85.312499999999986</v>
      </c>
      <c r="D27" s="226">
        <f>IF('Tariffs 2022'!O11="",$K$6*'Tariffs 2022'!N11/100,IF($K$6&gt;='Tariffs 2022'!P11,('Tariffs 2022'!P11*'Tariffs 2022'!N11/100),($K$6*'Tariffs 2022'!N11/100)))</f>
        <v>93.231194181818154</v>
      </c>
      <c r="E27" s="226">
        <f>($M$6)*'Tariffs 2022'!AH11/100</f>
        <v>161.31783395454545</v>
      </c>
      <c r="F27" s="226">
        <f>($L$6)*'Tariffs 2022'!W11/100</f>
        <v>83.224041545454526</v>
      </c>
      <c r="G27" s="226">
        <f t="shared" ref="G27:G30" si="19">SUM(C27:F27)</f>
        <v>423.08556968181813</v>
      </c>
      <c r="H27" s="226">
        <f t="shared" ref="H27:H30" si="20">(G27-C27)*4</f>
        <v>1351.0922787272725</v>
      </c>
      <c r="I27" s="264">
        <f t="shared" ref="I27:I30" si="21">G27*4</f>
        <v>1692.3422787272725</v>
      </c>
      <c r="J27" s="215">
        <f>I27*1.1</f>
        <v>1861.5765065999999</v>
      </c>
      <c r="K27" s="213">
        <f>'Tariffs 2022'!AZ11</f>
        <v>5</v>
      </c>
      <c r="L27" s="213">
        <f>'Tariffs 2022'!BA11</f>
        <v>0</v>
      </c>
      <c r="M27" s="213">
        <f>'Tariffs 2022'!BB11</f>
        <v>0</v>
      </c>
      <c r="N27" s="213">
        <f>'Tariffs 2022'!BC11</f>
        <v>0</v>
      </c>
      <c r="O27" s="215">
        <f>($F$6*'Tariffs 2022'!AT11/100)*4</f>
        <v>297.7604</v>
      </c>
      <c r="P27" s="216" t="str">
        <f t="shared" ref="P27:P30" si="22">IF(SUM(K27:N27)=0,"No discount",IF(K27&gt;0,"Guaranteed off bill",IF(L27&gt;0,"Guaranteed off usage",IF(M27&gt;0,"Pay-on-time off bill","Pay-on-time off usage"))))</f>
        <v>Guaranteed off bill</v>
      </c>
      <c r="Q27" s="216" t="str">
        <f t="shared" ref="Q27:Q30" si="23">IF(OR(A27="Origin Energy",A27="Red Energy",A27="Powershop"),"Inclusive","Exclusive")</f>
        <v>Exclusive</v>
      </c>
      <c r="R27" s="279">
        <f t="shared" ref="R27:R30" si="24">IF(AND(P27="Guaranteed off bill",Q27="Inclusive"),((I27*1.1)-((I27*1.1)*K27/100))/1.1,IF(AND(P27="Guaranteed off usage",Q27="Inclusive"),((I27*1.1)-((H27*1.1)*L27/100))/1.1,IF(AND(P27="Guaranteed off bill",Q27="Exclusive"),I27-(I27*K27/100),IF(AND(P27="Guaranteed off usage",Q27="Exclusive"),I27-(H27*L27/100),IF(Q27="Inclusive",((I27*1.1))/1.1,I27)))))</f>
        <v>1607.7251647909088</v>
      </c>
      <c r="S27" s="264">
        <f t="shared" ref="S27:S30" si="25">IF(AND(P27="Pay-on-time off bill",Q27="Inclusive"),((R27*1.1)-((R27*1.1)*M27/100))/1.1,IF(AND(P27="Pay-on-time off usage",Q27="Inclusive"),((R27*1.1)-((H27*1.1)*N27/100))/1.1,IF(AND(P27="Pay-on-time off bill",Q27="Exclusive"),R27-(R27*M27/100),IF(AND(P27="Pay-on-time off usage",Q27="Exclusive"),R27-(H27*N27/100),IF(Q27="Inclusive",((R27*1.1))/1.1,R27)))))</f>
        <v>1607.7251647909088</v>
      </c>
      <c r="T27" s="264">
        <f t="shared" ref="T27:T30" si="26">R27-O27</f>
        <v>1309.9647647909087</v>
      </c>
      <c r="U27" s="264">
        <f t="shared" ref="U27:U30" si="27">S27-O27</f>
        <v>1309.9647647909087</v>
      </c>
      <c r="V27" s="281">
        <f t="shared" ref="V27:W30" si="28">T27*1.1</f>
        <v>1440.9612412699996</v>
      </c>
      <c r="W27" s="281">
        <f t="shared" si="28"/>
        <v>1440.9612412699996</v>
      </c>
      <c r="X27" s="217">
        <f>'Tariffs 2022'!BL11</f>
        <v>12</v>
      </c>
      <c r="Y27" s="218" t="str">
        <f>'Tariffs 2022'!BM11</f>
        <v>n</v>
      </c>
      <c r="Z27" s="296"/>
      <c r="AA27" s="296"/>
      <c r="AB27" s="296"/>
      <c r="AC27" s="296"/>
      <c r="AD27" s="296"/>
      <c r="AE27" s="296"/>
      <c r="AF27" s="296"/>
      <c r="AG27" s="296"/>
      <c r="AH27" s="296"/>
      <c r="AI27" s="296"/>
      <c r="AJ27" s="296"/>
      <c r="AK27" s="296"/>
      <c r="AL27" s="296"/>
      <c r="AM27" s="296"/>
      <c r="AN27" s="296"/>
      <c r="AO27" s="296"/>
      <c r="AP27" s="296"/>
      <c r="AQ27" s="296"/>
    </row>
    <row r="28" spans="1:43" x14ac:dyDescent="0.15">
      <c r="A28" s="212" t="str">
        <f>'Tariffs 2022'!K12</f>
        <v>EnergyAustralia</v>
      </c>
      <c r="B28" s="213" t="str">
        <f>'Tariffs 2022'!L12</f>
        <v>Solar Max</v>
      </c>
      <c r="C28" s="226">
        <f>IF('Tariffs 2022'!BP12=0,91*'Tariffs 2022'!M12/100,(91*'Tariffs 2022'!M12/100)+'Tariffs 2022'!BP12/4)</f>
        <v>80.121363636363625</v>
      </c>
      <c r="D28" s="226">
        <f>IF('Tariffs 2022'!O12="",$K$6*'Tariffs 2022'!N12/100,IF($K$6&gt;='Tariffs 2022'!P12,('Tariffs 2022'!P12*'Tariffs 2022'!N12/100),($K$6*'Tariffs 2022'!N12/100)))</f>
        <v>93.383201563636362</v>
      </c>
      <c r="E28" s="226">
        <f>($M$6)*'Tariffs 2022'!AH12/100</f>
        <v>169.17154868181819</v>
      </c>
      <c r="F28" s="226">
        <f>($L$6)*'Tariffs 2022'!W12/100</f>
        <v>76.953737045454531</v>
      </c>
      <c r="G28" s="226">
        <f t="shared" si="19"/>
        <v>419.62985092727274</v>
      </c>
      <c r="H28" s="226">
        <f t="shared" si="20"/>
        <v>1358.0339491636364</v>
      </c>
      <c r="I28" s="264">
        <f t="shared" si="21"/>
        <v>1678.519403709091</v>
      </c>
      <c r="J28" s="215">
        <f>I28*1.1</f>
        <v>1846.3713440800002</v>
      </c>
      <c r="K28" s="213">
        <f>'Tariffs 2022'!AZ12</f>
        <v>0</v>
      </c>
      <c r="L28" s="213">
        <f>'Tariffs 2022'!BA12</f>
        <v>0</v>
      </c>
      <c r="M28" s="213">
        <f>'Tariffs 2022'!BB12</f>
        <v>0</v>
      </c>
      <c r="N28" s="213">
        <f>'Tariffs 2022'!BC12</f>
        <v>0</v>
      </c>
      <c r="O28" s="215">
        <f>($F$6*'Tariffs 2022'!AT12/100)*4</f>
        <v>297.7604</v>
      </c>
      <c r="P28" s="216" t="str">
        <f t="shared" si="22"/>
        <v>No discount</v>
      </c>
      <c r="Q28" s="216" t="str">
        <f t="shared" si="23"/>
        <v>Exclusive</v>
      </c>
      <c r="R28" s="279">
        <f t="shared" si="24"/>
        <v>1678.519403709091</v>
      </c>
      <c r="S28" s="264">
        <f t="shared" si="25"/>
        <v>1678.519403709091</v>
      </c>
      <c r="T28" s="264">
        <f t="shared" si="26"/>
        <v>1380.7590037090908</v>
      </c>
      <c r="U28" s="264">
        <f t="shared" si="27"/>
        <v>1380.7590037090908</v>
      </c>
      <c r="V28" s="281">
        <f t="shared" si="28"/>
        <v>1518.8349040800001</v>
      </c>
      <c r="W28" s="281">
        <f t="shared" si="28"/>
        <v>1518.8349040800001</v>
      </c>
      <c r="X28" s="217">
        <f>'Tariffs 2022'!BL12</f>
        <v>0</v>
      </c>
      <c r="Y28" s="218" t="str">
        <f>'Tariffs 2022'!BM12</f>
        <v>n</v>
      </c>
      <c r="Z28" s="296"/>
      <c r="AA28" s="296"/>
      <c r="AB28" s="296"/>
      <c r="AC28" s="296"/>
      <c r="AD28" s="296"/>
      <c r="AE28" s="296"/>
      <c r="AF28" s="296"/>
      <c r="AG28" s="296"/>
      <c r="AH28" s="296"/>
      <c r="AI28" s="296"/>
      <c r="AJ28" s="296"/>
      <c r="AK28" s="296"/>
      <c r="AL28" s="296"/>
      <c r="AM28" s="296"/>
      <c r="AN28" s="296"/>
      <c r="AO28" s="296"/>
      <c r="AP28" s="296"/>
      <c r="AQ28" s="296"/>
    </row>
    <row r="29" spans="1:43" x14ac:dyDescent="0.15">
      <c r="A29" s="212" t="str">
        <f>'Tariffs 2022'!K13</f>
        <v>Origin Energy</v>
      </c>
      <c r="B29" s="213" t="str">
        <f>'Tariffs 2022'!L13</f>
        <v>Solar Boost</v>
      </c>
      <c r="C29" s="226">
        <f>IF('Tariffs 2022'!BP13=0,91*'Tariffs 2022'!M13/100,(91*'Tariffs 2022'!M13/100)+'Tariffs 2022'!BP13/4)</f>
        <v>98.519909090909081</v>
      </c>
      <c r="D29" s="226">
        <f>IF('Tariffs 2022'!O13="",$K$6*'Tariffs 2022'!N13/100,IF($K$6&gt;='Tariffs 2022'!P13,('Tariffs 2022'!P13*'Tariffs 2022'!N13/100),($K$6*'Tariffs 2022'!N13/100)))</f>
        <v>101.46492736363636</v>
      </c>
      <c r="E29" s="226">
        <f>($M$6)*'Tariffs 2022'!AH13/100</f>
        <v>179.748729</v>
      </c>
      <c r="F29" s="226">
        <f>($L$6)*'Tariffs 2022'!W13/100</f>
        <v>76.497714899999977</v>
      </c>
      <c r="G29" s="226">
        <f t="shared" si="19"/>
        <v>456.23128035454545</v>
      </c>
      <c r="H29" s="226">
        <f t="shared" si="20"/>
        <v>1430.8454850545454</v>
      </c>
      <c r="I29" s="264">
        <f t="shared" si="21"/>
        <v>1824.9251214181818</v>
      </c>
      <c r="J29" s="215">
        <f t="shared" ref="J29:J30" si="29">I29*1.1</f>
        <v>2007.4176335600002</v>
      </c>
      <c r="K29" s="213">
        <f>'Tariffs 2022'!AZ13</f>
        <v>0</v>
      </c>
      <c r="L29" s="213">
        <f>'Tariffs 2022'!BA13</f>
        <v>0</v>
      </c>
      <c r="M29" s="213">
        <f>'Tariffs 2022'!BB13</f>
        <v>0</v>
      </c>
      <c r="N29" s="213">
        <f>'Tariffs 2022'!BC13</f>
        <v>0</v>
      </c>
      <c r="O29" s="215">
        <f>($F$6*'Tariffs 2022'!AT13/100)*4</f>
        <v>297.7604</v>
      </c>
      <c r="P29" s="216" t="str">
        <f t="shared" si="22"/>
        <v>No discount</v>
      </c>
      <c r="Q29" s="216" t="str">
        <f t="shared" si="23"/>
        <v>Inclusive</v>
      </c>
      <c r="R29" s="279">
        <f t="shared" si="24"/>
        <v>1824.9251214181818</v>
      </c>
      <c r="S29" s="264">
        <f t="shared" si="25"/>
        <v>1824.9251214181818</v>
      </c>
      <c r="T29" s="264">
        <f t="shared" si="26"/>
        <v>1527.1647214181817</v>
      </c>
      <c r="U29" s="264">
        <f t="shared" si="27"/>
        <v>1527.1647214181817</v>
      </c>
      <c r="V29" s="281">
        <f t="shared" si="28"/>
        <v>1679.8811935599999</v>
      </c>
      <c r="W29" s="281">
        <f t="shared" si="28"/>
        <v>1679.8811935599999</v>
      </c>
      <c r="X29" s="217">
        <f>'Tariffs 2022'!BL13</f>
        <v>0</v>
      </c>
      <c r="Y29" s="218" t="str">
        <f>'Tariffs 2022'!BM13</f>
        <v>n</v>
      </c>
      <c r="Z29" s="296"/>
      <c r="AA29" s="296"/>
      <c r="AB29" s="296"/>
      <c r="AC29" s="296"/>
      <c r="AD29" s="296"/>
      <c r="AE29" s="296"/>
      <c r="AF29" s="296"/>
      <c r="AG29" s="296"/>
      <c r="AH29" s="296"/>
      <c r="AI29" s="296"/>
      <c r="AJ29" s="296"/>
      <c r="AK29" s="296"/>
      <c r="AL29" s="296"/>
      <c r="AM29" s="296"/>
      <c r="AN29" s="296"/>
      <c r="AO29" s="296"/>
      <c r="AP29" s="296"/>
      <c r="AQ29" s="296"/>
    </row>
    <row r="30" spans="1:43" x14ac:dyDescent="0.15">
      <c r="A30" s="212" t="str">
        <f>'Tariffs 2022'!K14</f>
        <v>Red Energy</v>
      </c>
      <c r="B30" s="213" t="str">
        <f>'Tariffs 2022'!L14</f>
        <v>Living Energy Saver</v>
      </c>
      <c r="C30" s="226">
        <f>IF('Tariffs 2022'!BP14=0,91*'Tariffs 2022'!M14/100,(91*'Tariffs 2022'!M14/100)+'Tariffs 2022'!BP14/4)</f>
        <v>77.349999999999994</v>
      </c>
      <c r="D30" s="226">
        <f>IF('Tariffs 2022'!O14="",$K$6*'Tariffs 2022'!N14/100,IF($K$6&gt;='Tariffs 2022'!P14,('Tariffs 2022'!P14*'Tariffs 2022'!N14/100),($K$6*'Tariffs 2022'!N14/100)))</f>
        <v>78.030456000000001</v>
      </c>
      <c r="E30" s="226">
        <f>($M$6)*'Tariffs 2022'!AH14/100</f>
        <v>138.64339949999999</v>
      </c>
      <c r="F30" s="226">
        <f>($L$6)*'Tariffs 2022'!W14/100</f>
        <v>58.52284199999999</v>
      </c>
      <c r="G30" s="226">
        <f t="shared" si="19"/>
        <v>352.54669749999994</v>
      </c>
      <c r="H30" s="226">
        <f t="shared" si="20"/>
        <v>1100.7867899999997</v>
      </c>
      <c r="I30" s="264">
        <f t="shared" si="21"/>
        <v>1410.1867899999997</v>
      </c>
      <c r="J30" s="215">
        <f t="shared" si="29"/>
        <v>1551.2054689999998</v>
      </c>
      <c r="K30" s="213">
        <f>'Tariffs 2022'!AZ14</f>
        <v>0</v>
      </c>
      <c r="L30" s="213">
        <f>'Tariffs 2022'!BA14</f>
        <v>0</v>
      </c>
      <c r="M30" s="213">
        <f>'Tariffs 2022'!BB14</f>
        <v>0</v>
      </c>
      <c r="N30" s="213">
        <f>'Tariffs 2022'!BC14</f>
        <v>0</v>
      </c>
      <c r="O30" s="215">
        <f>($F$6*'Tariffs 2022'!AT14/100)*4</f>
        <v>178.65624000000003</v>
      </c>
      <c r="P30" s="216" t="str">
        <f t="shared" si="22"/>
        <v>No discount</v>
      </c>
      <c r="Q30" s="216" t="str">
        <f t="shared" si="23"/>
        <v>Inclusive</v>
      </c>
      <c r="R30" s="279">
        <f t="shared" si="24"/>
        <v>1410.1867899999997</v>
      </c>
      <c r="S30" s="264">
        <f t="shared" si="25"/>
        <v>1410.1867899999997</v>
      </c>
      <c r="T30" s="264">
        <f t="shared" si="26"/>
        <v>1231.5305499999997</v>
      </c>
      <c r="U30" s="264">
        <f t="shared" si="27"/>
        <v>1231.5305499999997</v>
      </c>
      <c r="V30" s="281">
        <f t="shared" si="28"/>
        <v>1354.6836049999997</v>
      </c>
      <c r="W30" s="281">
        <f t="shared" si="28"/>
        <v>1354.6836049999997</v>
      </c>
      <c r="X30" s="217">
        <f>'Tariffs 2022'!BL14</f>
        <v>0</v>
      </c>
      <c r="Y30" s="218" t="str">
        <f>'Tariffs 2022'!BM14</f>
        <v>n</v>
      </c>
      <c r="Z30" s="296"/>
      <c r="AA30" s="296"/>
      <c r="AB30" s="296"/>
      <c r="AC30" s="296"/>
      <c r="AD30" s="296"/>
      <c r="AE30" s="296"/>
      <c r="AF30" s="296"/>
      <c r="AG30" s="296"/>
      <c r="AH30" s="296"/>
      <c r="AI30" s="296"/>
      <c r="AJ30" s="296"/>
      <c r="AK30" s="296"/>
      <c r="AL30" s="296"/>
      <c r="AM30" s="296"/>
      <c r="AN30" s="296"/>
      <c r="AO30" s="296"/>
      <c r="AP30" s="296"/>
      <c r="AQ30" s="296"/>
    </row>
    <row r="31" spans="1:43" customFormat="1" ht="13" x14ac:dyDescent="0.15">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row>
    <row r="32" spans="1:43" customFormat="1" ht="13" x14ac:dyDescent="0.15">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row>
    <row r="33" spans="1:43" customFormat="1" ht="13" x14ac:dyDescent="0.15">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row>
    <row r="34" spans="1:43" customFormat="1" ht="13" x14ac:dyDescent="0.15">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row>
    <row r="35" spans="1:43" customFormat="1" ht="13" x14ac:dyDescent="0.15">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row>
    <row r="36" spans="1:43" customFormat="1" ht="13" x14ac:dyDescent="0.15">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row>
    <row r="37" spans="1:43" customFormat="1" ht="13" x14ac:dyDescent="0.15">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row>
    <row r="38" spans="1:43" customFormat="1" ht="13" x14ac:dyDescent="0.15">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row>
    <row r="39" spans="1:43" customFormat="1" ht="13" x14ac:dyDescent="0.15">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96"/>
      <c r="AO39" s="296"/>
      <c r="AP39" s="296"/>
      <c r="AQ39" s="296"/>
    </row>
    <row r="40" spans="1:43" customFormat="1" ht="13" x14ac:dyDescent="0.15">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row>
    <row r="41" spans="1:43" customFormat="1" ht="13" x14ac:dyDescent="0.15">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row>
    <row r="42" spans="1:43" customFormat="1" ht="13" x14ac:dyDescent="0.15">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row>
    <row r="43" spans="1:43" customFormat="1" ht="13" x14ac:dyDescent="0.15">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row>
    <row r="44" spans="1:43" customFormat="1" ht="13" x14ac:dyDescent="0.15">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row>
    <row r="45" spans="1:43" customFormat="1" ht="13" x14ac:dyDescent="0.15">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row>
    <row r="46" spans="1:43" customFormat="1" ht="13" x14ac:dyDescent="0.15">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row>
    <row r="47" spans="1:43" customFormat="1" ht="13" x14ac:dyDescent="0.15">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row>
    <row r="48" spans="1:43" customFormat="1" ht="13" x14ac:dyDescent="0.15">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row>
    <row r="49" spans="1:43" customFormat="1" ht="13" x14ac:dyDescent="0.15">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row>
    <row r="50" spans="1:43" customFormat="1" ht="13" x14ac:dyDescent="0.15">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row>
    <row r="51" spans="1:43" customFormat="1" ht="13" x14ac:dyDescent="0.15">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row>
    <row r="52" spans="1:43" customFormat="1" ht="13" x14ac:dyDescent="0.15">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row>
    <row r="53" spans="1:43" customFormat="1" ht="13" x14ac:dyDescent="0.15">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row>
    <row r="54" spans="1:43" customFormat="1" ht="13" x14ac:dyDescent="0.15">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row>
    <row r="55" spans="1:43" customFormat="1" ht="13" x14ac:dyDescent="0.15">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row>
    <row r="56" spans="1:43" customFormat="1" ht="13" x14ac:dyDescent="0.15">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row>
    <row r="57" spans="1:43" customFormat="1" ht="13" x14ac:dyDescent="0.15">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row>
    <row r="58" spans="1:43" customFormat="1" ht="13" x14ac:dyDescent="0.15">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row>
    <row r="59" spans="1:43" customFormat="1" ht="13" x14ac:dyDescent="0.15">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row>
    <row r="60" spans="1:43" customFormat="1" ht="13" x14ac:dyDescent="0.15">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row>
    <row r="61" spans="1:43" customFormat="1" ht="13" x14ac:dyDescent="0.15">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row>
    <row r="62" spans="1:43" customFormat="1" ht="13" x14ac:dyDescent="0.15">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row>
    <row r="63" spans="1:43" customFormat="1" ht="13" x14ac:dyDescent="0.15">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row>
    <row r="64" spans="1:43" customFormat="1" ht="13" x14ac:dyDescent="0.15">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row>
    <row r="65" spans="1:43" customFormat="1" ht="13" x14ac:dyDescent="0.15">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row>
    <row r="66" spans="1:43" customFormat="1" ht="13" x14ac:dyDescent="0.15">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row>
    <row r="67" spans="1:43" customFormat="1" ht="13" x14ac:dyDescent="0.15">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row>
    <row r="68" spans="1:43" customFormat="1" ht="13" x14ac:dyDescent="0.15">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row>
    <row r="69" spans="1:43" customFormat="1" ht="13" x14ac:dyDescent="0.15">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row>
    <row r="70" spans="1:43" customFormat="1" ht="13" x14ac:dyDescent="0.15">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row>
    <row r="71" spans="1:43" customFormat="1" ht="13" x14ac:dyDescent="0.15">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row>
    <row r="72" spans="1:43" customFormat="1" ht="13" x14ac:dyDescent="0.15">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row>
    <row r="73" spans="1:43" customFormat="1" ht="13" x14ac:dyDescent="0.15">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row>
    <row r="74" spans="1:43" customFormat="1" ht="13" x14ac:dyDescent="0.15">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row>
    <row r="75" spans="1:43" customFormat="1" ht="13" x14ac:dyDescent="0.15">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row>
    <row r="76" spans="1:43" customFormat="1" ht="13" x14ac:dyDescent="0.15">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row>
    <row r="77" spans="1:43" customFormat="1" ht="13" x14ac:dyDescent="0.15">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row>
    <row r="78" spans="1:43" customFormat="1" ht="13" x14ac:dyDescent="0.15"/>
    <row r="79" spans="1:43" customFormat="1" ht="13" x14ac:dyDescent="0.15"/>
    <row r="80" spans="1:43" customFormat="1" ht="13" x14ac:dyDescent="0.15"/>
    <row r="81" customFormat="1" ht="13" x14ac:dyDescent="0.15"/>
    <row r="82" customFormat="1" ht="13" x14ac:dyDescent="0.15"/>
    <row r="83" customFormat="1" ht="13" x14ac:dyDescent="0.15"/>
    <row r="84" customFormat="1" ht="13" x14ac:dyDescent="0.15"/>
    <row r="85" customFormat="1" ht="13" x14ac:dyDescent="0.15"/>
    <row r="86" customFormat="1" ht="13" x14ac:dyDescent="0.15"/>
    <row r="87" customFormat="1" ht="13" x14ac:dyDescent="0.15"/>
    <row r="88" customFormat="1" ht="13" x14ac:dyDescent="0.15"/>
    <row r="89" customFormat="1" ht="13" x14ac:dyDescent="0.15"/>
    <row r="90" customFormat="1" ht="13" x14ac:dyDescent="0.15"/>
    <row r="91" customFormat="1" ht="13" x14ac:dyDescent="0.15"/>
    <row r="92" customFormat="1" ht="13" x14ac:dyDescent="0.15"/>
    <row r="93" customFormat="1" ht="13" x14ac:dyDescent="0.15"/>
    <row r="94" customFormat="1" ht="13" x14ac:dyDescent="0.15"/>
    <row r="95" customFormat="1" ht="13" x14ac:dyDescent="0.15"/>
    <row r="96" customFormat="1" ht="13" x14ac:dyDescent="0.15"/>
    <row r="97" customFormat="1" ht="13" x14ac:dyDescent="0.15"/>
    <row r="98" customFormat="1" ht="13" x14ac:dyDescent="0.15"/>
    <row r="99" customFormat="1" ht="13" x14ac:dyDescent="0.15"/>
    <row r="100" customFormat="1" ht="13" x14ac:dyDescent="0.15"/>
    <row r="101" customFormat="1" ht="13" x14ac:dyDescent="0.15"/>
    <row r="102" customFormat="1" ht="13" x14ac:dyDescent="0.15"/>
    <row r="103" customFormat="1" ht="13" x14ac:dyDescent="0.15"/>
    <row r="104" customFormat="1" ht="13" x14ac:dyDescent="0.15"/>
    <row r="105" customFormat="1" ht="13" x14ac:dyDescent="0.15"/>
    <row r="106" customFormat="1" ht="13" x14ac:dyDescent="0.15"/>
    <row r="107" customFormat="1" ht="13" x14ac:dyDescent="0.15"/>
    <row r="108" customFormat="1" ht="13" x14ac:dyDescent="0.15"/>
    <row r="109" customFormat="1" ht="13" x14ac:dyDescent="0.15"/>
    <row r="110" customFormat="1" ht="13" x14ac:dyDescent="0.15"/>
    <row r="111" customFormat="1" ht="13" x14ac:dyDescent="0.15"/>
    <row r="112" customFormat="1" ht="13" x14ac:dyDescent="0.15"/>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sheetData>
  <sheetProtection algorithmName="SHA-512" hashValue="i0cJiaL+ujoCxDSKl/GRJjxmFbpcmQusrlo1+UDTZwpbNCn8G0Tt8jxPRCI1QYgOyQrVaezJaq0qk/T1XTopsA==" saltValue="vhIrAahM9NPXzcDj7D1DWg==" spinCount="100000" sheet="1" objects="1" scenarios="1"/>
  <dataValidations count="2">
    <dataValidation type="decimal" showInputMessage="1" showErrorMessage="1" errorTitle="Incorrect entry" error="Enter 1.5 or 3.0 only" sqref="C4" xr:uid="{95D4E69E-D861-8148-8121-E05F0B86C664}">
      <formula1>1.5</formula1>
      <formula2>3</formula2>
    </dataValidation>
    <dataValidation type="whole" showInputMessage="1" showErrorMessage="1" errorTitle="Incorrect number" error="Please enter quarterly consumption between 700-4000kWh" sqref="C5" xr:uid="{6C4459FB-E2FC-EF42-B8CD-5349E0BE41F8}">
      <formula1>700</formula1>
      <formula2>4000</formula2>
    </dataValidation>
  </dataValidations>
  <pageMargins left="0.75" right="0.75" top="1" bottom="1" header="0.5" footer="0.5"/>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FB3D6-2839-AE41-BF39-11A2C2C36A7F}">
  <sheetPr codeName="Sheet14"/>
  <dimension ref="A1:LS3176"/>
  <sheetViews>
    <sheetView zoomScale="96" zoomScaleNormal="96" workbookViewId="0">
      <selection activeCell="P1" sqref="P1:U1048576"/>
    </sheetView>
  </sheetViews>
  <sheetFormatPr baseColWidth="10" defaultColWidth="11.1640625" defaultRowHeight="14" x14ac:dyDescent="0.15"/>
  <cols>
    <col min="1" max="1" width="21.5" style="229" customWidth="1"/>
    <col min="2" max="2" width="26.83203125" style="229" customWidth="1"/>
    <col min="3" max="7" width="14.83203125" style="229" customWidth="1"/>
    <col min="8" max="9" width="11.83203125" style="229" hidden="1" customWidth="1"/>
    <col min="10" max="15" width="14.83203125" style="229" customWidth="1"/>
    <col min="16" max="21" width="11.83203125" style="229" hidden="1" customWidth="1"/>
    <col min="22" max="25" width="14.83203125" style="229" customWidth="1"/>
    <col min="26" max="36" width="7.5" customWidth="1"/>
    <col min="332" max="16384" width="11.1640625" style="229"/>
  </cols>
  <sheetData>
    <row r="1" spans="1:43" customFormat="1" ht="13" x14ac:dyDescent="0.15">
      <c r="A1" s="293" t="s">
        <v>44</v>
      </c>
      <c r="B1" s="293"/>
      <c r="C1" s="293"/>
      <c r="D1" s="293"/>
      <c r="E1" s="293"/>
      <c r="F1" s="293"/>
      <c r="G1" s="293"/>
      <c r="H1" s="293">
        <v>3</v>
      </c>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row>
    <row r="2" spans="1:43" customFormat="1" ht="13" x14ac:dyDescent="0.15">
      <c r="A2" s="293" t="s">
        <v>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row>
    <row r="3" spans="1:43" customFormat="1" ht="13" x14ac:dyDescent="0.1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row>
    <row r="4" spans="1:43" x14ac:dyDescent="0.15">
      <c r="A4" s="196" t="s">
        <v>163</v>
      </c>
      <c r="B4" s="197"/>
      <c r="C4" s="198">
        <v>3</v>
      </c>
      <c r="D4" s="292"/>
      <c r="E4" s="199" t="s">
        <v>77</v>
      </c>
      <c r="F4" s="200">
        <f>IF(C4&lt;H1,(675),(1351))</f>
        <v>1351</v>
      </c>
      <c r="G4" s="292"/>
      <c r="H4" s="292"/>
      <c r="I4" s="292"/>
      <c r="J4" s="196"/>
      <c r="K4" s="201" t="s">
        <v>45</v>
      </c>
      <c r="L4" s="202" t="s">
        <v>144</v>
      </c>
      <c r="M4" s="203" t="s">
        <v>145</v>
      </c>
      <c r="N4" s="292"/>
      <c r="O4" s="292"/>
      <c r="P4" s="292"/>
      <c r="Q4" s="292"/>
      <c r="R4" s="292"/>
      <c r="S4" s="292"/>
      <c r="T4" s="292"/>
      <c r="U4" s="292"/>
      <c r="V4" s="292"/>
      <c r="W4" s="292"/>
      <c r="X4" s="292"/>
      <c r="Y4" s="292"/>
      <c r="Z4" s="293"/>
      <c r="AA4" s="293"/>
      <c r="AB4" s="293"/>
      <c r="AC4" s="293"/>
      <c r="AD4" s="293"/>
      <c r="AE4" s="293"/>
      <c r="AF4" s="293"/>
      <c r="AG4" s="293"/>
      <c r="AH4" s="293"/>
      <c r="AI4" s="293"/>
      <c r="AJ4" s="293"/>
      <c r="AK4" s="293"/>
      <c r="AL4" s="293"/>
      <c r="AM4" s="293"/>
      <c r="AN4" s="293"/>
      <c r="AO4" s="293"/>
      <c r="AP4" s="293"/>
      <c r="AQ4" s="293"/>
    </row>
    <row r="5" spans="1:43" x14ac:dyDescent="0.15">
      <c r="A5" s="204" t="s">
        <v>117</v>
      </c>
      <c r="B5" s="205"/>
      <c r="C5" s="206">
        <v>2000</v>
      </c>
      <c r="D5" s="292"/>
      <c r="E5" s="199" t="s">
        <v>75</v>
      </c>
      <c r="F5" s="207">
        <f>C5-(F4-F6)</f>
        <v>1393.4010000000001</v>
      </c>
      <c r="G5" s="292"/>
      <c r="H5" s="292"/>
      <c r="I5" s="292"/>
      <c r="J5" s="204" t="s">
        <v>135</v>
      </c>
      <c r="K5" s="208">
        <f>F5*70/100</f>
        <v>975.38070000000005</v>
      </c>
      <c r="L5" s="209">
        <f>F5*30/100</f>
        <v>418.02029999999996</v>
      </c>
      <c r="M5" s="210" t="s">
        <v>196</v>
      </c>
      <c r="N5" s="292"/>
      <c r="O5" s="292"/>
      <c r="P5" s="292"/>
      <c r="Q5" s="292"/>
      <c r="R5" s="292"/>
      <c r="S5" s="292"/>
      <c r="T5" s="292"/>
      <c r="U5" s="292"/>
      <c r="V5" s="292"/>
      <c r="W5" s="292"/>
      <c r="X5" s="292"/>
      <c r="Y5" s="292"/>
      <c r="Z5" s="293"/>
      <c r="AA5" s="293"/>
      <c r="AB5" s="293"/>
      <c r="AC5" s="293"/>
      <c r="AD5" s="293"/>
      <c r="AE5" s="293"/>
      <c r="AF5" s="293"/>
      <c r="AG5" s="293"/>
      <c r="AH5" s="293"/>
      <c r="AI5" s="293"/>
      <c r="AJ5" s="293"/>
      <c r="AK5" s="293"/>
      <c r="AL5" s="293"/>
      <c r="AM5" s="293"/>
      <c r="AN5" s="293"/>
      <c r="AO5" s="293"/>
      <c r="AP5" s="293"/>
      <c r="AQ5" s="293"/>
    </row>
    <row r="6" spans="1:43" x14ac:dyDescent="0.15">
      <c r="A6" s="292"/>
      <c r="B6" s="292"/>
      <c r="C6" s="292"/>
      <c r="D6" s="292"/>
      <c r="E6" s="199" t="s">
        <v>76</v>
      </c>
      <c r="F6" s="207">
        <f>IF(C4&lt;H1,(F4*27.3/100),(F4*55.1/100))</f>
        <v>744.40100000000007</v>
      </c>
      <c r="G6" s="292"/>
      <c r="H6" s="292"/>
      <c r="I6" s="292"/>
      <c r="J6" s="204" t="s">
        <v>136</v>
      </c>
      <c r="K6" s="208">
        <f>F5*20/100</f>
        <v>278.68020000000001</v>
      </c>
      <c r="L6" s="209">
        <f>F5*30/100</f>
        <v>418.02029999999996</v>
      </c>
      <c r="M6" s="211">
        <f>F5*50/100</f>
        <v>696.70050000000003</v>
      </c>
      <c r="N6" s="292"/>
      <c r="O6" s="292"/>
      <c r="P6" s="292"/>
      <c r="Q6" s="292"/>
      <c r="R6" s="292"/>
      <c r="S6" s="292"/>
      <c r="T6" s="292"/>
      <c r="U6" s="292"/>
      <c r="V6" s="292"/>
      <c r="W6" s="292"/>
      <c r="X6" s="292"/>
      <c r="Y6" s="292"/>
      <c r="Z6" s="293"/>
      <c r="AA6" s="293"/>
      <c r="AB6" s="293"/>
      <c r="AC6" s="293"/>
      <c r="AD6" s="293"/>
      <c r="AE6" s="293"/>
      <c r="AF6" s="293"/>
      <c r="AG6" s="293"/>
      <c r="AH6" s="293"/>
      <c r="AI6" s="293"/>
      <c r="AJ6" s="293"/>
      <c r="AK6" s="293"/>
      <c r="AL6" s="293"/>
      <c r="AM6" s="293"/>
      <c r="AN6" s="293"/>
      <c r="AO6" s="293"/>
      <c r="AP6" s="293"/>
      <c r="AQ6" s="293"/>
    </row>
    <row r="7" spans="1:43" ht="15" thickBot="1" x14ac:dyDescent="0.2">
      <c r="A7" s="292"/>
      <c r="B7" s="292"/>
      <c r="C7" s="292"/>
      <c r="D7" s="292"/>
      <c r="E7" s="292"/>
      <c r="F7" s="292"/>
      <c r="G7" s="292"/>
      <c r="H7" s="292"/>
      <c r="I7" s="292"/>
      <c r="J7" s="292"/>
      <c r="K7" s="292"/>
      <c r="L7" s="292"/>
      <c r="M7" s="292"/>
      <c r="N7" s="292"/>
      <c r="O7" s="292"/>
      <c r="P7" s="292"/>
      <c r="Q7" s="292"/>
      <c r="R7" s="292"/>
      <c r="S7" s="292"/>
      <c r="T7" s="292"/>
      <c r="U7" s="292"/>
      <c r="V7" s="292"/>
      <c r="W7" s="292"/>
      <c r="X7" s="292"/>
      <c r="Y7" s="292"/>
      <c r="Z7" s="293"/>
      <c r="AA7" s="293"/>
      <c r="AB7" s="293"/>
      <c r="AC7" s="293"/>
      <c r="AD7" s="293"/>
      <c r="AE7" s="293"/>
      <c r="AF7" s="293"/>
      <c r="AG7" s="293"/>
      <c r="AH7" s="293"/>
      <c r="AI7" s="293"/>
      <c r="AJ7" s="293"/>
      <c r="AK7" s="293"/>
      <c r="AL7" s="293"/>
      <c r="AM7" s="293"/>
      <c r="AN7" s="293"/>
      <c r="AO7" s="293"/>
      <c r="AP7" s="293"/>
      <c r="AQ7" s="293"/>
    </row>
    <row r="8" spans="1:43" x14ac:dyDescent="0.15">
      <c r="A8" s="248" t="s">
        <v>109</v>
      </c>
      <c r="B8" s="249"/>
      <c r="C8" s="249"/>
      <c r="D8" s="249"/>
      <c r="E8" s="249"/>
      <c r="F8" s="249"/>
      <c r="G8" s="249"/>
      <c r="H8" s="249"/>
      <c r="I8" s="249"/>
      <c r="J8" s="249"/>
      <c r="K8" s="249"/>
      <c r="L8" s="249"/>
      <c r="M8" s="249"/>
      <c r="N8" s="249"/>
      <c r="O8" s="249"/>
      <c r="P8" s="249"/>
      <c r="Q8" s="249"/>
      <c r="R8" s="249"/>
      <c r="S8" s="249"/>
      <c r="T8" s="249"/>
      <c r="U8" s="249"/>
      <c r="V8" s="249"/>
      <c r="W8" s="249"/>
      <c r="X8" s="249"/>
      <c r="Y8" s="250"/>
      <c r="Z8" s="293"/>
      <c r="AA8" s="293"/>
      <c r="AB8" s="293"/>
      <c r="AC8" s="293"/>
      <c r="AD8" s="293"/>
      <c r="AE8" s="293"/>
      <c r="AF8" s="293"/>
      <c r="AG8" s="293"/>
      <c r="AH8" s="293"/>
      <c r="AI8" s="293"/>
      <c r="AJ8" s="293"/>
      <c r="AK8" s="293"/>
      <c r="AL8" s="293"/>
      <c r="AM8" s="293"/>
      <c r="AN8" s="293"/>
      <c r="AO8" s="293"/>
      <c r="AP8" s="293"/>
      <c r="AQ8" s="293"/>
    </row>
    <row r="9" spans="1:43" ht="90" x14ac:dyDescent="0.15">
      <c r="A9" s="251" t="s">
        <v>147</v>
      </c>
      <c r="B9" s="252" t="s">
        <v>133</v>
      </c>
      <c r="C9" s="253" t="s">
        <v>184</v>
      </c>
      <c r="D9" s="253" t="s">
        <v>16</v>
      </c>
      <c r="E9" s="278" t="s">
        <v>395</v>
      </c>
      <c r="F9" s="253" t="s">
        <v>186</v>
      </c>
      <c r="G9" s="253" t="s">
        <v>74</v>
      </c>
      <c r="H9" s="261" t="s">
        <v>34</v>
      </c>
      <c r="I9" s="261" t="s">
        <v>121</v>
      </c>
      <c r="J9" s="254" t="s">
        <v>360</v>
      </c>
      <c r="K9" s="255" t="s">
        <v>119</v>
      </c>
      <c r="L9" s="255" t="s">
        <v>63</v>
      </c>
      <c r="M9" s="255" t="s">
        <v>91</v>
      </c>
      <c r="N9" s="255" t="s">
        <v>150</v>
      </c>
      <c r="O9" s="256" t="s">
        <v>430</v>
      </c>
      <c r="P9" s="262" t="s">
        <v>361</v>
      </c>
      <c r="Q9" s="262" t="s">
        <v>362</v>
      </c>
      <c r="R9" s="263" t="s">
        <v>102</v>
      </c>
      <c r="S9" s="263" t="s">
        <v>29</v>
      </c>
      <c r="T9" s="263" t="s">
        <v>226</v>
      </c>
      <c r="U9" s="263" t="s">
        <v>100</v>
      </c>
      <c r="V9" s="256" t="s">
        <v>101</v>
      </c>
      <c r="W9" s="256" t="s">
        <v>174</v>
      </c>
      <c r="X9" s="255" t="s">
        <v>142</v>
      </c>
      <c r="Y9" s="257" t="s">
        <v>143</v>
      </c>
      <c r="Z9" s="293"/>
      <c r="AA9" s="293"/>
      <c r="AB9" s="293"/>
      <c r="AC9" s="293"/>
      <c r="AD9" s="293"/>
      <c r="AE9" s="293"/>
      <c r="AF9" s="293"/>
      <c r="AG9" s="293"/>
      <c r="AH9" s="293"/>
      <c r="AI9" s="293"/>
      <c r="AJ9" s="293"/>
      <c r="AK9" s="293"/>
      <c r="AL9" s="293"/>
      <c r="AM9" s="293"/>
      <c r="AN9" s="293"/>
      <c r="AO9" s="293"/>
      <c r="AP9" s="293"/>
      <c r="AQ9" s="293"/>
    </row>
    <row r="10" spans="1:43" x14ac:dyDescent="0.15">
      <c r="A10" s="212" t="str">
        <f>'Tariffs 2021'!K2</f>
        <v>ActewAGL</v>
      </c>
      <c r="B10" s="213" t="str">
        <f>'Tariffs 2021'!L2</f>
        <v>Solar Advantage</v>
      </c>
      <c r="C10" s="214">
        <f>IF('Tariffs 2021'!BP2=0,91*'Tariffs 2021'!M2/100,(91*'Tariffs 2021'!M2/100)+'Tariffs 2021'!BP2/4)</f>
        <v>85.312499999999986</v>
      </c>
      <c r="D10" s="214">
        <f>IF('Tariffs 2021'!O2="",$F$5*'Tariffs 2021'!N2/100,IF($F$5&gt;='Tariffs 2021'!P2,('Tariffs 2021'!P2*'Tariffs 2021'!N2/100),($F$5*'Tariffs 2021'!N2/100)))</f>
        <v>355.82394627272726</v>
      </c>
      <c r="E10" s="214">
        <f>IF(AND('Tariffs 2021'!R2&gt;0,'Tariffs 2021'!T2&gt;0),IF($F$5&lt;'Tariffs 2021'!P2,0,IF(($F$5-'Tariffs 2021'!P2)&lt;='Tariffs 2021'!R2,(($F$5-'Tariffs 2021'!P2)*'Tariffs 2021'!Q2/100),(('Tariffs 2021'!R2-'Tariffs 2021'!P2)*'Tariffs 2021'!Q2/100))),IF(AND('Tariffs 2021'!R2&gt;0,'Tariffs 2021'!T2=""),IF($F$5&lt;'Tariffs 2021'!P2,0, IF(($F$5)&lt;= 'Tariffs 2021'!R2,(($F$5-'Tariffs 2021'!P2)* 'Tariffs 2021'!Q2/100),(( 'Tariffs 2021'!R2-'Tariffs 2021'!P2)* 'Tariffs 2021'!Q2/100))),0))</f>
        <v>0</v>
      </c>
      <c r="F10" s="214">
        <f>IF('Tariffs 2021'!T2&gt;0,IF(($F$5&lt;'Tariffs 2021'!T2),(0),($F$5-'Tariffs 2021'!T2)*'Tariffs 2021'!U2/100),IF(AND('Tariffs 2021'!R2&gt;0,'Tariffs 2021'!T2=""),IF(($F$5&lt;'Tariffs 2021'!R2),(0),($F$5-'Tariffs 2021'!R2)*'Tariffs 2021'!S2/100),IF(AND('Tariffs 2021'!P2&gt;0,'Tariffs 2021'!R2=""),IF(($F$5&lt;'Tariffs 2021'!P2),(0),($F$5-'Tariffs 2021'!P2)*'Tariffs 2021'!Q2/100),0)))</f>
        <v>0</v>
      </c>
      <c r="G10" s="214">
        <f t="shared" ref="G10:G15" si="0">SUM(C10:F10)</f>
        <v>441.13644627272726</v>
      </c>
      <c r="H10" s="226">
        <f t="shared" ref="H10:H15" si="1">(G10-C10)*4</f>
        <v>1423.295785090909</v>
      </c>
      <c r="I10" s="264">
        <f t="shared" ref="I10:I15" si="2">G10*4</f>
        <v>1764.545785090909</v>
      </c>
      <c r="J10" s="215">
        <f t="shared" ref="J10:J15" si="3">I10*1.1</f>
        <v>1941.0003636000001</v>
      </c>
      <c r="K10" s="213">
        <f>'Tariffs 2021'!AZ2</f>
        <v>0</v>
      </c>
      <c r="L10" s="213">
        <f>'Tariffs 2021'!BA2</f>
        <v>0</v>
      </c>
      <c r="M10" s="213">
        <f>'Tariffs 2021'!BB2</f>
        <v>0</v>
      </c>
      <c r="N10" s="213">
        <f>'Tariffs 2021'!BC2</f>
        <v>0</v>
      </c>
      <c r="O10" s="215">
        <f>($F$6*'Tariffs 2021'!AT2/100)*4</f>
        <v>357.31248000000005</v>
      </c>
      <c r="P10" s="216" t="str">
        <f t="shared" ref="P10:P17" si="4">IF(SUM(K10:N10)=0,"No discount",IF(K10&gt;0,"Guaranteed off bill",IF(L10&gt;0,"Guaranteed off usage",IF(M10&gt;0,"Pay-on-time off bill","Pay-on-time off usage"))))</f>
        <v>No discount</v>
      </c>
      <c r="Q10" s="216" t="str">
        <f t="shared" ref="Q10:Q17" si="5">IF(OR(A10="Origin Energy",A10="Red Energy",A10="Powershop"),"Inclusive","Exclusive")</f>
        <v>Exclusive</v>
      </c>
      <c r="R10" s="264">
        <f t="shared" ref="R10:R17" si="6">IF(AND(P10="Guaranteed off bill",Q10="Inclusive"),((I10*1.1)-((I10*1.1)*K10/100))/1.1,IF(AND(P10="Guaranteed off usage",Q10="Inclusive"),((I10*1.1)-((H10*1.1)*L10/100))/1.1,IF(AND(P10="Guaranteed off bill",Q10="Exclusive"),I10-(I10*K10/100),IF(AND(P10="Guaranteed off usage",Q10="Exclusive"),I10-(H10*L10/100),IF(Q10="Inclusive",((I10*1.1))/1.1,I10)))))</f>
        <v>1764.545785090909</v>
      </c>
      <c r="S10" s="264">
        <f t="shared" ref="S10:S17" si="7">IF(AND(P10="Pay-on-time off bill",Q10="Inclusive"),((R10*1.1)-((R10*1.1)*M10/100))/1.1,IF(AND(P10="Pay-on-time off usage",Q10="Inclusive"),((R10*1.1)-((H10*1.1)*N10/100))/1.1,IF(AND(P10="Pay-on-time off bill",Q10="Exclusive"),R10-(R10*M10/100),IF(AND(P10="Pay-on-time off usage",Q10="Exclusive"),R10-(H10*N10/100),IF(Q10="Inclusive",((R10*1.1))/1.1,R10)))))</f>
        <v>1764.545785090909</v>
      </c>
      <c r="T10" s="264">
        <f t="shared" ref="T10:T15" si="8">R10-O10</f>
        <v>1407.233305090909</v>
      </c>
      <c r="U10" s="264">
        <f t="shared" ref="U10:U15" si="9">S10-O10</f>
        <v>1407.233305090909</v>
      </c>
      <c r="V10" s="281">
        <f t="shared" ref="V10:W15" si="10">T10*1.1</f>
        <v>1547.9566356</v>
      </c>
      <c r="W10" s="281">
        <f t="shared" si="10"/>
        <v>1547.9566356</v>
      </c>
      <c r="X10" s="217">
        <f>'Tariffs 2021'!BL2</f>
        <v>12</v>
      </c>
      <c r="Y10" s="218" t="str">
        <f>'Tariffs 2021'!BM2</f>
        <v>n</v>
      </c>
      <c r="Z10" s="293"/>
      <c r="AA10" s="293"/>
      <c r="AB10" s="293"/>
      <c r="AC10" s="293"/>
      <c r="AD10" s="293"/>
      <c r="AE10" s="293"/>
      <c r="AF10" s="293"/>
      <c r="AG10" s="293"/>
      <c r="AH10" s="293"/>
      <c r="AI10" s="293"/>
      <c r="AJ10" s="293"/>
      <c r="AK10" s="293"/>
      <c r="AL10" s="293"/>
      <c r="AM10" s="293"/>
      <c r="AN10" s="293"/>
      <c r="AO10" s="293"/>
      <c r="AP10" s="293"/>
      <c r="AQ10" s="293"/>
    </row>
    <row r="11" spans="1:43" x14ac:dyDescent="0.15">
      <c r="A11" s="212" t="str">
        <f>'Tariffs 2021'!K3</f>
        <v>EnergyAustralia</v>
      </c>
      <c r="B11" s="213" t="str">
        <f>'Tariffs 2021'!L3</f>
        <v>Total Plan Home</v>
      </c>
      <c r="C11" s="214">
        <f>IF('Tariffs 2021'!BP3=0,91*'Tariffs 2021'!M3/100,(91*'Tariffs 2021'!M3/100)+'Tariffs 2021'!BP3/4)</f>
        <v>75.347999999999999</v>
      </c>
      <c r="D11" s="214">
        <f>IF('Tariffs 2021'!O3="",$F$5*'Tariffs 2021'!N3/100,IF($F$5&gt;='Tariffs 2021'!P3,('Tariffs 2021'!P3*'Tariffs 2021'!N3/100),($F$5*'Tariffs 2021'!N3/100)))</f>
        <v>355.31725499999999</v>
      </c>
      <c r="E11" s="214">
        <f>IF(AND('Tariffs 2021'!R3&gt;0,'Tariffs 2021'!T3&gt;0),IF($F$5&lt;'Tariffs 2021'!P3,0,IF(($F$5-'Tariffs 2021'!P3)&lt;='Tariffs 2021'!R3,(($F$5-'Tariffs 2021'!P3)*'Tariffs 2021'!Q3/100),(('Tariffs 2021'!R3-'Tariffs 2021'!P3)*'Tariffs 2021'!Q3/100))),IF(AND('Tariffs 2021'!R3&gt;0,'Tariffs 2021'!T3=""),IF($F$5&lt;'Tariffs 2021'!P3,0, IF(($F$5)&lt;= 'Tariffs 2021'!R3,(($F$5-'Tariffs 2021'!P3)* 'Tariffs 2021'!Q3/100),(( 'Tariffs 2021'!R3-'Tariffs 2021'!P3)* 'Tariffs 2021'!Q3/100))),0))</f>
        <v>0</v>
      </c>
      <c r="F11" s="214">
        <f>IF('Tariffs 2021'!T3&gt;0,IF(($F$5&lt;'Tariffs 2021'!T3),(0),($F$5-'Tariffs 2021'!T3)*'Tariffs 2021'!U3/100),IF(AND('Tariffs 2021'!R3&gt;0,'Tariffs 2021'!T3=""),IF(($F$5&lt;'Tariffs 2021'!R3),(0),($F$5-'Tariffs 2021'!R3)*'Tariffs 2021'!S3/100),IF(AND('Tariffs 2021'!P3&gt;0,'Tariffs 2021'!R3=""),IF(($F$5&lt;'Tariffs 2021'!P3),(0),($F$5-'Tariffs 2021'!P3)*'Tariffs 2021'!Q3/100),0)))</f>
        <v>0</v>
      </c>
      <c r="G11" s="214">
        <f t="shared" si="0"/>
        <v>430.665255</v>
      </c>
      <c r="H11" s="226">
        <f t="shared" si="1"/>
        <v>1421.26902</v>
      </c>
      <c r="I11" s="264">
        <f t="shared" si="2"/>
        <v>1722.66102</v>
      </c>
      <c r="J11" s="215">
        <f t="shared" si="3"/>
        <v>1894.9271220000001</v>
      </c>
      <c r="K11" s="213">
        <f>'Tariffs 2021'!AZ3</f>
        <v>12</v>
      </c>
      <c r="L11" s="213">
        <f>'Tariffs 2021'!BA3</f>
        <v>0</v>
      </c>
      <c r="M11" s="213">
        <f>'Tariffs 2021'!BB3</f>
        <v>0</v>
      </c>
      <c r="N11" s="213">
        <f>'Tariffs 2021'!BC3</f>
        <v>0</v>
      </c>
      <c r="O11" s="215">
        <f>($F$6*'Tariffs 2021'!AT3/100)*4</f>
        <v>282.87238000000002</v>
      </c>
      <c r="P11" s="216" t="str">
        <f t="shared" si="4"/>
        <v>Guaranteed off bill</v>
      </c>
      <c r="Q11" s="216" t="str">
        <f t="shared" si="5"/>
        <v>Exclusive</v>
      </c>
      <c r="R11" s="264">
        <f t="shared" si="6"/>
        <v>1515.9416976</v>
      </c>
      <c r="S11" s="264">
        <f t="shared" si="7"/>
        <v>1515.9416976</v>
      </c>
      <c r="T11" s="264">
        <f t="shared" si="8"/>
        <v>1233.0693176</v>
      </c>
      <c r="U11" s="264">
        <f t="shared" si="9"/>
        <v>1233.0693176</v>
      </c>
      <c r="V11" s="281">
        <f t="shared" si="10"/>
        <v>1356.37624936</v>
      </c>
      <c r="W11" s="281">
        <f t="shared" si="10"/>
        <v>1356.37624936</v>
      </c>
      <c r="X11" s="217">
        <f>'Tariffs 2021'!BL3</f>
        <v>0</v>
      </c>
      <c r="Y11" s="218" t="str">
        <f>'Tariffs 2021'!BM3</f>
        <v>n</v>
      </c>
      <c r="Z11" s="293"/>
      <c r="AA11" s="293"/>
      <c r="AB11" s="293"/>
      <c r="AC11" s="293"/>
      <c r="AD11" s="293"/>
      <c r="AE11" s="293"/>
      <c r="AF11" s="293"/>
      <c r="AG11" s="293"/>
      <c r="AH11" s="293"/>
      <c r="AI11" s="293"/>
      <c r="AJ11" s="293"/>
      <c r="AK11" s="293"/>
      <c r="AL11" s="293"/>
      <c r="AM11" s="293"/>
      <c r="AN11" s="293"/>
      <c r="AO11" s="293"/>
      <c r="AP11" s="293"/>
      <c r="AQ11" s="293"/>
    </row>
    <row r="12" spans="1:43" x14ac:dyDescent="0.15">
      <c r="A12" s="212" t="str">
        <f>'Tariffs 2021'!K4</f>
        <v>Origin Energy</v>
      </c>
      <c r="B12" s="213" t="str">
        <f>'Tariffs 2021'!L4</f>
        <v>Solar Boost</v>
      </c>
      <c r="C12" s="214">
        <f>IF('Tariffs 2021'!BP4=0,91*'Tariffs 2021'!M4/100,(91*'Tariffs 2021'!M4/100)+'Tariffs 2021'!BP4/4)</f>
        <v>83.48836363636363</v>
      </c>
      <c r="D12" s="214">
        <f>IF('Tariffs 2021'!O4="",$F$5*'Tariffs 2021'!N4/100,IF($F$5&gt;='Tariffs 2021'!P4,('Tariffs 2021'!P4*'Tariffs 2021'!N4/100),($F$5*'Tariffs 2021'!N4/100)))</f>
        <v>325.67581554545455</v>
      </c>
      <c r="E12" s="214">
        <f>IF(AND('Tariffs 2021'!R4&gt;0,'Tariffs 2021'!T4&gt;0),IF($F$5&lt;'Tariffs 2021'!P4,0,IF(($F$5-'Tariffs 2021'!P4)&lt;='Tariffs 2021'!R4,(($F$5-'Tariffs 2021'!P4)*'Tariffs 2021'!Q4/100),(('Tariffs 2021'!R4-'Tariffs 2021'!P4)*'Tariffs 2021'!Q4/100))),IF(AND('Tariffs 2021'!R4&gt;0,'Tariffs 2021'!T4=""),IF($F$5&lt;'Tariffs 2021'!P4,0, IF(($F$5)&lt;= 'Tariffs 2021'!R4,(($F$5-'Tariffs 2021'!P4)* 'Tariffs 2021'!Q4/100),(( 'Tariffs 2021'!R4-'Tariffs 2021'!P4)* 'Tariffs 2021'!Q4/100))),0))</f>
        <v>0</v>
      </c>
      <c r="F12" s="214">
        <f>IF('Tariffs 2021'!T4&gt;0,IF(($F$5&lt;'Tariffs 2021'!T4),(0),($F$5-'Tariffs 2021'!T4)*'Tariffs 2021'!U4/100),IF(AND('Tariffs 2021'!R4&gt;0,'Tariffs 2021'!T4=""),IF(($F$5&lt;'Tariffs 2021'!R4),(0),($F$5-'Tariffs 2021'!R4)*'Tariffs 2021'!S4/100),IF(AND('Tariffs 2021'!P4&gt;0,'Tariffs 2021'!R4=""),IF(($F$5&lt;'Tariffs 2021'!P4),(0),($F$5-'Tariffs 2021'!P4)*'Tariffs 2021'!Q4/100),0)))</f>
        <v>0</v>
      </c>
      <c r="G12" s="214">
        <f t="shared" si="0"/>
        <v>409.16417918181821</v>
      </c>
      <c r="H12" s="226">
        <f t="shared" si="1"/>
        <v>1302.7032621818184</v>
      </c>
      <c r="I12" s="264">
        <f t="shared" si="2"/>
        <v>1636.6567167272729</v>
      </c>
      <c r="J12" s="215">
        <f t="shared" si="3"/>
        <v>1800.3223884000004</v>
      </c>
      <c r="K12" s="213">
        <f>'Tariffs 2021'!AZ4</f>
        <v>0</v>
      </c>
      <c r="L12" s="213">
        <f>'Tariffs 2021'!BA4</f>
        <v>0</v>
      </c>
      <c r="M12" s="213">
        <f>'Tariffs 2021'!BB4</f>
        <v>0</v>
      </c>
      <c r="N12" s="213">
        <f>'Tariffs 2021'!BC4</f>
        <v>0</v>
      </c>
      <c r="O12" s="215">
        <f>($F$6*'Tariffs 2021'!AT4/100)*4</f>
        <v>327.53644000000003</v>
      </c>
      <c r="P12" s="216" t="str">
        <f t="shared" si="4"/>
        <v>No discount</v>
      </c>
      <c r="Q12" s="216" t="str">
        <f t="shared" si="5"/>
        <v>Inclusive</v>
      </c>
      <c r="R12" s="264">
        <f t="shared" si="6"/>
        <v>1636.6567167272729</v>
      </c>
      <c r="S12" s="264">
        <f t="shared" si="7"/>
        <v>1636.6567167272729</v>
      </c>
      <c r="T12" s="264">
        <f t="shared" si="8"/>
        <v>1309.1202767272728</v>
      </c>
      <c r="U12" s="264">
        <f t="shared" si="9"/>
        <v>1309.1202767272728</v>
      </c>
      <c r="V12" s="281">
        <f t="shared" si="10"/>
        <v>1440.0323044000002</v>
      </c>
      <c r="W12" s="281">
        <f t="shared" si="10"/>
        <v>1440.0323044000002</v>
      </c>
      <c r="X12" s="217">
        <f>'Tariffs 2021'!BL4</f>
        <v>0</v>
      </c>
      <c r="Y12" s="218" t="str">
        <f>'Tariffs 2021'!BM4</f>
        <v>n</v>
      </c>
      <c r="Z12" s="293"/>
      <c r="AA12" s="293"/>
      <c r="AB12" s="293"/>
      <c r="AC12" s="293"/>
      <c r="AD12" s="293"/>
      <c r="AE12" s="293"/>
      <c r="AF12" s="293"/>
      <c r="AG12" s="293"/>
      <c r="AH12" s="293"/>
      <c r="AI12" s="293"/>
      <c r="AJ12" s="293"/>
      <c r="AK12" s="293"/>
      <c r="AL12" s="293"/>
      <c r="AM12" s="293"/>
      <c r="AN12" s="293"/>
      <c r="AO12" s="293"/>
      <c r="AP12" s="293"/>
      <c r="AQ12" s="293"/>
    </row>
    <row r="13" spans="1:43" x14ac:dyDescent="0.15">
      <c r="A13" s="212" t="str">
        <f>'Tariffs 2021'!K5</f>
        <v>Red Energy</v>
      </c>
      <c r="B13" s="213" t="str">
        <f>'Tariffs 2021'!L5</f>
        <v>Living Energy Saver</v>
      </c>
      <c r="C13" s="214">
        <f>IF('Tariffs 2021'!BP5=0,91*'Tariffs 2021'!M5/100,(91*'Tariffs 2021'!M5/100)+'Tariffs 2021'!BP5/4)</f>
        <v>80.534999999999997</v>
      </c>
      <c r="D13" s="214">
        <f>IF('Tariffs 2021'!O5="",$F$5*'Tariffs 2021'!N5/100,IF($F$5&gt;='Tariffs 2021'!P5,('Tariffs 2021'!P5*'Tariffs 2021'!N5/100),($F$5*'Tariffs 2021'!N5/100)))</f>
        <v>266.26626381818181</v>
      </c>
      <c r="E13" s="214">
        <f>IF(AND('Tariffs 2021'!R5&gt;0,'Tariffs 2021'!T5&gt;0),IF($F$5&lt;'Tariffs 2021'!P5,0,IF(($F$5-'Tariffs 2021'!P5)&lt;='Tariffs 2021'!R5,(($F$5-'Tariffs 2021'!P5)*'Tariffs 2021'!Q5/100),(('Tariffs 2021'!R5-'Tariffs 2021'!P5)*'Tariffs 2021'!Q5/100))),IF(AND('Tariffs 2021'!R5&gt;0,'Tariffs 2021'!T5=""),IF($F$5&lt;'Tariffs 2021'!P5,0, IF(($F$5)&lt;= 'Tariffs 2021'!R5,(($F$5-'Tariffs 2021'!P5)* 'Tariffs 2021'!Q5/100),(( 'Tariffs 2021'!R5-'Tariffs 2021'!P5)* 'Tariffs 2021'!Q5/100))),0))</f>
        <v>0</v>
      </c>
      <c r="F13" s="214">
        <f>IF('Tariffs 2021'!T5&gt;0,IF(($F$5&lt;'Tariffs 2021'!T5),(0),($F$5-'Tariffs 2021'!T5)*'Tariffs 2021'!U5/100),IF(AND('Tariffs 2021'!R5&gt;0,'Tariffs 2021'!T5=""),IF(($F$5&lt;'Tariffs 2021'!R5),(0),($F$5-'Tariffs 2021'!R5)*'Tariffs 2021'!S5/100),IF(AND('Tariffs 2021'!P5&gt;0,'Tariffs 2021'!R5=""),IF(($F$5&lt;'Tariffs 2021'!P5),(0),($F$5-'Tariffs 2021'!P5)*'Tariffs 2021'!Q5/100),0)))</f>
        <v>0</v>
      </c>
      <c r="G13" s="214">
        <f t="shared" si="0"/>
        <v>346.80126381818184</v>
      </c>
      <c r="H13" s="226">
        <f t="shared" si="1"/>
        <v>1065.0650552727275</v>
      </c>
      <c r="I13" s="264">
        <f t="shared" si="2"/>
        <v>1387.2050552727273</v>
      </c>
      <c r="J13" s="215">
        <f t="shared" si="3"/>
        <v>1525.9255608000003</v>
      </c>
      <c r="K13" s="213">
        <f>'Tariffs 2021'!AZ5</f>
        <v>0</v>
      </c>
      <c r="L13" s="213">
        <f>'Tariffs 2021'!BA5</f>
        <v>0</v>
      </c>
      <c r="M13" s="213">
        <f>'Tariffs 2021'!BB5</f>
        <v>0</v>
      </c>
      <c r="N13" s="213">
        <f>'Tariffs 2021'!BC5</f>
        <v>0</v>
      </c>
      <c r="O13" s="215">
        <f>($F$6*'Tariffs 2021'!AT5/100)*4</f>
        <v>279.89477600000004</v>
      </c>
      <c r="P13" s="216" t="str">
        <f t="shared" si="4"/>
        <v>No discount</v>
      </c>
      <c r="Q13" s="216" t="str">
        <f t="shared" si="5"/>
        <v>Inclusive</v>
      </c>
      <c r="R13" s="264">
        <f t="shared" si="6"/>
        <v>1387.2050552727273</v>
      </c>
      <c r="S13" s="264">
        <f t="shared" si="7"/>
        <v>1387.2050552727273</v>
      </c>
      <c r="T13" s="264">
        <f t="shared" si="8"/>
        <v>1107.3102792727273</v>
      </c>
      <c r="U13" s="264">
        <f t="shared" si="9"/>
        <v>1107.3102792727273</v>
      </c>
      <c r="V13" s="281">
        <f t="shared" si="10"/>
        <v>1218.0413072000001</v>
      </c>
      <c r="W13" s="281">
        <f t="shared" si="10"/>
        <v>1218.0413072000001</v>
      </c>
      <c r="X13" s="217">
        <f>'Tariffs 2021'!BL5</f>
        <v>0</v>
      </c>
      <c r="Y13" s="218" t="str">
        <f>'Tariffs 2021'!BM5</f>
        <v>n</v>
      </c>
      <c r="Z13" s="293"/>
      <c r="AA13" s="293"/>
      <c r="AB13" s="293"/>
      <c r="AC13" s="293"/>
      <c r="AD13" s="293"/>
      <c r="AE13" s="293"/>
      <c r="AF13" s="293"/>
      <c r="AG13" s="293"/>
      <c r="AH13" s="293"/>
      <c r="AI13" s="293"/>
      <c r="AJ13" s="293"/>
      <c r="AK13" s="293"/>
      <c r="AL13" s="293"/>
      <c r="AM13" s="293"/>
      <c r="AN13" s="293"/>
      <c r="AO13" s="293"/>
      <c r="AP13" s="293"/>
      <c r="AQ13" s="293"/>
    </row>
    <row r="14" spans="1:43" x14ac:dyDescent="0.15">
      <c r="A14" s="212" t="str">
        <f>'Tariffs 2021'!K6</f>
        <v>Energy Locals</v>
      </c>
      <c r="B14" s="213" t="str">
        <f>'Tariffs 2021'!L6</f>
        <v>Online Member</v>
      </c>
      <c r="C14" s="214">
        <f>IF('Tariffs 2021'!BP6=0,91*'Tariffs 2021'!M6/100,(91*'Tariffs 2021'!M6/100)+'Tariffs 2021'!BP6/4)</f>
        <v>91.681818181818173</v>
      </c>
      <c r="D14" s="214">
        <f>IF('Tariffs 2021'!O6="",$F$5*'Tariffs 2021'!N6/100,IF($F$5&gt;='Tariffs 2021'!P6,('Tariffs 2021'!P6*'Tariffs 2021'!N6/100),($F$5*'Tariffs 2021'!N6/100)))</f>
        <v>310.34840454545451</v>
      </c>
      <c r="E14" s="214">
        <f>IF(AND('Tariffs 2021'!R6&gt;0,'Tariffs 2021'!T6&gt;0),IF($F$5&lt;'Tariffs 2021'!P6,0,IF(($F$5-'Tariffs 2021'!P6)&lt;='Tariffs 2021'!R6,(($F$5-'Tariffs 2021'!P6)*'Tariffs 2021'!Q6/100),(('Tariffs 2021'!R6-'Tariffs 2021'!P6)*'Tariffs 2021'!Q6/100))),IF(AND('Tariffs 2021'!R6&gt;0,'Tariffs 2021'!T6=""),IF($F$5&lt;'Tariffs 2021'!P6,0, IF(($F$5)&lt;= 'Tariffs 2021'!R6,(($F$5-'Tariffs 2021'!P6)* 'Tariffs 2021'!Q6/100),(( 'Tariffs 2021'!R6-'Tariffs 2021'!P6)* 'Tariffs 2021'!Q6/100))),0))</f>
        <v>0</v>
      </c>
      <c r="F14" s="214">
        <f>IF('Tariffs 2021'!T6&gt;0,IF(($F$5&lt;'Tariffs 2021'!T6),(0),($F$5-'Tariffs 2021'!T6)*'Tariffs 2021'!U6/100),IF(AND('Tariffs 2021'!R6&gt;0,'Tariffs 2021'!T6=""),IF(($F$5&lt;'Tariffs 2021'!R6),(0),($F$5-'Tariffs 2021'!R6)*'Tariffs 2021'!S6/100),IF(AND('Tariffs 2021'!P6&gt;0,'Tariffs 2021'!R6=""),IF(($F$5&lt;'Tariffs 2021'!P6),(0),($F$5-'Tariffs 2021'!P6)*'Tariffs 2021'!Q6/100),0)))</f>
        <v>0</v>
      </c>
      <c r="G14" s="214">
        <f t="shared" si="0"/>
        <v>402.0302227272727</v>
      </c>
      <c r="H14" s="226">
        <f t="shared" si="1"/>
        <v>1241.3936181818181</v>
      </c>
      <c r="I14" s="264">
        <f t="shared" si="2"/>
        <v>1608.1208909090908</v>
      </c>
      <c r="J14" s="215">
        <f t="shared" si="3"/>
        <v>1768.93298</v>
      </c>
      <c r="K14" s="213">
        <f>'Tariffs 2021'!AZ6</f>
        <v>0</v>
      </c>
      <c r="L14" s="213">
        <f>'Tariffs 2021'!BA6</f>
        <v>0</v>
      </c>
      <c r="M14" s="213">
        <f>'Tariffs 2021'!BB6</f>
        <v>0</v>
      </c>
      <c r="N14" s="213">
        <f>'Tariffs 2021'!BC6</f>
        <v>0</v>
      </c>
      <c r="O14" s="215">
        <f>($F$6*'Tariffs 2021'!AT6/100)*4</f>
        <v>208.43228000000002</v>
      </c>
      <c r="P14" s="216" t="str">
        <f t="shared" si="4"/>
        <v>No discount</v>
      </c>
      <c r="Q14" s="216" t="str">
        <f t="shared" si="5"/>
        <v>Exclusive</v>
      </c>
      <c r="R14" s="279">
        <f t="shared" si="6"/>
        <v>1608.1208909090908</v>
      </c>
      <c r="S14" s="264">
        <f t="shared" si="7"/>
        <v>1608.1208909090908</v>
      </c>
      <c r="T14" s="264">
        <f t="shared" si="8"/>
        <v>1399.6886109090908</v>
      </c>
      <c r="U14" s="264">
        <f t="shared" si="9"/>
        <v>1399.6886109090908</v>
      </c>
      <c r="V14" s="281">
        <f t="shared" si="10"/>
        <v>1539.6574720000001</v>
      </c>
      <c r="W14" s="281">
        <f t="shared" si="10"/>
        <v>1539.6574720000001</v>
      </c>
      <c r="X14" s="217">
        <f>'Tariffs 2021'!BL6</f>
        <v>0</v>
      </c>
      <c r="Y14" s="218" t="str">
        <f>'Tariffs 2021'!BM6</f>
        <v>n</v>
      </c>
      <c r="Z14" s="293"/>
      <c r="AA14" s="293"/>
      <c r="AB14" s="293"/>
      <c r="AC14" s="293"/>
      <c r="AD14" s="293"/>
      <c r="AE14" s="293"/>
      <c r="AF14" s="293"/>
      <c r="AG14" s="293"/>
      <c r="AH14" s="293"/>
      <c r="AI14" s="293"/>
      <c r="AJ14" s="293"/>
      <c r="AK14" s="293"/>
      <c r="AL14" s="293"/>
      <c r="AM14" s="293"/>
      <c r="AN14" s="293"/>
      <c r="AO14" s="293"/>
      <c r="AP14" s="293"/>
      <c r="AQ14" s="293"/>
    </row>
    <row r="15" spans="1:43" x14ac:dyDescent="0.15">
      <c r="A15" s="212" t="str">
        <f>'Tariffs 2021'!K7</f>
        <v>Powerclub</v>
      </c>
      <c r="B15" s="213" t="str">
        <f>'Tariffs 2021'!L7</f>
        <v>Powerbank Home Solar</v>
      </c>
      <c r="C15" s="214">
        <f>IF('Tariffs 2021'!BP7=0,91*'Tariffs 2021'!M7/100,(91*'Tariffs 2021'!M7/100)+'Tariffs 2021'!BP7/4)</f>
        <v>97.621727272727256</v>
      </c>
      <c r="D15" s="214">
        <f>IF('Tariffs 2021'!O7="",$F$5*'Tariffs 2021'!N7/100,IF($F$5&gt;='Tariffs 2021'!P7,('Tariffs 2021'!P7*'Tariffs 2021'!N7/100),($F$5*'Tariffs 2021'!N7/100)))</f>
        <v>303.00138109090915</v>
      </c>
      <c r="E15" s="214">
        <f>IF(AND('Tariffs 2021'!R7&gt;0,'Tariffs 2021'!T7&gt;0),IF($F$5&lt;'Tariffs 2021'!P7,0,IF(($F$5-'Tariffs 2021'!P7)&lt;='Tariffs 2021'!R7,(($F$5-'Tariffs 2021'!P7)*'Tariffs 2021'!Q7/100),(('Tariffs 2021'!R7-'Tariffs 2021'!P7)*'Tariffs 2021'!Q7/100))),IF(AND('Tariffs 2021'!R7&gt;0,'Tariffs 2021'!T7=""),IF($F$5&lt;'Tariffs 2021'!P7,0, IF(($F$5)&lt;= 'Tariffs 2021'!R7,(($F$5-'Tariffs 2021'!P7)* 'Tariffs 2021'!Q7/100),(( 'Tariffs 2021'!R7-'Tariffs 2021'!P7)* 'Tariffs 2021'!Q7/100))),0))</f>
        <v>0</v>
      </c>
      <c r="F15" s="214">
        <f>IF('Tariffs 2021'!T7&gt;0,IF(($F$5&lt;'Tariffs 2021'!T7),(0),($F$5-'Tariffs 2021'!T7)*'Tariffs 2021'!U7/100),IF(AND('Tariffs 2021'!R7&gt;0,'Tariffs 2021'!T7=""),IF(($F$5&lt;'Tariffs 2021'!R7),(0),($F$5-'Tariffs 2021'!R7)*'Tariffs 2021'!S7/100),IF(AND('Tariffs 2021'!P7&gt;0,'Tariffs 2021'!R7=""),IF(($F$5&lt;'Tariffs 2021'!P7),(0),($F$5-'Tariffs 2021'!P7)*'Tariffs 2021'!Q7/100),0)))</f>
        <v>0</v>
      </c>
      <c r="G15" s="214">
        <f t="shared" si="0"/>
        <v>400.62310836363639</v>
      </c>
      <c r="H15" s="226">
        <f t="shared" si="1"/>
        <v>1212.0055243636366</v>
      </c>
      <c r="I15" s="264">
        <f t="shared" si="2"/>
        <v>1602.4924334545456</v>
      </c>
      <c r="J15" s="215">
        <f t="shared" si="3"/>
        <v>1762.7416768000003</v>
      </c>
      <c r="K15" s="213">
        <f>'Tariffs 2021'!AZ7</f>
        <v>0</v>
      </c>
      <c r="L15" s="213">
        <f>'Tariffs 2021'!BA7</f>
        <v>0</v>
      </c>
      <c r="M15" s="213">
        <f>'Tariffs 2021'!BB7</f>
        <v>0</v>
      </c>
      <c r="N15" s="213">
        <f>'Tariffs 2021'!BC7</f>
        <v>0</v>
      </c>
      <c r="O15" s="215">
        <f>($F$6*'Tariffs 2021'!AT7/100)*4</f>
        <v>119.10416000000001</v>
      </c>
      <c r="P15" s="216" t="str">
        <f t="shared" si="4"/>
        <v>No discount</v>
      </c>
      <c r="Q15" s="216" t="str">
        <f t="shared" si="5"/>
        <v>Exclusive</v>
      </c>
      <c r="R15" s="279">
        <f t="shared" si="6"/>
        <v>1602.4924334545456</v>
      </c>
      <c r="S15" s="264">
        <f t="shared" si="7"/>
        <v>1602.4924334545456</v>
      </c>
      <c r="T15" s="264">
        <f t="shared" si="8"/>
        <v>1483.3882734545455</v>
      </c>
      <c r="U15" s="264">
        <f t="shared" si="9"/>
        <v>1483.3882734545455</v>
      </c>
      <c r="V15" s="281">
        <f t="shared" si="10"/>
        <v>1631.7271008000002</v>
      </c>
      <c r="W15" s="281">
        <f t="shared" si="10"/>
        <v>1631.7271008000002</v>
      </c>
      <c r="X15" s="217">
        <f>'Tariffs 2021'!BL7</f>
        <v>0</v>
      </c>
      <c r="Y15" s="218" t="str">
        <f>'Tariffs 2021'!BM7</f>
        <v>n</v>
      </c>
      <c r="Z15" s="293"/>
      <c r="AA15" s="293"/>
      <c r="AB15" s="293"/>
      <c r="AC15" s="293"/>
      <c r="AD15" s="293"/>
      <c r="AE15" s="293"/>
      <c r="AF15" s="293"/>
      <c r="AG15" s="293"/>
      <c r="AH15" s="293"/>
      <c r="AI15" s="293"/>
      <c r="AJ15" s="293"/>
      <c r="AK15" s="293"/>
      <c r="AL15" s="293"/>
      <c r="AM15" s="293"/>
      <c r="AN15" s="293"/>
      <c r="AO15" s="293"/>
      <c r="AP15" s="293"/>
      <c r="AQ15" s="293"/>
    </row>
    <row r="16" spans="1:43" x14ac:dyDescent="0.15">
      <c r="A16" s="212" t="str">
        <f>'Tariffs 2021'!K8</f>
        <v>Amber Electric</v>
      </c>
      <c r="B16" s="213" t="str">
        <f>'Tariffs 2021'!L8</f>
        <v>Amber Plan</v>
      </c>
      <c r="C16" s="214">
        <f>IF('Tariffs 2021'!BP8=0,91*'Tariffs 2021'!M8/100,(91*'Tariffs 2021'!M8/100)+'Tariffs 2021'!BP8/4)</f>
        <v>111.98836363636363</v>
      </c>
      <c r="D16" s="214">
        <f>IF('Tariffs 2021'!O8="",$F$5*'Tariffs 2021'!N8/100,IF($F$5&gt;='Tariffs 2021'!P8,('Tariffs 2021'!P8*'Tariffs 2021'!N8/100),($F$5*'Tariffs 2021'!N8/100)))</f>
        <v>325.54914272727268</v>
      </c>
      <c r="E16" s="214">
        <f>IF(AND('Tariffs 2021'!R8&gt;0,'Tariffs 2021'!T8&gt;0),IF($F$5&lt;'Tariffs 2021'!P8,0,IF(($F$5-'Tariffs 2021'!P8)&lt;='Tariffs 2021'!R8,(($F$5-'Tariffs 2021'!P8)*'Tariffs 2021'!Q8/100),(('Tariffs 2021'!R8-'Tariffs 2021'!P8)*'Tariffs 2021'!Q8/100))),IF(AND('Tariffs 2021'!R8&gt;0,'Tariffs 2021'!T8=""),IF($F$5&lt;'Tariffs 2021'!P8,0, IF(($F$5)&lt;= 'Tariffs 2021'!R8,(($F$5-'Tariffs 2021'!P8)* 'Tariffs 2021'!Q8/100),(( 'Tariffs 2021'!R8-'Tariffs 2021'!P8)* 'Tariffs 2021'!Q8/100))),0))</f>
        <v>0</v>
      </c>
      <c r="F16" s="214">
        <f>IF('Tariffs 2021'!T8&gt;0,IF(($F$5&lt;'Tariffs 2021'!T8),(0),($F$5-'Tariffs 2021'!T8)*'Tariffs 2021'!U8/100),IF(AND('Tariffs 2021'!R8&gt;0,'Tariffs 2021'!T8=""),IF(($F$5&lt;'Tariffs 2021'!R8),(0),($F$5-'Tariffs 2021'!R8)*'Tariffs 2021'!S8/100),IF(AND('Tariffs 2021'!P8&gt;0,'Tariffs 2021'!R8=""),IF(($F$5&lt;'Tariffs 2021'!P8),(0),($F$5-'Tariffs 2021'!P8)*'Tariffs 2021'!Q8/100),0)))</f>
        <v>0</v>
      </c>
      <c r="G16" s="214">
        <f t="shared" ref="G16:G17" si="11">SUM(C16:F16)</f>
        <v>437.53750636363634</v>
      </c>
      <c r="H16" s="226">
        <f t="shared" ref="H16:H17" si="12">(G16-C16)*4</f>
        <v>1302.196570909091</v>
      </c>
      <c r="I16" s="264">
        <f t="shared" ref="I16:I17" si="13">G16*4</f>
        <v>1750.1500254545454</v>
      </c>
      <c r="J16" s="215">
        <f t="shared" ref="J16:J17" si="14">I16*1.1</f>
        <v>1925.1650280000001</v>
      </c>
      <c r="K16" s="213">
        <f>'Tariffs 2021'!AZ8</f>
        <v>0</v>
      </c>
      <c r="L16" s="213">
        <f>'Tariffs 2021'!BA8</f>
        <v>0</v>
      </c>
      <c r="M16" s="213">
        <f>'Tariffs 2021'!BB8</f>
        <v>0</v>
      </c>
      <c r="N16" s="213">
        <f>'Tariffs 2021'!BC8</f>
        <v>0</v>
      </c>
      <c r="O16" s="215">
        <f>($F$6*'Tariffs 2021'!AT8/100)*4</f>
        <v>0</v>
      </c>
      <c r="P16" s="216" t="str">
        <f t="shared" si="4"/>
        <v>No discount</v>
      </c>
      <c r="Q16" s="216" t="str">
        <f t="shared" si="5"/>
        <v>Exclusive</v>
      </c>
      <c r="R16" s="279">
        <f t="shared" si="6"/>
        <v>1750.1500254545454</v>
      </c>
      <c r="S16" s="264">
        <f t="shared" si="7"/>
        <v>1750.1500254545454</v>
      </c>
      <c r="T16" s="264">
        <f t="shared" ref="T16:T17" si="15">R16-O16</f>
        <v>1750.1500254545454</v>
      </c>
      <c r="U16" s="264">
        <f t="shared" ref="U16:U17" si="16">S16-O16</f>
        <v>1750.1500254545454</v>
      </c>
      <c r="V16" s="281">
        <f t="shared" ref="V16:V17" si="17">T16*1.1</f>
        <v>1925.1650280000001</v>
      </c>
      <c r="W16" s="281">
        <f t="shared" ref="W16:W17" si="18">U16*1.1</f>
        <v>1925.1650280000001</v>
      </c>
      <c r="X16" s="217">
        <f>'Tariffs 2021'!BL8</f>
        <v>0</v>
      </c>
      <c r="Y16" s="218" t="str">
        <f>'Tariffs 2021'!BM8</f>
        <v>n</v>
      </c>
      <c r="Z16" s="293"/>
      <c r="AA16" s="293"/>
      <c r="AB16" s="293"/>
      <c r="AC16" s="293"/>
      <c r="AD16" s="293"/>
      <c r="AE16" s="293"/>
      <c r="AF16" s="293"/>
      <c r="AG16" s="293"/>
      <c r="AH16" s="293"/>
      <c r="AI16" s="293"/>
      <c r="AJ16" s="293"/>
      <c r="AK16" s="293"/>
      <c r="AL16" s="293"/>
      <c r="AM16" s="293"/>
      <c r="AN16" s="293"/>
      <c r="AO16" s="293"/>
      <c r="AP16" s="293"/>
      <c r="AQ16" s="293"/>
    </row>
    <row r="17" spans="1:43" ht="15" thickBot="1" x14ac:dyDescent="0.2">
      <c r="A17" s="219" t="str">
        <f>'Tariffs 2021'!K9</f>
        <v>Radian Energy</v>
      </c>
      <c r="B17" s="220" t="str">
        <f>'Tariffs 2021'!L9</f>
        <v>Grid to Go</v>
      </c>
      <c r="C17" s="221">
        <f>IF('Tariffs 2021'!BP9=0,91*'Tariffs 2021'!M9/100,(91*'Tariffs 2021'!M9/100)+'Tariffs 2021'!BP9/4)</f>
        <v>60.97</v>
      </c>
      <c r="D17" s="221">
        <f>IF('Tariffs 2021'!O9="",$F$5*'Tariffs 2021'!N9/100,IF($F$5&gt;='Tariffs 2021'!P9,('Tariffs 2021'!P9*'Tariffs 2021'!N9/100),($F$5*'Tariffs 2021'!N9/100)))</f>
        <v>243.84517500000001</v>
      </c>
      <c r="E17" s="221">
        <f>IF(AND('Tariffs 2021'!R9&gt;0,'Tariffs 2021'!T9&gt;0),IF($F$5&lt;'Tariffs 2021'!P9,0,IF(($F$5-'Tariffs 2021'!P9)&lt;='Tariffs 2021'!R9,(($F$5-'Tariffs 2021'!P9)*'Tariffs 2021'!Q9/100),(('Tariffs 2021'!R9-'Tariffs 2021'!P9)*'Tariffs 2021'!Q9/100))),IF(AND('Tariffs 2021'!R9&gt;0,'Tariffs 2021'!T9=""),IF($F$5&lt;'Tariffs 2021'!P9,0, IF(($F$5)&lt;= 'Tariffs 2021'!R9,(($F$5-'Tariffs 2021'!P9)* 'Tariffs 2021'!Q9/100),(( 'Tariffs 2021'!R9-'Tariffs 2021'!P9)* 'Tariffs 2021'!Q9/100))),0))</f>
        <v>0</v>
      </c>
      <c r="F17" s="221">
        <f>IF('Tariffs 2021'!T9&gt;0,IF(($F$5&lt;'Tariffs 2021'!T9),(0),($F$5-'Tariffs 2021'!T9)*'Tariffs 2021'!U9/100),IF(AND('Tariffs 2021'!R9&gt;0,'Tariffs 2021'!T9=""),IF(($F$5&lt;'Tariffs 2021'!R9),(0),($F$5-'Tariffs 2021'!R9)*'Tariffs 2021'!S9/100),IF(AND('Tariffs 2021'!P9&gt;0,'Tariffs 2021'!R9=""),IF(($F$5&lt;'Tariffs 2021'!P9),(0),($F$5-'Tariffs 2021'!P9)*'Tariffs 2021'!Q9/100),0)))</f>
        <v>0</v>
      </c>
      <c r="G17" s="221">
        <f t="shared" si="11"/>
        <v>304.81517500000001</v>
      </c>
      <c r="H17" s="227">
        <f t="shared" si="12"/>
        <v>975.38070000000005</v>
      </c>
      <c r="I17" s="265">
        <f t="shared" si="13"/>
        <v>1219.2607</v>
      </c>
      <c r="J17" s="222">
        <f t="shared" si="14"/>
        <v>1341.1867700000003</v>
      </c>
      <c r="K17" s="220">
        <f>'Tariffs 2021'!AZ9</f>
        <v>0</v>
      </c>
      <c r="L17" s="220">
        <f>'Tariffs 2021'!BA9</f>
        <v>0</v>
      </c>
      <c r="M17" s="220">
        <f>'Tariffs 2021'!BB9</f>
        <v>0</v>
      </c>
      <c r="N17" s="220">
        <f>'Tariffs 2021'!BC9</f>
        <v>0</v>
      </c>
      <c r="O17" s="222">
        <f>($F$6*'Tariffs 2021'!AT9/100)*4</f>
        <v>178.65624000000003</v>
      </c>
      <c r="P17" s="223" t="str">
        <f t="shared" si="4"/>
        <v>No discount</v>
      </c>
      <c r="Q17" s="223" t="str">
        <f t="shared" si="5"/>
        <v>Exclusive</v>
      </c>
      <c r="R17" s="280">
        <f t="shared" si="6"/>
        <v>1219.2607</v>
      </c>
      <c r="S17" s="265">
        <f t="shared" si="7"/>
        <v>1219.2607</v>
      </c>
      <c r="T17" s="265">
        <f t="shared" si="15"/>
        <v>1040.60446</v>
      </c>
      <c r="U17" s="265">
        <f t="shared" si="16"/>
        <v>1040.60446</v>
      </c>
      <c r="V17" s="282">
        <f t="shared" si="17"/>
        <v>1144.6649060000002</v>
      </c>
      <c r="W17" s="282">
        <f t="shared" si="18"/>
        <v>1144.6649060000002</v>
      </c>
      <c r="X17" s="224">
        <f>'Tariffs 2021'!BL9</f>
        <v>0</v>
      </c>
      <c r="Y17" s="225" t="str">
        <f>'Tariffs 2021'!BM9</f>
        <v>n</v>
      </c>
      <c r="Z17" s="293"/>
      <c r="AA17" s="293"/>
      <c r="AB17" s="293"/>
      <c r="AC17" s="293"/>
      <c r="AD17" s="293"/>
      <c r="AE17" s="293"/>
      <c r="AF17" s="293"/>
      <c r="AG17" s="293"/>
      <c r="AH17" s="293"/>
      <c r="AI17" s="293"/>
      <c r="AJ17" s="293"/>
      <c r="AK17" s="293"/>
      <c r="AL17" s="293"/>
      <c r="AM17" s="293"/>
      <c r="AN17" s="293"/>
      <c r="AO17" s="293"/>
      <c r="AP17" s="293"/>
      <c r="AQ17" s="293"/>
    </row>
    <row r="18" spans="1:43" customFormat="1" ht="13" x14ac:dyDescent="0.15">
      <c r="A18" s="29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row>
    <row r="19" spans="1:43" customFormat="1" thickBot="1" x14ac:dyDescent="0.2">
      <c r="A19" s="29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row>
    <row r="20" spans="1:43" x14ac:dyDescent="0.15">
      <c r="A20" s="248" t="s">
        <v>30</v>
      </c>
      <c r="B20" s="249"/>
      <c r="C20" s="249"/>
      <c r="D20" s="258"/>
      <c r="E20" s="258"/>
      <c r="F20" s="258"/>
      <c r="G20" s="259"/>
      <c r="H20" s="259"/>
      <c r="I20" s="249"/>
      <c r="J20" s="249"/>
      <c r="K20" s="249"/>
      <c r="L20" s="249"/>
      <c r="M20" s="249"/>
      <c r="N20" s="249"/>
      <c r="O20" s="249"/>
      <c r="P20" s="249"/>
      <c r="Q20" s="249"/>
      <c r="R20" s="249"/>
      <c r="S20" s="249"/>
      <c r="T20" s="249"/>
      <c r="U20" s="249"/>
      <c r="V20" s="249"/>
      <c r="W20" s="249"/>
      <c r="X20" s="249"/>
      <c r="Y20" s="250"/>
      <c r="Z20" s="293"/>
      <c r="AA20" s="293"/>
      <c r="AB20" s="293"/>
      <c r="AC20" s="293"/>
      <c r="AD20" s="293"/>
      <c r="AE20" s="293"/>
      <c r="AF20" s="293"/>
      <c r="AG20" s="293"/>
      <c r="AH20" s="293"/>
      <c r="AI20" s="293"/>
      <c r="AJ20" s="293"/>
      <c r="AK20" s="293"/>
      <c r="AL20" s="293"/>
      <c r="AM20" s="293"/>
      <c r="AN20" s="293"/>
      <c r="AO20" s="293"/>
      <c r="AP20" s="293"/>
      <c r="AQ20" s="293"/>
    </row>
    <row r="21" spans="1:43" ht="90" x14ac:dyDescent="0.15">
      <c r="A21" s="251" t="s">
        <v>147</v>
      </c>
      <c r="B21" s="252" t="s">
        <v>133</v>
      </c>
      <c r="C21" s="253" t="s">
        <v>184</v>
      </c>
      <c r="D21" s="253" t="s">
        <v>16</v>
      </c>
      <c r="E21" s="253" t="s">
        <v>186</v>
      </c>
      <c r="F21" s="253" t="s">
        <v>113</v>
      </c>
      <c r="G21" s="253" t="s">
        <v>74</v>
      </c>
      <c r="H21" s="261" t="s">
        <v>34</v>
      </c>
      <c r="I21" s="261" t="s">
        <v>121</v>
      </c>
      <c r="J21" s="254" t="s">
        <v>360</v>
      </c>
      <c r="K21" s="255" t="s">
        <v>119</v>
      </c>
      <c r="L21" s="255" t="s">
        <v>63</v>
      </c>
      <c r="M21" s="255" t="s">
        <v>91</v>
      </c>
      <c r="N21" s="255" t="s">
        <v>150</v>
      </c>
      <c r="O21" s="256" t="s">
        <v>430</v>
      </c>
      <c r="P21" s="262" t="s">
        <v>361</v>
      </c>
      <c r="Q21" s="262" t="s">
        <v>362</v>
      </c>
      <c r="R21" s="263" t="s">
        <v>102</v>
      </c>
      <c r="S21" s="263" t="s">
        <v>29</v>
      </c>
      <c r="T21" s="263" t="s">
        <v>226</v>
      </c>
      <c r="U21" s="263" t="s">
        <v>100</v>
      </c>
      <c r="V21" s="256" t="s">
        <v>101</v>
      </c>
      <c r="W21" s="256" t="s">
        <v>174</v>
      </c>
      <c r="X21" s="260" t="s">
        <v>142</v>
      </c>
      <c r="Y21" s="257" t="s">
        <v>143</v>
      </c>
      <c r="Z21" s="293"/>
      <c r="AA21" s="293"/>
      <c r="AB21" s="293"/>
      <c r="AC21" s="293"/>
      <c r="AD21" s="293"/>
      <c r="AE21" s="293"/>
      <c r="AF21" s="293"/>
      <c r="AG21" s="293"/>
      <c r="AH21" s="293"/>
      <c r="AI21" s="293"/>
      <c r="AJ21" s="293"/>
      <c r="AK21" s="293"/>
      <c r="AL21" s="293"/>
      <c r="AM21" s="293"/>
      <c r="AN21" s="293"/>
      <c r="AO21" s="293"/>
      <c r="AP21" s="293"/>
      <c r="AQ21" s="293"/>
    </row>
    <row r="22" spans="1:43" x14ac:dyDescent="0.15">
      <c r="A22" s="212" t="str">
        <f>'Tariffs 2021'!K10</f>
        <v>ActewAGL</v>
      </c>
      <c r="B22" s="213" t="str">
        <f>'Tariffs 2021'!L10</f>
        <v>Solar Advantage</v>
      </c>
      <c r="C22" s="226">
        <f>IF('Tariffs 2021'!BP10=0,91*'Tariffs 2021'!M10/100,(91*'Tariffs 2021'!M10/100)+'Tariffs 2021'!BP10/4)</f>
        <v>85.312499999999986</v>
      </c>
      <c r="D22" s="226">
        <f>IF('Tariffs 2021'!O10="",$K$5*'Tariffs 2021'!N10/100,IF($K$5&gt;='Tariffs 2021'!P10,('Tariffs 2021'!P10*'Tariffs 2021'!N10/100),($K$5*'Tariffs 2021'!N10/100)))</f>
        <v>249.0767623909091</v>
      </c>
      <c r="E22" s="226">
        <f>IF('Tariffs 2021'!T10&gt;0,IF(($F$5&lt;'Tariffs 2021'!T10),(0),($F$5-'Tariffs 2021'!T10)*'Tariffs 2021'!U10/100),IF(AND('Tariffs 2021'!R10&gt;0,'Tariffs 2021'!T10=""),IF(($F$5&lt;'Tariffs 2021'!R10),(0),($F$5-'Tariffs 2021'!R10)*'Tariffs 2021'!S10/100),IF(AND('Tariffs 2021'!P10&gt;0,'Tariffs 2021'!R10=""),IF(($F$5&lt;'Tariffs 2021'!P10),(0),($F$5-'Tariffs 2021'!P10)*'Tariffs 2021'!Q10/100),0)))</f>
        <v>0</v>
      </c>
      <c r="F22" s="226">
        <f>($L$5)*'Tariffs 2021'!AE10/100</f>
        <v>64.793146499999992</v>
      </c>
      <c r="G22" s="226">
        <f>SUM(C22:F22)</f>
        <v>399.18240889090907</v>
      </c>
      <c r="H22" s="226">
        <f t="shared" ref="H22:H26" si="19">(G22-C22)*4</f>
        <v>1255.4796355636363</v>
      </c>
      <c r="I22" s="264">
        <f t="shared" ref="I22:I26" si="20">G22*4</f>
        <v>1596.7296355636363</v>
      </c>
      <c r="J22" s="215">
        <f>I22*1.1</f>
        <v>1756.4025991200001</v>
      </c>
      <c r="K22" s="213">
        <f>'Tariffs 2021'!AZ10</f>
        <v>0</v>
      </c>
      <c r="L22" s="213">
        <f>'Tariffs 2021'!BA10</f>
        <v>0</v>
      </c>
      <c r="M22" s="213">
        <f>'Tariffs 2021'!BB10</f>
        <v>0</v>
      </c>
      <c r="N22" s="213">
        <f>'Tariffs 2021'!BC10</f>
        <v>0</v>
      </c>
      <c r="O22" s="215">
        <f>($F$6*'Tariffs 2021'!AT10/100)*4</f>
        <v>357.31248000000005</v>
      </c>
      <c r="P22" s="216" t="str">
        <f t="shared" ref="P22:P28" si="21">IF(SUM(K22:N22)=0,"No discount",IF(K22&gt;0,"Guaranteed off bill",IF(L22&gt;0,"Guaranteed off usage",IF(M22&gt;0,"Pay-on-time off bill","Pay-on-time off usage"))))</f>
        <v>No discount</v>
      </c>
      <c r="Q22" s="216" t="str">
        <f t="shared" ref="Q22:Q28" si="22">IF(OR(A22="Origin Energy",A22="Red Energy",A22="Powershop"),"Inclusive","Exclusive")</f>
        <v>Exclusive</v>
      </c>
      <c r="R22" s="279">
        <f t="shared" ref="R22:R28" si="23">IF(AND(P22="Guaranteed off bill",Q22="Inclusive"),((I22*1.1)-((I22*1.1)*K22/100))/1.1,IF(AND(P22="Guaranteed off usage",Q22="Inclusive"),((I22*1.1)-((H22*1.1)*L22/100))/1.1,IF(AND(P22="Guaranteed off bill",Q22="Exclusive"),I22-(I22*K22/100),IF(AND(P22="Guaranteed off usage",Q22="Exclusive"),I22-(H22*L22/100),IF(Q22="Inclusive",((I22*1.1))/1.1,I22)))))</f>
        <v>1596.7296355636363</v>
      </c>
      <c r="S22" s="264">
        <f t="shared" ref="S22:S28" si="24">IF(AND(P22="Pay-on-time off bill",Q22="Inclusive"),((R22*1.1)-((R22*1.1)*M22/100))/1.1,IF(AND(P22="Pay-on-time off usage",Q22="Inclusive"),((R22*1.1)-((H22*1.1)*N22/100))/1.1,IF(AND(P22="Pay-on-time off bill",Q22="Exclusive"),R22-(R22*M22/100),IF(AND(P22="Pay-on-time off usage",Q22="Exclusive"),R22-(H22*N22/100),IF(Q22="Inclusive",((R22*1.1))/1.1,R22)))))</f>
        <v>1596.7296355636363</v>
      </c>
      <c r="T22" s="264">
        <f>R22-O22</f>
        <v>1239.4171555636362</v>
      </c>
      <c r="U22" s="264">
        <f>S22-O22</f>
        <v>1239.4171555636362</v>
      </c>
      <c r="V22" s="281">
        <f t="shared" ref="V22:W26" si="25">T22*1.1</f>
        <v>1363.35887112</v>
      </c>
      <c r="W22" s="281">
        <f t="shared" si="25"/>
        <v>1363.35887112</v>
      </c>
      <c r="X22" s="217">
        <f>'Tariffs 2021'!BL10</f>
        <v>12</v>
      </c>
      <c r="Y22" s="218" t="str">
        <f>'Tariffs 2021'!BM10</f>
        <v>n</v>
      </c>
      <c r="Z22" s="293"/>
      <c r="AA22" s="293"/>
      <c r="AB22" s="293"/>
      <c r="AC22" s="293"/>
      <c r="AD22" s="293"/>
      <c r="AE22" s="293"/>
      <c r="AF22" s="293"/>
      <c r="AG22" s="293"/>
      <c r="AH22" s="293"/>
      <c r="AI22" s="293"/>
      <c r="AJ22" s="293"/>
      <c r="AK22" s="293"/>
      <c r="AL22" s="293"/>
      <c r="AM22" s="293"/>
      <c r="AN22" s="293"/>
      <c r="AO22" s="293"/>
      <c r="AP22" s="293"/>
      <c r="AQ22" s="293"/>
    </row>
    <row r="23" spans="1:43" x14ac:dyDescent="0.15">
      <c r="A23" s="212" t="str">
        <f>'Tariffs 2021'!K11</f>
        <v>EnergyAustralia</v>
      </c>
      <c r="B23" s="213" t="str">
        <f>'Tariffs 2021'!L11</f>
        <v>Total Plan Home</v>
      </c>
      <c r="C23" s="226">
        <f>IF('Tariffs 2021'!BP11=0,91*'Tariffs 2021'!M11/100,(91*'Tariffs 2021'!M11/100)+'Tariffs 2021'!BP11/4)</f>
        <v>75.347999999999999</v>
      </c>
      <c r="D23" s="226">
        <f>IF('Tariffs 2021'!O11="",$K$5*'Tariffs 2021'!N11/100,IF($K$5&gt;='Tariffs 2021'!P11,('Tariffs 2021'!P11*'Tariffs 2021'!N11/100),($K$5*'Tariffs 2021'!N11/100)))</f>
        <v>248.72207850000004</v>
      </c>
      <c r="E23" s="226">
        <f>IF('Tariffs 2021'!T11&gt;0,IF(($F$5&lt;'Tariffs 2021'!T11),(0),($F$5-'Tariffs 2021'!T11)*'Tariffs 2021'!U11/100),IF(AND('Tariffs 2021'!R11&gt;0,'Tariffs 2021'!T11=""),IF(($F$5&lt;'Tariffs 2021'!R11),(0),($F$5-'Tariffs 2021'!R11)*'Tariffs 2021'!S11/100),IF(AND('Tariffs 2021'!P11&gt;0,'Tariffs 2021'!R11=""),IF(($F$5&lt;'Tariffs 2021'!P11),(0),($F$5-'Tariffs 2021'!P11)*'Tariffs 2021'!Q11/100),0)))</f>
        <v>0</v>
      </c>
      <c r="F23" s="226">
        <f>($L$5)*'Tariffs 2021'!AE11/100</f>
        <v>50.314443381818172</v>
      </c>
      <c r="G23" s="226">
        <f>SUM(C23:F23)</f>
        <v>374.38452188181822</v>
      </c>
      <c r="H23" s="226">
        <f t="shared" si="19"/>
        <v>1196.1460875272728</v>
      </c>
      <c r="I23" s="264">
        <f t="shared" si="20"/>
        <v>1497.5380875272729</v>
      </c>
      <c r="J23" s="215">
        <f>I23*1.1</f>
        <v>1647.2918962800002</v>
      </c>
      <c r="K23" s="213">
        <f>'Tariffs 2021'!AZ11</f>
        <v>12</v>
      </c>
      <c r="L23" s="213">
        <f>'Tariffs 2021'!BA11</f>
        <v>0</v>
      </c>
      <c r="M23" s="213">
        <f>'Tariffs 2021'!BB11</f>
        <v>0</v>
      </c>
      <c r="N23" s="213">
        <f>'Tariffs 2021'!BC11</f>
        <v>0</v>
      </c>
      <c r="O23" s="215">
        <f>($F$6*'Tariffs 2021'!AT11/100)*4</f>
        <v>282.87238000000002</v>
      </c>
      <c r="P23" s="216" t="str">
        <f t="shared" si="21"/>
        <v>Guaranteed off bill</v>
      </c>
      <c r="Q23" s="216" t="str">
        <f t="shared" si="22"/>
        <v>Exclusive</v>
      </c>
      <c r="R23" s="279">
        <f t="shared" si="23"/>
        <v>1317.8335170240002</v>
      </c>
      <c r="S23" s="264">
        <f t="shared" si="24"/>
        <v>1317.8335170240002</v>
      </c>
      <c r="T23" s="264">
        <f>R23-O23</f>
        <v>1034.9611370240002</v>
      </c>
      <c r="U23" s="264">
        <f>S23-O23</f>
        <v>1034.9611370240002</v>
      </c>
      <c r="V23" s="281">
        <f t="shared" si="25"/>
        <v>1138.4572507264004</v>
      </c>
      <c r="W23" s="281">
        <f t="shared" si="25"/>
        <v>1138.4572507264004</v>
      </c>
      <c r="X23" s="217">
        <f>'Tariffs 2021'!BL11</f>
        <v>0</v>
      </c>
      <c r="Y23" s="218" t="str">
        <f>'Tariffs 2021'!BM11</f>
        <v>n</v>
      </c>
      <c r="Z23" s="293"/>
      <c r="AA23" s="293"/>
      <c r="AB23" s="293"/>
      <c r="AC23" s="293"/>
      <c r="AD23" s="293"/>
      <c r="AE23" s="293"/>
      <c r="AF23" s="293"/>
      <c r="AG23" s="293"/>
      <c r="AH23" s="293"/>
      <c r="AI23" s="293"/>
      <c r="AJ23" s="293"/>
      <c r="AK23" s="293"/>
      <c r="AL23" s="293"/>
      <c r="AM23" s="293"/>
      <c r="AN23" s="293"/>
      <c r="AO23" s="293"/>
      <c r="AP23" s="293"/>
      <c r="AQ23" s="293"/>
    </row>
    <row r="24" spans="1:43" x14ac:dyDescent="0.15">
      <c r="A24" s="212" t="str">
        <f>'Tariffs 2021'!K12</f>
        <v>Origin Energy</v>
      </c>
      <c r="B24" s="213" t="str">
        <f>'Tariffs 2021'!L12</f>
        <v>Solar Boost</v>
      </c>
      <c r="C24" s="226">
        <f>IF('Tariffs 2021'!BP12=0,91*'Tariffs 2021'!M12/100,(91*'Tariffs 2021'!M12/100)+'Tariffs 2021'!BP12/4)</f>
        <v>83.48836363636363</v>
      </c>
      <c r="D24" s="226">
        <f>IF('Tariffs 2021'!O12="",$K$5*'Tariffs 2021'!N12/100,IF($K$5&gt;='Tariffs 2021'!P12,('Tariffs 2021'!P12*'Tariffs 2021'!N12/100),($K$5*'Tariffs 2021'!N12/100)))</f>
        <v>227.97307088181816</v>
      </c>
      <c r="E24" s="226">
        <f>IF('Tariffs 2021'!T12&gt;0,IF(($F$5&lt;'Tariffs 2021'!T12),(0),($F$5-'Tariffs 2021'!T12)*'Tariffs 2021'!U12/100),IF(AND('Tariffs 2021'!R12&gt;0,'Tariffs 2021'!T12=""),IF(($F$5&lt;'Tariffs 2021'!R12),(0),($F$5-'Tariffs 2021'!R12)*'Tariffs 2021'!S12/100),IF(AND('Tariffs 2021'!P12&gt;0,'Tariffs 2021'!R12=""),IF(($F$5&lt;'Tariffs 2021'!P12),(0),($F$5-'Tariffs 2021'!P12)*'Tariffs 2021'!Q12/100),0)))</f>
        <v>0</v>
      </c>
      <c r="F24" s="226">
        <f>($L$5)*'Tariffs 2021'!AE12/100</f>
        <v>50.884471063636354</v>
      </c>
      <c r="G24" s="226">
        <f>SUM(C24:F24)</f>
        <v>362.34590558181816</v>
      </c>
      <c r="H24" s="226">
        <f t="shared" si="19"/>
        <v>1115.430167781818</v>
      </c>
      <c r="I24" s="264">
        <f t="shared" si="20"/>
        <v>1449.3836223272726</v>
      </c>
      <c r="J24" s="215">
        <f t="shared" ref="J24:J26" si="26">I24*1.1</f>
        <v>1594.3219845599999</v>
      </c>
      <c r="K24" s="213">
        <f>'Tariffs 2021'!AZ12</f>
        <v>0</v>
      </c>
      <c r="L24" s="213">
        <f>'Tariffs 2021'!BA12</f>
        <v>0</v>
      </c>
      <c r="M24" s="213">
        <f>'Tariffs 2021'!BB12</f>
        <v>0</v>
      </c>
      <c r="N24" s="213">
        <f>'Tariffs 2021'!BC12</f>
        <v>0</v>
      </c>
      <c r="O24" s="215">
        <f>($F$6*'Tariffs 2021'!AT12/100)*4</f>
        <v>327.53644000000003</v>
      </c>
      <c r="P24" s="216" t="str">
        <f t="shared" si="21"/>
        <v>No discount</v>
      </c>
      <c r="Q24" s="216" t="str">
        <f t="shared" si="22"/>
        <v>Inclusive</v>
      </c>
      <c r="R24" s="279">
        <f t="shared" si="23"/>
        <v>1449.3836223272726</v>
      </c>
      <c r="S24" s="264">
        <f t="shared" si="24"/>
        <v>1449.3836223272726</v>
      </c>
      <c r="T24" s="264">
        <f>R24-O24</f>
        <v>1121.8471823272725</v>
      </c>
      <c r="U24" s="264">
        <f>S24-O24</f>
        <v>1121.8471823272725</v>
      </c>
      <c r="V24" s="281">
        <f t="shared" si="25"/>
        <v>1234.0319005599999</v>
      </c>
      <c r="W24" s="281">
        <f t="shared" si="25"/>
        <v>1234.0319005599999</v>
      </c>
      <c r="X24" s="217">
        <f>'Tariffs 2021'!BL12</f>
        <v>0</v>
      </c>
      <c r="Y24" s="218" t="str">
        <f>'Tariffs 2021'!BM12</f>
        <v>n</v>
      </c>
      <c r="Z24" s="293"/>
      <c r="AA24" s="293"/>
      <c r="AB24" s="293"/>
      <c r="AC24" s="293"/>
      <c r="AD24" s="293"/>
      <c r="AE24" s="293"/>
      <c r="AF24" s="293"/>
      <c r="AG24" s="293"/>
      <c r="AH24" s="293"/>
      <c r="AI24" s="293"/>
      <c r="AJ24" s="293"/>
      <c r="AK24" s="293"/>
      <c r="AL24" s="293"/>
      <c r="AM24" s="293"/>
      <c r="AN24" s="293"/>
      <c r="AO24" s="293"/>
      <c r="AP24" s="293"/>
      <c r="AQ24" s="293"/>
    </row>
    <row r="25" spans="1:43" x14ac:dyDescent="0.15">
      <c r="A25" s="212" t="str">
        <f>'Tariffs 2021'!K13</f>
        <v>Red Energy</v>
      </c>
      <c r="B25" s="213" t="str">
        <f>'Tariffs 2021'!L13</f>
        <v>Living Energy Saver</v>
      </c>
      <c r="C25" s="226">
        <f>IF('Tariffs 2021'!BP13=0,91*'Tariffs 2021'!M13/100,(91*'Tariffs 2021'!M13/100)+'Tariffs 2021'!BP13/4)</f>
        <v>80.534999999999997</v>
      </c>
      <c r="D25" s="226">
        <f>IF('Tariffs 2021'!O13="",$K$5*'Tariffs 2021'!N13/100,IF($K$5&gt;='Tariffs 2021'!P13,('Tariffs 2021'!P13*'Tariffs 2021'!N13/100),($K$5*'Tariffs 2021'!N13/100)))</f>
        <v>186.38638467272725</v>
      </c>
      <c r="E25" s="226">
        <f>IF('Tariffs 2021'!T13&gt;0,IF(($F$5&lt;'Tariffs 2021'!T13),(0),($F$5-'Tariffs 2021'!T13)*'Tariffs 2021'!U13/100),IF(AND('Tariffs 2021'!R13&gt;0,'Tariffs 2021'!T13=""),IF(($F$5&lt;'Tariffs 2021'!R13),(0),($F$5-'Tariffs 2021'!R13)*'Tariffs 2021'!S13/100),IF(AND('Tariffs 2021'!P13&gt;0,'Tariffs 2021'!R13=""),IF(($F$5&lt;'Tariffs 2021'!P13),(0),($F$5-'Tariffs 2021'!P13)*'Tariffs 2021'!Q13/100),0)))</f>
        <v>0</v>
      </c>
      <c r="F25" s="226">
        <f>($L$5)*'Tariffs 2021'!AE13/100</f>
        <v>50.086432309090895</v>
      </c>
      <c r="G25" s="226">
        <f>SUM(C25:F25)</f>
        <v>317.00781698181811</v>
      </c>
      <c r="H25" s="226">
        <f t="shared" si="19"/>
        <v>945.89126792727245</v>
      </c>
      <c r="I25" s="264">
        <f t="shared" si="20"/>
        <v>1268.0312679272724</v>
      </c>
      <c r="J25" s="215">
        <f t="shared" si="26"/>
        <v>1394.8343947199999</v>
      </c>
      <c r="K25" s="213">
        <f>'Tariffs 2021'!AZ13</f>
        <v>0</v>
      </c>
      <c r="L25" s="213">
        <f>'Tariffs 2021'!BA13</f>
        <v>0</v>
      </c>
      <c r="M25" s="213">
        <f>'Tariffs 2021'!BB13</f>
        <v>0</v>
      </c>
      <c r="N25" s="213">
        <f>'Tariffs 2021'!BC13</f>
        <v>0</v>
      </c>
      <c r="O25" s="215">
        <f>($F$6*'Tariffs 2021'!AT13/100)*4</f>
        <v>279.89477600000004</v>
      </c>
      <c r="P25" s="216" t="str">
        <f t="shared" si="21"/>
        <v>No discount</v>
      </c>
      <c r="Q25" s="216" t="str">
        <f t="shared" si="22"/>
        <v>Inclusive</v>
      </c>
      <c r="R25" s="279">
        <f t="shared" si="23"/>
        <v>1268.0312679272724</v>
      </c>
      <c r="S25" s="264">
        <f t="shared" si="24"/>
        <v>1268.0312679272724</v>
      </c>
      <c r="T25" s="264">
        <f>R25-O25</f>
        <v>988.13649192727235</v>
      </c>
      <c r="U25" s="264">
        <f>S25-O25</f>
        <v>988.13649192727235</v>
      </c>
      <c r="V25" s="281">
        <f t="shared" si="25"/>
        <v>1086.9501411199997</v>
      </c>
      <c r="W25" s="281">
        <f t="shared" si="25"/>
        <v>1086.9501411199997</v>
      </c>
      <c r="X25" s="217">
        <f>'Tariffs 2021'!BL13</f>
        <v>0</v>
      </c>
      <c r="Y25" s="218" t="str">
        <f>'Tariffs 2021'!BM13</f>
        <v>n</v>
      </c>
      <c r="Z25" s="293"/>
      <c r="AA25" s="293"/>
      <c r="AB25" s="293"/>
      <c r="AC25" s="293"/>
      <c r="AD25" s="293"/>
      <c r="AE25" s="293"/>
      <c r="AF25" s="293"/>
      <c r="AG25" s="293"/>
      <c r="AH25" s="293"/>
      <c r="AI25" s="293"/>
      <c r="AJ25" s="293"/>
      <c r="AK25" s="293"/>
      <c r="AL25" s="293"/>
      <c r="AM25" s="293"/>
      <c r="AN25" s="293"/>
      <c r="AO25" s="293"/>
      <c r="AP25" s="293"/>
      <c r="AQ25" s="293"/>
    </row>
    <row r="26" spans="1:43" x14ac:dyDescent="0.15">
      <c r="A26" s="212" t="str">
        <f>'Tariffs 2021'!K14</f>
        <v>Energy Locals</v>
      </c>
      <c r="B26" s="213" t="str">
        <f>'Tariffs 2021'!L14</f>
        <v>Online Member</v>
      </c>
      <c r="C26" s="226">
        <f>IF('Tariffs 2021'!BP14=0,91*'Tariffs 2021'!M14/100,(91*'Tariffs 2021'!M14/100)+'Tariffs 2021'!BP14/4)</f>
        <v>91.681818181818173</v>
      </c>
      <c r="D26" s="226">
        <f>IF('Tariffs 2021'!O14="",$K$5*'Tariffs 2021'!N14/100,IF($K$5&gt;='Tariffs 2021'!P14,('Tariffs 2021'!P14*'Tariffs 2021'!N14/100),($K$5*'Tariffs 2021'!N14/100)))</f>
        <v>217.24388318181818</v>
      </c>
      <c r="E26" s="226">
        <f>IF('Tariffs 2021'!T14&gt;0,IF(($F$5&lt;'Tariffs 2021'!T14),(0),($F$5-'Tariffs 2021'!T14)*'Tariffs 2021'!U14/100),IF(AND('Tariffs 2021'!R14&gt;0,'Tariffs 2021'!T14=""),IF(($F$5&lt;'Tariffs 2021'!R14),(0),($F$5-'Tariffs 2021'!R14)*'Tariffs 2021'!S14/100),IF(AND('Tariffs 2021'!P14&gt;0,'Tariffs 2021'!R14=""),IF(($F$5&lt;'Tariffs 2021'!P14),(0),($F$5-'Tariffs 2021'!P14)*'Tariffs 2021'!Q14/100),0)))</f>
        <v>0</v>
      </c>
      <c r="F26" s="226">
        <f>($L$5)*'Tariffs 2021'!AE14/100</f>
        <v>57.002768181818176</v>
      </c>
      <c r="G26" s="226">
        <f>SUM(C26:F26)</f>
        <v>365.9284695454545</v>
      </c>
      <c r="H26" s="226">
        <f t="shared" si="19"/>
        <v>1096.9866054545453</v>
      </c>
      <c r="I26" s="264">
        <f t="shared" si="20"/>
        <v>1463.713878181818</v>
      </c>
      <c r="J26" s="215">
        <f t="shared" si="26"/>
        <v>1610.085266</v>
      </c>
      <c r="K26" s="213">
        <f>'Tariffs 2021'!AZ14</f>
        <v>0</v>
      </c>
      <c r="L26" s="213">
        <f>'Tariffs 2021'!BA14</f>
        <v>0</v>
      </c>
      <c r="M26" s="213">
        <f>'Tariffs 2021'!BB14</f>
        <v>0</v>
      </c>
      <c r="N26" s="213">
        <f>'Tariffs 2021'!BC14</f>
        <v>0</v>
      </c>
      <c r="O26" s="215">
        <f>($F$6*'Tariffs 2021'!AT14/100)*4</f>
        <v>208.43228000000002</v>
      </c>
      <c r="P26" s="216" t="str">
        <f t="shared" si="21"/>
        <v>No discount</v>
      </c>
      <c r="Q26" s="216" t="str">
        <f t="shared" si="22"/>
        <v>Exclusive</v>
      </c>
      <c r="R26" s="279">
        <f t="shared" si="23"/>
        <v>1463.713878181818</v>
      </c>
      <c r="S26" s="264">
        <f t="shared" si="24"/>
        <v>1463.713878181818</v>
      </c>
      <c r="T26" s="264">
        <f>R26-O26</f>
        <v>1255.281598181818</v>
      </c>
      <c r="U26" s="264">
        <f>S26-O26</f>
        <v>1255.281598181818</v>
      </c>
      <c r="V26" s="281">
        <f t="shared" si="25"/>
        <v>1380.8097579999999</v>
      </c>
      <c r="W26" s="281">
        <f t="shared" si="25"/>
        <v>1380.8097579999999</v>
      </c>
      <c r="X26" s="217">
        <f>'Tariffs 2021'!BL14</f>
        <v>0</v>
      </c>
      <c r="Y26" s="218" t="str">
        <f>'Tariffs 2021'!BM14</f>
        <v>n</v>
      </c>
      <c r="Z26" s="293"/>
      <c r="AA26" s="293"/>
      <c r="AB26" s="293"/>
      <c r="AC26" s="293"/>
      <c r="AD26" s="293"/>
      <c r="AE26" s="293"/>
      <c r="AF26" s="293"/>
      <c r="AG26" s="293"/>
      <c r="AH26" s="293"/>
      <c r="AI26" s="293"/>
      <c r="AJ26" s="293"/>
      <c r="AK26" s="293"/>
      <c r="AL26" s="293"/>
      <c r="AM26" s="293"/>
      <c r="AN26" s="293"/>
      <c r="AO26" s="293"/>
      <c r="AP26" s="293"/>
      <c r="AQ26" s="293"/>
    </row>
    <row r="27" spans="1:43" x14ac:dyDescent="0.15">
      <c r="A27" s="212" t="str">
        <f>'Tariffs 2021'!K15</f>
        <v>Amber Electric</v>
      </c>
      <c r="B27" s="213" t="str">
        <f>'Tariffs 2021'!L15</f>
        <v>Amber Plan</v>
      </c>
      <c r="C27" s="226">
        <f>IF('Tariffs 2021'!BP15=0,91*'Tariffs 2021'!M15/100,(91*'Tariffs 2021'!M15/100)+'Tariffs 2021'!BP15/4)</f>
        <v>111.98836363636363</v>
      </c>
      <c r="D27" s="226">
        <f>IF('Tariffs 2021'!O15="",$K$5*'Tariffs 2021'!N15/100,IF($K$5&gt;='Tariffs 2021'!P15,('Tariffs 2021'!P15*'Tariffs 2021'!N15/100),($K$5*'Tariffs 2021'!N15/100)))</f>
        <v>227.88439990909089</v>
      </c>
      <c r="E27" s="226">
        <f>IF('Tariffs 2021'!T15&gt;0,IF(($F$5&lt;'Tariffs 2021'!T15),(0),($F$5-'Tariffs 2021'!T15)*'Tariffs 2021'!U15/100),IF(AND('Tariffs 2021'!R15&gt;0,'Tariffs 2021'!T15=""),IF(($F$5&lt;'Tariffs 2021'!R15),(0),($F$5-'Tariffs 2021'!R15)*'Tariffs 2021'!S15/100),IF(AND('Tariffs 2021'!P15&gt;0,'Tariffs 2021'!R15=""),IF(($F$5&lt;'Tariffs 2021'!P15),(0),($F$5-'Tariffs 2021'!P15)*'Tariffs 2021'!Q15/100),0)))</f>
        <v>0</v>
      </c>
      <c r="F27" s="226">
        <f>($L$5)*'Tariffs 2021'!AE15/100</f>
        <v>66.047207399999976</v>
      </c>
      <c r="G27" s="226">
        <f t="shared" ref="G27:G28" si="27">SUM(C27:F27)</f>
        <v>405.91997094545451</v>
      </c>
      <c r="H27" s="226">
        <f t="shared" ref="H27:H28" si="28">(G27-C27)*4</f>
        <v>1175.7264292363634</v>
      </c>
      <c r="I27" s="264">
        <f t="shared" ref="I27:I28" si="29">G27*4</f>
        <v>1623.679883781818</v>
      </c>
      <c r="J27" s="215">
        <f t="shared" ref="J27:J28" si="30">I27*1.1</f>
        <v>1786.04787216</v>
      </c>
      <c r="K27" s="213">
        <f>'Tariffs 2021'!AZ15</f>
        <v>0</v>
      </c>
      <c r="L27" s="213">
        <f>'Tariffs 2021'!BA15</f>
        <v>0</v>
      </c>
      <c r="M27" s="213">
        <f>'Tariffs 2021'!BB15</f>
        <v>0</v>
      </c>
      <c r="N27" s="213">
        <f>'Tariffs 2021'!BC15</f>
        <v>0</v>
      </c>
      <c r="O27" s="215">
        <f>($F$6*'Tariffs 2021'!AT15/100)*4</f>
        <v>0</v>
      </c>
      <c r="P27" s="216" t="str">
        <f t="shared" si="21"/>
        <v>No discount</v>
      </c>
      <c r="Q27" s="216" t="str">
        <f t="shared" si="22"/>
        <v>Exclusive</v>
      </c>
      <c r="R27" s="279">
        <f t="shared" si="23"/>
        <v>1623.679883781818</v>
      </c>
      <c r="S27" s="264">
        <f t="shared" si="24"/>
        <v>1623.679883781818</v>
      </c>
      <c r="T27" s="264">
        <f t="shared" ref="T27:T28" si="31">R27-O27</f>
        <v>1623.679883781818</v>
      </c>
      <c r="U27" s="264">
        <f t="shared" ref="U27:U28" si="32">S27-O27</f>
        <v>1623.679883781818</v>
      </c>
      <c r="V27" s="281">
        <f t="shared" ref="V27:V28" si="33">T27*1.1</f>
        <v>1786.04787216</v>
      </c>
      <c r="W27" s="281">
        <f t="shared" ref="W27:W28" si="34">U27*1.1</f>
        <v>1786.04787216</v>
      </c>
      <c r="X27" s="217">
        <f>'Tariffs 2021'!BL15</f>
        <v>0</v>
      </c>
      <c r="Y27" s="218" t="str">
        <f>'Tariffs 2021'!BM15</f>
        <v>n</v>
      </c>
      <c r="Z27" s="293"/>
      <c r="AA27" s="293"/>
      <c r="AB27" s="293"/>
      <c r="AC27" s="293"/>
      <c r="AD27" s="293"/>
      <c r="AE27" s="293"/>
      <c r="AF27" s="293"/>
      <c r="AG27" s="293"/>
      <c r="AH27" s="293"/>
      <c r="AI27" s="293"/>
      <c r="AJ27" s="293"/>
      <c r="AK27" s="293"/>
      <c r="AL27" s="293"/>
      <c r="AM27" s="293"/>
      <c r="AN27" s="293"/>
      <c r="AO27" s="293"/>
      <c r="AP27" s="293"/>
      <c r="AQ27" s="293"/>
    </row>
    <row r="28" spans="1:43" ht="15" thickBot="1" x14ac:dyDescent="0.2">
      <c r="A28" s="219" t="str">
        <f>'Tariffs 2021'!K16</f>
        <v>Radian Energy</v>
      </c>
      <c r="B28" s="220" t="str">
        <f>'Tariffs 2021'!L16</f>
        <v>Grid to Go</v>
      </c>
      <c r="C28" s="227">
        <f>IF('Tariffs 2021'!BP16=0,91*'Tariffs 2021'!M16/100,(91*'Tariffs 2021'!M16/100)+'Tariffs 2021'!BP16/4)</f>
        <v>60.97</v>
      </c>
      <c r="D28" s="227">
        <f>IF('Tariffs 2021'!O16="",$K$5*'Tariffs 2021'!N16/100,IF($K$5&gt;='Tariffs 2021'!P16,('Tariffs 2021'!P16*'Tariffs 2021'!N16/100),($K$5*'Tariffs 2021'!N16/100)))</f>
        <v>170.69162250000002</v>
      </c>
      <c r="E28" s="227">
        <f>IF('Tariffs 2021'!T16&gt;0,IF(($F$5&lt;'Tariffs 2021'!T16),(0),($F$5-'Tariffs 2021'!T16)*'Tariffs 2021'!U16/100),IF(AND('Tariffs 2021'!R16&gt;0,'Tariffs 2021'!T16=""),IF(($F$5&lt;'Tariffs 2021'!R16),(0),($F$5-'Tariffs 2021'!R16)*'Tariffs 2021'!S16/100),IF(AND('Tariffs 2021'!P16&gt;0,'Tariffs 2021'!R16=""),IF(($F$5&lt;'Tariffs 2021'!P16),(0),($F$5-'Tariffs 2021'!P16)*'Tariffs 2021'!Q16/100),0)))</f>
        <v>0</v>
      </c>
      <c r="F28" s="227">
        <f>($L$5)*'Tariffs 2021'!AE16/100</f>
        <v>50.162435999999985</v>
      </c>
      <c r="G28" s="227">
        <f t="shared" si="27"/>
        <v>281.82405849999998</v>
      </c>
      <c r="H28" s="227">
        <f t="shared" si="28"/>
        <v>883.41623399999992</v>
      </c>
      <c r="I28" s="265">
        <f t="shared" si="29"/>
        <v>1127.2962339999999</v>
      </c>
      <c r="J28" s="222">
        <f t="shared" si="30"/>
        <v>1240.0258573999999</v>
      </c>
      <c r="K28" s="220">
        <f>'Tariffs 2021'!AZ16</f>
        <v>0</v>
      </c>
      <c r="L28" s="220">
        <f>'Tariffs 2021'!BA16</f>
        <v>0</v>
      </c>
      <c r="M28" s="220">
        <f>'Tariffs 2021'!BB16</f>
        <v>0</v>
      </c>
      <c r="N28" s="220">
        <f>'Tariffs 2021'!BC16</f>
        <v>0</v>
      </c>
      <c r="O28" s="222">
        <f>($F$6*'Tariffs 2021'!AT16/100)*4</f>
        <v>178.65624000000003</v>
      </c>
      <c r="P28" s="223" t="str">
        <f t="shared" si="21"/>
        <v>No discount</v>
      </c>
      <c r="Q28" s="223" t="str">
        <f t="shared" si="22"/>
        <v>Exclusive</v>
      </c>
      <c r="R28" s="280">
        <f t="shared" si="23"/>
        <v>1127.2962339999999</v>
      </c>
      <c r="S28" s="265">
        <f t="shared" si="24"/>
        <v>1127.2962339999999</v>
      </c>
      <c r="T28" s="265">
        <f t="shared" si="31"/>
        <v>948.63999399999989</v>
      </c>
      <c r="U28" s="265">
        <f t="shared" si="32"/>
        <v>948.63999399999989</v>
      </c>
      <c r="V28" s="282">
        <f t="shared" si="33"/>
        <v>1043.5039933999999</v>
      </c>
      <c r="W28" s="282">
        <f t="shared" si="34"/>
        <v>1043.5039933999999</v>
      </c>
      <c r="X28" s="224">
        <f>'Tariffs 2021'!BL16</f>
        <v>0</v>
      </c>
      <c r="Y28" s="225" t="str">
        <f>'Tariffs 2021'!BM16</f>
        <v>n</v>
      </c>
      <c r="Z28" s="293"/>
      <c r="AA28" s="293"/>
      <c r="AB28" s="293"/>
      <c r="AC28" s="293"/>
      <c r="AD28" s="293"/>
      <c r="AE28" s="293"/>
      <c r="AF28" s="293"/>
      <c r="AG28" s="293"/>
      <c r="AH28" s="293"/>
      <c r="AI28" s="293"/>
      <c r="AJ28" s="293"/>
      <c r="AK28" s="293"/>
      <c r="AL28" s="293"/>
      <c r="AM28" s="293"/>
      <c r="AN28" s="293"/>
      <c r="AO28" s="293"/>
      <c r="AP28" s="293"/>
      <c r="AQ28" s="293"/>
    </row>
    <row r="29" spans="1:43" customFormat="1" ht="13" x14ac:dyDescent="0.15">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row>
    <row r="30" spans="1:43" customFormat="1" thickBot="1" x14ac:dyDescent="0.2">
      <c r="A30" s="29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row>
    <row r="31" spans="1:43" x14ac:dyDescent="0.15">
      <c r="A31" s="248" t="s">
        <v>11</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50"/>
      <c r="Z31" s="293"/>
      <c r="AA31" s="293"/>
      <c r="AB31" s="293"/>
      <c r="AC31" s="293"/>
      <c r="AD31" s="293"/>
      <c r="AE31" s="293"/>
      <c r="AF31" s="293"/>
      <c r="AG31" s="293"/>
      <c r="AH31" s="293"/>
      <c r="AI31" s="293"/>
      <c r="AJ31" s="293"/>
      <c r="AK31" s="293"/>
      <c r="AL31" s="293"/>
      <c r="AM31" s="293"/>
      <c r="AN31" s="293"/>
      <c r="AO31" s="293"/>
      <c r="AP31" s="293"/>
      <c r="AQ31" s="293"/>
    </row>
    <row r="32" spans="1:43" ht="90" x14ac:dyDescent="0.15">
      <c r="A32" s="251" t="s">
        <v>147</v>
      </c>
      <c r="B32" s="252" t="s">
        <v>133</v>
      </c>
      <c r="C32" s="253" t="s">
        <v>184</v>
      </c>
      <c r="D32" s="253" t="s">
        <v>16</v>
      </c>
      <c r="E32" s="253" t="s">
        <v>32</v>
      </c>
      <c r="F32" s="253" t="s">
        <v>33</v>
      </c>
      <c r="G32" s="253" t="s">
        <v>74</v>
      </c>
      <c r="H32" s="261" t="s">
        <v>34</v>
      </c>
      <c r="I32" s="261" t="s">
        <v>121</v>
      </c>
      <c r="J32" s="254" t="s">
        <v>360</v>
      </c>
      <c r="K32" s="255" t="s">
        <v>119</v>
      </c>
      <c r="L32" s="255" t="s">
        <v>63</v>
      </c>
      <c r="M32" s="255" t="s">
        <v>91</v>
      </c>
      <c r="N32" s="255" t="s">
        <v>150</v>
      </c>
      <c r="O32" s="256" t="s">
        <v>430</v>
      </c>
      <c r="P32" s="262" t="s">
        <v>361</v>
      </c>
      <c r="Q32" s="262" t="s">
        <v>362</v>
      </c>
      <c r="R32" s="263" t="s">
        <v>102</v>
      </c>
      <c r="S32" s="263" t="s">
        <v>29</v>
      </c>
      <c r="T32" s="263" t="s">
        <v>226</v>
      </c>
      <c r="U32" s="263" t="s">
        <v>100</v>
      </c>
      <c r="V32" s="256" t="s">
        <v>101</v>
      </c>
      <c r="W32" s="256" t="s">
        <v>174</v>
      </c>
      <c r="X32" s="255" t="s">
        <v>142</v>
      </c>
      <c r="Y32" s="257" t="s">
        <v>143</v>
      </c>
      <c r="Z32" s="293"/>
      <c r="AA32" s="293"/>
      <c r="AB32" s="293"/>
      <c r="AC32" s="293"/>
      <c r="AD32" s="293"/>
      <c r="AE32" s="293"/>
      <c r="AF32" s="293"/>
      <c r="AG32" s="293"/>
      <c r="AH32" s="293"/>
      <c r="AI32" s="293"/>
      <c r="AJ32" s="293"/>
      <c r="AK32" s="293"/>
      <c r="AL32" s="293"/>
      <c r="AM32" s="293"/>
      <c r="AN32" s="293"/>
      <c r="AO32" s="293"/>
      <c r="AP32" s="293"/>
      <c r="AQ32" s="293"/>
    </row>
    <row r="33" spans="1:43" x14ac:dyDescent="0.15">
      <c r="A33" s="212" t="str">
        <f>'Tariffs 2021'!K17</f>
        <v>ActewAGL</v>
      </c>
      <c r="B33" s="213" t="str">
        <f>'Tariffs 2021'!L17</f>
        <v>Solar Advantage</v>
      </c>
      <c r="C33" s="226">
        <f>IF('Tariffs 2021'!BP17=0,91*'Tariffs 2021'!M17/100,(91*'Tariffs 2021'!M17/100)+'Tariffs 2021'!BP17/4)</f>
        <v>85.312499999999986</v>
      </c>
      <c r="D33" s="226">
        <f>IF('Tariffs 2021'!O17="",$K$6*'Tariffs 2021'!N17/100,IF($K$6&gt;='Tariffs 2021'!P17,('Tariffs 2021'!P17*'Tariffs 2021'!N17/100),($K$6*'Tariffs 2021'!N17/100)))</f>
        <v>94.827271690909086</v>
      </c>
      <c r="E33" s="226">
        <f>($M$6)*'Tariffs 2021'!AH17/100</f>
        <v>164.54799081818183</v>
      </c>
      <c r="F33" s="226">
        <f>($L$6)*'Tariffs 2021'!W17/100</f>
        <v>83.414050772727265</v>
      </c>
      <c r="G33" s="226">
        <f t="shared" ref="G33:G38" si="35">SUM(C33:F33)</f>
        <v>428.10181328181818</v>
      </c>
      <c r="H33" s="226">
        <f t="shared" ref="H33:H38" si="36">(G33-C33)*4</f>
        <v>1371.1572531272727</v>
      </c>
      <c r="I33" s="264">
        <f t="shared" ref="I33:I38" si="37">G33*4</f>
        <v>1712.4072531272727</v>
      </c>
      <c r="J33" s="215">
        <f>I33*1.1</f>
        <v>1883.6479784400001</v>
      </c>
      <c r="K33" s="213">
        <f>'Tariffs 2021'!AZ17</f>
        <v>0</v>
      </c>
      <c r="L33" s="213">
        <f>'Tariffs 2021'!BA17</f>
        <v>0</v>
      </c>
      <c r="M33" s="213">
        <f>'Tariffs 2021'!BB17</f>
        <v>0</v>
      </c>
      <c r="N33" s="213">
        <f>'Tariffs 2021'!BC17</f>
        <v>0</v>
      </c>
      <c r="O33" s="215">
        <f>($F$6*'Tariffs 2021'!AT17/100)*4</f>
        <v>357.31248000000005</v>
      </c>
      <c r="P33" s="216" t="str">
        <f t="shared" ref="P33:P39" si="38">IF(SUM(K33:N33)=0,"No discount",IF(K33&gt;0,"Guaranteed off bill",IF(L33&gt;0,"Guaranteed off usage",IF(M33&gt;0,"Pay-on-time off bill","Pay-on-time off usage"))))</f>
        <v>No discount</v>
      </c>
      <c r="Q33" s="216" t="str">
        <f t="shared" ref="Q33:Q39" si="39">IF(OR(A33="Origin Energy",A33="Red Energy",A33="Powershop"),"Inclusive","Exclusive")</f>
        <v>Exclusive</v>
      </c>
      <c r="R33" s="279">
        <f t="shared" ref="R33:R39" si="40">IF(AND(P33="Guaranteed off bill",Q33="Inclusive"),((I33*1.1)-((I33*1.1)*K33/100))/1.1,IF(AND(P33="Guaranteed off usage",Q33="Inclusive"),((I33*1.1)-((H33*1.1)*L33/100))/1.1,IF(AND(P33="Guaranteed off bill",Q33="Exclusive"),I33-(I33*K33/100),IF(AND(P33="Guaranteed off usage",Q33="Exclusive"),I33-(H33*L33/100),IF(Q33="Inclusive",((I33*1.1))/1.1,I33)))))</f>
        <v>1712.4072531272727</v>
      </c>
      <c r="S33" s="264">
        <f t="shared" ref="S33:S39" si="41">IF(AND(P33="Pay-on-time off bill",Q33="Inclusive"),((R33*1.1)-((R33*1.1)*M33/100))/1.1,IF(AND(P33="Pay-on-time off usage",Q33="Inclusive"),((R33*1.1)-((H33*1.1)*N33/100))/1.1,IF(AND(P33="Pay-on-time off bill",Q33="Exclusive"),R33-(R33*M33/100),IF(AND(P33="Pay-on-time off usage",Q33="Exclusive"),R33-(H33*N33/100),IF(Q33="Inclusive",((R33*1.1))/1.1,R33)))))</f>
        <v>1712.4072531272727</v>
      </c>
      <c r="T33" s="264">
        <f t="shared" ref="T33:T38" si="42">R33-O33</f>
        <v>1355.0947731272727</v>
      </c>
      <c r="U33" s="264">
        <f t="shared" ref="U33:U38" si="43">S33-O33</f>
        <v>1355.0947731272727</v>
      </c>
      <c r="V33" s="281">
        <f t="shared" ref="V33:W38" si="44">T33*1.1</f>
        <v>1490.60425044</v>
      </c>
      <c r="W33" s="281">
        <f t="shared" si="44"/>
        <v>1490.60425044</v>
      </c>
      <c r="X33" s="217">
        <f>'Tariffs 2021'!BL17</f>
        <v>12</v>
      </c>
      <c r="Y33" s="218" t="str">
        <f>'Tariffs 2021'!BM17</f>
        <v>n</v>
      </c>
      <c r="Z33" s="293"/>
      <c r="AA33" s="293"/>
      <c r="AB33" s="293"/>
      <c r="AC33" s="293"/>
      <c r="AD33" s="293"/>
      <c r="AE33" s="293"/>
      <c r="AF33" s="293"/>
      <c r="AG33" s="293"/>
      <c r="AH33" s="293"/>
      <c r="AI33" s="293"/>
      <c r="AJ33" s="293"/>
      <c r="AK33" s="293"/>
      <c r="AL33" s="293"/>
      <c r="AM33" s="293"/>
      <c r="AN33" s="293"/>
      <c r="AO33" s="293"/>
      <c r="AP33" s="293"/>
      <c r="AQ33" s="293"/>
    </row>
    <row r="34" spans="1:43" x14ac:dyDescent="0.15">
      <c r="A34" s="212" t="str">
        <f>'Tariffs 2021'!K18</f>
        <v>EnergyAustralia</v>
      </c>
      <c r="B34" s="213" t="str">
        <f>'Tariffs 2021'!L18</f>
        <v>Total Plan Home</v>
      </c>
      <c r="C34" s="226">
        <f>IF('Tariffs 2021'!BP18=0,91*'Tariffs 2021'!M18/100,(91*'Tariffs 2021'!M18/100)+'Tariffs 2021'!BP18/4)</f>
        <v>69.978999999999999</v>
      </c>
      <c r="D34" s="226">
        <f>IF('Tariffs 2021'!O18="",$K$6*'Tariffs 2021'!N18/100,IF($K$6&gt;='Tariffs 2021'!P18,('Tariffs 2021'!P18*'Tariffs 2021'!N18/100),($K$6*'Tariffs 2021'!N18/100)))</f>
        <v>86.289523745454559</v>
      </c>
      <c r="E34" s="226">
        <f>($M$6)*'Tariffs 2021'!AH18/100</f>
        <v>148.08052445454544</v>
      </c>
      <c r="F34" s="226">
        <f>($L$6)*'Tariffs 2021'!W18/100</f>
        <v>61.676995172727267</v>
      </c>
      <c r="G34" s="226">
        <f t="shared" si="35"/>
        <v>366.02604337272726</v>
      </c>
      <c r="H34" s="226">
        <f t="shared" si="36"/>
        <v>1184.1881734909091</v>
      </c>
      <c r="I34" s="264">
        <f t="shared" si="37"/>
        <v>1464.104173490909</v>
      </c>
      <c r="J34" s="215">
        <f>I34*1.1</f>
        <v>1610.51459084</v>
      </c>
      <c r="K34" s="213">
        <f>'Tariffs 2021'!AZ18</f>
        <v>12</v>
      </c>
      <c r="L34" s="213">
        <f>'Tariffs 2021'!BA18</f>
        <v>0</v>
      </c>
      <c r="M34" s="213">
        <f>'Tariffs 2021'!BB18</f>
        <v>0</v>
      </c>
      <c r="N34" s="213">
        <f>'Tariffs 2021'!BC18</f>
        <v>0</v>
      </c>
      <c r="O34" s="215">
        <f>($F$6*'Tariffs 2021'!AT18/100)*4</f>
        <v>282.87238000000002</v>
      </c>
      <c r="P34" s="216" t="str">
        <f t="shared" si="38"/>
        <v>Guaranteed off bill</v>
      </c>
      <c r="Q34" s="216" t="str">
        <f t="shared" si="39"/>
        <v>Exclusive</v>
      </c>
      <c r="R34" s="279">
        <f t="shared" si="40"/>
        <v>1288.4116726719999</v>
      </c>
      <c r="S34" s="264">
        <f t="shared" si="41"/>
        <v>1288.4116726719999</v>
      </c>
      <c r="T34" s="264">
        <f t="shared" si="42"/>
        <v>1005.5392926719999</v>
      </c>
      <c r="U34" s="264">
        <f t="shared" si="43"/>
        <v>1005.5392926719999</v>
      </c>
      <c r="V34" s="281">
        <f t="shared" si="44"/>
        <v>1106.0932219392</v>
      </c>
      <c r="W34" s="281">
        <f t="shared" si="44"/>
        <v>1106.0932219392</v>
      </c>
      <c r="X34" s="217">
        <f>'Tariffs 2021'!BL18</f>
        <v>0</v>
      </c>
      <c r="Y34" s="218" t="str">
        <f>'Tariffs 2021'!BM18</f>
        <v>n</v>
      </c>
      <c r="Z34" s="293"/>
      <c r="AA34" s="293"/>
      <c r="AB34" s="293"/>
      <c r="AC34" s="293"/>
      <c r="AD34" s="293"/>
      <c r="AE34" s="293"/>
      <c r="AF34" s="293"/>
      <c r="AG34" s="293"/>
      <c r="AH34" s="293"/>
      <c r="AI34" s="293"/>
      <c r="AJ34" s="293"/>
      <c r="AK34" s="293"/>
      <c r="AL34" s="293"/>
      <c r="AM34" s="293"/>
      <c r="AN34" s="293"/>
      <c r="AO34" s="293"/>
      <c r="AP34" s="293"/>
      <c r="AQ34" s="293"/>
    </row>
    <row r="35" spans="1:43" x14ac:dyDescent="0.15">
      <c r="A35" s="212" t="str">
        <f>'Tariffs 2021'!K19</f>
        <v>Origin Energy</v>
      </c>
      <c r="B35" s="213" t="str">
        <f>'Tariffs 2021'!L19</f>
        <v>Solar Boost</v>
      </c>
      <c r="C35" s="226">
        <f>IF('Tariffs 2021'!BP19=0,91*'Tariffs 2021'!M19/100,(91*'Tariffs 2021'!M19/100)+'Tariffs 2021'!BP19/4)</f>
        <v>83.48836363636363</v>
      </c>
      <c r="D35" s="226">
        <f>IF('Tariffs 2021'!O19="",$K$6*'Tariffs 2021'!N19/100,IF($K$6&gt;='Tariffs 2021'!P19,('Tariffs 2021'!P19*'Tariffs 2021'!N19/100),($K$6*'Tariffs 2021'!N19/100)))</f>
        <v>86.010843545454549</v>
      </c>
      <c r="E35" s="226">
        <f>($M$6)*'Tariffs 2021'!AH19/100</f>
        <v>152.38740027272726</v>
      </c>
      <c r="F35" s="226">
        <f>($L$6)*'Tariffs 2021'!W19/100</f>
        <v>64.869150190909082</v>
      </c>
      <c r="G35" s="226">
        <f t="shared" si="35"/>
        <v>386.75575764545454</v>
      </c>
      <c r="H35" s="226">
        <f t="shared" si="36"/>
        <v>1213.0695760363637</v>
      </c>
      <c r="I35" s="264">
        <f t="shared" si="37"/>
        <v>1547.0230305818181</v>
      </c>
      <c r="J35" s="215">
        <f t="shared" ref="J35:J38" si="45">I35*1.1</f>
        <v>1701.7253336400001</v>
      </c>
      <c r="K35" s="213">
        <f>'Tariffs 2021'!AZ19</f>
        <v>0</v>
      </c>
      <c r="L35" s="213">
        <f>'Tariffs 2021'!BA19</f>
        <v>0</v>
      </c>
      <c r="M35" s="213">
        <f>'Tariffs 2021'!BB19</f>
        <v>0</v>
      </c>
      <c r="N35" s="213">
        <f>'Tariffs 2021'!BC19</f>
        <v>0</v>
      </c>
      <c r="O35" s="215">
        <f>($F$6*'Tariffs 2021'!AT19/100)*4</f>
        <v>327.53644000000003</v>
      </c>
      <c r="P35" s="216" t="str">
        <f t="shared" si="38"/>
        <v>No discount</v>
      </c>
      <c r="Q35" s="216" t="str">
        <f t="shared" si="39"/>
        <v>Inclusive</v>
      </c>
      <c r="R35" s="279">
        <f t="shared" si="40"/>
        <v>1547.0230305818181</v>
      </c>
      <c r="S35" s="264">
        <f t="shared" si="41"/>
        <v>1547.0230305818181</v>
      </c>
      <c r="T35" s="264">
        <f t="shared" si="42"/>
        <v>1219.4865905818181</v>
      </c>
      <c r="U35" s="264">
        <f t="shared" si="43"/>
        <v>1219.4865905818181</v>
      </c>
      <c r="V35" s="281">
        <f t="shared" si="44"/>
        <v>1341.4352496399999</v>
      </c>
      <c r="W35" s="281">
        <f t="shared" si="44"/>
        <v>1341.4352496399999</v>
      </c>
      <c r="X35" s="217">
        <f>'Tariffs 2021'!BL19</f>
        <v>0</v>
      </c>
      <c r="Y35" s="218" t="str">
        <f>'Tariffs 2021'!BM19</f>
        <v>n</v>
      </c>
      <c r="Z35" s="293"/>
      <c r="AA35" s="293"/>
      <c r="AB35" s="293"/>
      <c r="AC35" s="293"/>
      <c r="AD35" s="293"/>
      <c r="AE35" s="293"/>
      <c r="AF35" s="293"/>
      <c r="AG35" s="293"/>
      <c r="AH35" s="293"/>
      <c r="AI35" s="293"/>
      <c r="AJ35" s="293"/>
      <c r="AK35" s="293"/>
      <c r="AL35" s="293"/>
      <c r="AM35" s="293"/>
      <c r="AN35" s="293"/>
      <c r="AO35" s="293"/>
      <c r="AP35" s="293"/>
      <c r="AQ35" s="293"/>
    </row>
    <row r="36" spans="1:43" x14ac:dyDescent="0.15">
      <c r="A36" s="212" t="str">
        <f>'Tariffs 2021'!K20</f>
        <v>Red Energy</v>
      </c>
      <c r="B36" s="213" t="str">
        <f>'Tariffs 2021'!L20</f>
        <v>Living Energy Saver</v>
      </c>
      <c r="C36" s="226">
        <f>IF('Tariffs 2021'!BP20=0,91*'Tariffs 2021'!M20/100,(91*'Tariffs 2021'!M20/100)+'Tariffs 2021'!BP20/4)</f>
        <v>80.534999999999997</v>
      </c>
      <c r="D36" s="226">
        <f>IF('Tariffs 2021'!O20="",$K$6*'Tariffs 2021'!N20/100,IF($K$6&gt;='Tariffs 2021'!P20,('Tariffs 2021'!P20*'Tariffs 2021'!N20/100),($K$6*'Tariffs 2021'!N20/100)))</f>
        <v>66.123211090909095</v>
      </c>
      <c r="E36" s="226">
        <f>($M$6)*'Tariffs 2021'!AH20/100</f>
        <v>112.10544409090909</v>
      </c>
      <c r="F36" s="226">
        <f>($L$6)*'Tariffs 2021'!W20/100</f>
        <v>50.086432309090895</v>
      </c>
      <c r="G36" s="226">
        <f t="shared" si="35"/>
        <v>308.85008749090912</v>
      </c>
      <c r="H36" s="226">
        <f t="shared" si="36"/>
        <v>913.26034996363649</v>
      </c>
      <c r="I36" s="264">
        <f t="shared" si="37"/>
        <v>1235.4003499636365</v>
      </c>
      <c r="J36" s="215">
        <f t="shared" si="45"/>
        <v>1358.9403849600003</v>
      </c>
      <c r="K36" s="213">
        <f>'Tariffs 2021'!AZ20</f>
        <v>0</v>
      </c>
      <c r="L36" s="213">
        <f>'Tariffs 2021'!BA20</f>
        <v>0</v>
      </c>
      <c r="M36" s="213">
        <f>'Tariffs 2021'!BB20</f>
        <v>0</v>
      </c>
      <c r="N36" s="213">
        <f>'Tariffs 2021'!BC20</f>
        <v>0</v>
      </c>
      <c r="O36" s="215">
        <f>($F$6*'Tariffs 2021'!AT20/100)*4</f>
        <v>279.89477600000004</v>
      </c>
      <c r="P36" s="216" t="str">
        <f t="shared" si="38"/>
        <v>No discount</v>
      </c>
      <c r="Q36" s="216" t="str">
        <f t="shared" si="39"/>
        <v>Inclusive</v>
      </c>
      <c r="R36" s="279">
        <f t="shared" si="40"/>
        <v>1235.4003499636365</v>
      </c>
      <c r="S36" s="264">
        <f t="shared" si="41"/>
        <v>1235.4003499636365</v>
      </c>
      <c r="T36" s="264">
        <f t="shared" si="42"/>
        <v>955.50557396363638</v>
      </c>
      <c r="U36" s="264">
        <f t="shared" si="43"/>
        <v>955.50557396363638</v>
      </c>
      <c r="V36" s="281">
        <f t="shared" si="44"/>
        <v>1051.0561313600001</v>
      </c>
      <c r="W36" s="281">
        <f t="shared" si="44"/>
        <v>1051.0561313600001</v>
      </c>
      <c r="X36" s="217">
        <f>'Tariffs 2021'!BL20</f>
        <v>0</v>
      </c>
      <c r="Y36" s="218" t="str">
        <f>'Tariffs 2021'!BM20</f>
        <v>n</v>
      </c>
      <c r="Z36" s="293"/>
      <c r="AA36" s="293"/>
      <c r="AB36" s="293"/>
      <c r="AC36" s="293"/>
      <c r="AD36" s="293"/>
      <c r="AE36" s="293"/>
      <c r="AF36" s="293"/>
      <c r="AG36" s="293"/>
      <c r="AH36" s="293"/>
      <c r="AI36" s="293"/>
      <c r="AJ36" s="293"/>
      <c r="AK36" s="293"/>
      <c r="AL36" s="293"/>
      <c r="AM36" s="293"/>
      <c r="AN36" s="293"/>
      <c r="AO36" s="293"/>
      <c r="AP36" s="293"/>
      <c r="AQ36" s="293"/>
    </row>
    <row r="37" spans="1:43" x14ac:dyDescent="0.15">
      <c r="A37" s="212" t="str">
        <f>'Tariffs 2021'!K21</f>
        <v>Energy Locals</v>
      </c>
      <c r="B37" s="213" t="str">
        <f>'Tariffs 2021'!L21</f>
        <v>Online Member</v>
      </c>
      <c r="C37" s="226">
        <f>IF('Tariffs 2021'!BP21=0,91*'Tariffs 2021'!M21/100,(91*'Tariffs 2021'!M21/100)+'Tariffs 2021'!BP21/4)</f>
        <v>91.681818181818173</v>
      </c>
      <c r="D37" s="226">
        <f>IF('Tariffs 2021'!O21="",$K$6*'Tariffs 2021'!N21/100,IF($K$6&gt;='Tariffs 2021'!P21,('Tariffs 2021'!P21*'Tariffs 2021'!N21/100),($K$6*'Tariffs 2021'!N21/100)))</f>
        <v>83.60405999999999</v>
      </c>
      <c r="E37" s="226">
        <f>($M$6)*'Tariffs 2021'!AH21/100</f>
        <v>145.6737409090909</v>
      </c>
      <c r="F37" s="226">
        <f>($L$6)*'Tariffs 2021'!W21/100</f>
        <v>64.603137272727267</v>
      </c>
      <c r="G37" s="226">
        <f t="shared" si="35"/>
        <v>385.56275636363637</v>
      </c>
      <c r="H37" s="226">
        <f t="shared" si="36"/>
        <v>1175.5237527272727</v>
      </c>
      <c r="I37" s="264">
        <f t="shared" si="37"/>
        <v>1542.2510254545455</v>
      </c>
      <c r="J37" s="215">
        <f t="shared" si="45"/>
        <v>1696.4761280000002</v>
      </c>
      <c r="K37" s="213">
        <f>'Tariffs 2021'!AZ21</f>
        <v>0</v>
      </c>
      <c r="L37" s="213">
        <f>'Tariffs 2021'!BA21</f>
        <v>0</v>
      </c>
      <c r="M37" s="213">
        <f>'Tariffs 2021'!BB21</f>
        <v>0</v>
      </c>
      <c r="N37" s="213">
        <f>'Tariffs 2021'!BC21</f>
        <v>0</v>
      </c>
      <c r="O37" s="215">
        <f>($F$6*'Tariffs 2021'!AT21/100)*4</f>
        <v>208.43228000000002</v>
      </c>
      <c r="P37" s="216" t="str">
        <f t="shared" si="38"/>
        <v>No discount</v>
      </c>
      <c r="Q37" s="216" t="str">
        <f t="shared" si="39"/>
        <v>Exclusive</v>
      </c>
      <c r="R37" s="279">
        <f t="shared" si="40"/>
        <v>1542.2510254545455</v>
      </c>
      <c r="S37" s="264">
        <f t="shared" si="41"/>
        <v>1542.2510254545455</v>
      </c>
      <c r="T37" s="264">
        <f t="shared" si="42"/>
        <v>1333.8187454545455</v>
      </c>
      <c r="U37" s="264">
        <f t="shared" si="43"/>
        <v>1333.8187454545455</v>
      </c>
      <c r="V37" s="281">
        <f t="shared" si="44"/>
        <v>1467.2006200000001</v>
      </c>
      <c r="W37" s="281">
        <f t="shared" si="44"/>
        <v>1467.2006200000001</v>
      </c>
      <c r="X37" s="217">
        <f>'Tariffs 2021'!BL21</f>
        <v>0</v>
      </c>
      <c r="Y37" s="218" t="str">
        <f>'Tariffs 2021'!BM21</f>
        <v>n</v>
      </c>
      <c r="Z37" s="293"/>
      <c r="AA37" s="293"/>
      <c r="AB37" s="293"/>
      <c r="AC37" s="293"/>
      <c r="AD37" s="293"/>
      <c r="AE37" s="293"/>
      <c r="AF37" s="293"/>
      <c r="AG37" s="293"/>
      <c r="AH37" s="293"/>
      <c r="AI37" s="293"/>
      <c r="AJ37" s="293"/>
      <c r="AK37" s="293"/>
      <c r="AL37" s="293"/>
      <c r="AM37" s="293"/>
      <c r="AN37" s="293"/>
      <c r="AO37" s="293"/>
      <c r="AP37" s="293"/>
      <c r="AQ37" s="293"/>
    </row>
    <row r="38" spans="1:43" x14ac:dyDescent="0.15">
      <c r="A38" s="212" t="str">
        <f>'Tariffs 2021'!K22</f>
        <v>Powerclub</v>
      </c>
      <c r="B38" s="213" t="str">
        <f>'Tariffs 2021'!L22</f>
        <v>Powerbank Home Solar</v>
      </c>
      <c r="C38" s="226">
        <f>IF('Tariffs 2021'!BP22=0,91*'Tariffs 2021'!M22/100,(91*'Tariffs 2021'!M22/100)+'Tariffs 2021'!BP22/4)</f>
        <v>97.621727272727256</v>
      </c>
      <c r="D38" s="226">
        <f>IF('Tariffs 2021'!O22="",$K$6*'Tariffs 2021'!N22/100,IF($K$6&gt;='Tariffs 2021'!P22,('Tariffs 2021'!P22*'Tariffs 2021'!N22/100),($K$6*'Tariffs 2021'!N22/100)))</f>
        <v>81.830640545454528</v>
      </c>
      <c r="E38" s="226">
        <f>($M$6)*'Tariffs 2021'!AH22/100</f>
        <v>143.64697581818183</v>
      </c>
      <c r="F38" s="226">
        <f>($L$6)*'Tariffs 2021'!W22/100</f>
        <v>63.539085599999979</v>
      </c>
      <c r="G38" s="226">
        <f t="shared" si="35"/>
        <v>386.63842923636361</v>
      </c>
      <c r="H38" s="226">
        <f t="shared" si="36"/>
        <v>1156.0668078545455</v>
      </c>
      <c r="I38" s="264">
        <f t="shared" si="37"/>
        <v>1546.5537169454544</v>
      </c>
      <c r="J38" s="215">
        <f t="shared" si="45"/>
        <v>1701.2090886400001</v>
      </c>
      <c r="K38" s="213">
        <f>'Tariffs 2021'!AZ22</f>
        <v>0</v>
      </c>
      <c r="L38" s="213">
        <f>'Tariffs 2021'!BA22</f>
        <v>0</v>
      </c>
      <c r="M38" s="213">
        <f>'Tariffs 2021'!BB22</f>
        <v>0</v>
      </c>
      <c r="N38" s="213">
        <f>'Tariffs 2021'!BC22</f>
        <v>0</v>
      </c>
      <c r="O38" s="215">
        <f>($F$6*'Tariffs 2021'!AT22/100)*4</f>
        <v>119.10416000000001</v>
      </c>
      <c r="P38" s="216" t="str">
        <f t="shared" si="38"/>
        <v>No discount</v>
      </c>
      <c r="Q38" s="216" t="str">
        <f t="shared" si="39"/>
        <v>Exclusive</v>
      </c>
      <c r="R38" s="279">
        <f t="shared" si="40"/>
        <v>1546.5537169454544</v>
      </c>
      <c r="S38" s="264">
        <f t="shared" si="41"/>
        <v>1546.5537169454544</v>
      </c>
      <c r="T38" s="264">
        <f t="shared" si="42"/>
        <v>1427.4495569454543</v>
      </c>
      <c r="U38" s="264">
        <f t="shared" si="43"/>
        <v>1427.4495569454543</v>
      </c>
      <c r="V38" s="281">
        <f t="shared" si="44"/>
        <v>1570.1945126399999</v>
      </c>
      <c r="W38" s="281">
        <f t="shared" si="44"/>
        <v>1570.1945126399999</v>
      </c>
      <c r="X38" s="217">
        <f>'Tariffs 2021'!BL22</f>
        <v>0</v>
      </c>
      <c r="Y38" s="218" t="str">
        <f>'Tariffs 2021'!BM22</f>
        <v>n</v>
      </c>
      <c r="Z38" s="293"/>
      <c r="AA38" s="293"/>
      <c r="AB38" s="293"/>
      <c r="AC38" s="293"/>
      <c r="AD38" s="293"/>
      <c r="AE38" s="293"/>
      <c r="AF38" s="293"/>
      <c r="AG38" s="293"/>
      <c r="AH38" s="293"/>
      <c r="AI38" s="293"/>
      <c r="AJ38" s="293"/>
      <c r="AK38" s="293"/>
      <c r="AL38" s="293"/>
      <c r="AM38" s="293"/>
      <c r="AN38" s="293"/>
      <c r="AO38" s="293"/>
      <c r="AP38" s="293"/>
      <c r="AQ38" s="293"/>
    </row>
    <row r="39" spans="1:43" customFormat="1" ht="15" thickBot="1" x14ac:dyDescent="0.2">
      <c r="A39" s="219" t="str">
        <f>'Tariffs 2021'!K23</f>
        <v>Radian Energy</v>
      </c>
      <c r="B39" s="220" t="str">
        <f>'Tariffs 2021'!L23</f>
        <v>Grid to Go</v>
      </c>
      <c r="C39" s="227">
        <f>IF('Tariffs 2021'!BP23=0,91*'Tariffs 2021'!M23/100,(91*'Tariffs 2021'!M23/100)+'Tariffs 2021'!BP23/4)</f>
        <v>60.97</v>
      </c>
      <c r="D39" s="227">
        <f>IF('Tariffs 2021'!O23="",$K$6*'Tariffs 2021'!N23/100,IF($K$6&gt;='Tariffs 2021'!P23,('Tariffs 2021'!P23*'Tariffs 2021'!N23/100),($K$6*'Tariffs 2021'!N23/100)))</f>
        <v>82.210658999999993</v>
      </c>
      <c r="E39" s="227">
        <f>($M$6)*'Tariffs 2021'!AH23/100</f>
        <v>117.04568400000002</v>
      </c>
      <c r="F39" s="227">
        <f>($L$6)*'Tariffs 2021'!W23/100</f>
        <v>57.686801399999993</v>
      </c>
      <c r="G39" s="227">
        <f t="shared" ref="G39" si="46">SUM(C39:F39)</f>
        <v>317.91314440000002</v>
      </c>
      <c r="H39" s="227">
        <f t="shared" ref="H39" si="47">(G39-C39)*4</f>
        <v>1027.7725776000002</v>
      </c>
      <c r="I39" s="265">
        <f t="shared" ref="I39" si="48">G39*4</f>
        <v>1271.6525776000001</v>
      </c>
      <c r="J39" s="222">
        <f t="shared" ref="J39" si="49">I39*1.1</f>
        <v>1398.8178353600001</v>
      </c>
      <c r="K39" s="220">
        <f>'Tariffs 2021'!AZ23</f>
        <v>0</v>
      </c>
      <c r="L39" s="220">
        <f>'Tariffs 2021'!BA23</f>
        <v>0</v>
      </c>
      <c r="M39" s="220">
        <f>'Tariffs 2021'!BB23</f>
        <v>0</v>
      </c>
      <c r="N39" s="220">
        <f>'Tariffs 2021'!BC23</f>
        <v>0</v>
      </c>
      <c r="O39" s="222">
        <f>($F$6*'Tariffs 2021'!AT23/100)*4</f>
        <v>178.65624000000003</v>
      </c>
      <c r="P39" s="223" t="str">
        <f t="shared" si="38"/>
        <v>No discount</v>
      </c>
      <c r="Q39" s="223" t="str">
        <f t="shared" si="39"/>
        <v>Exclusive</v>
      </c>
      <c r="R39" s="280">
        <f t="shared" si="40"/>
        <v>1271.6525776000001</v>
      </c>
      <c r="S39" s="265">
        <f t="shared" si="41"/>
        <v>1271.6525776000001</v>
      </c>
      <c r="T39" s="265">
        <f t="shared" ref="T39" si="50">R39-O39</f>
        <v>1092.9963376000001</v>
      </c>
      <c r="U39" s="265">
        <f t="shared" ref="U39" si="51">S39-O39</f>
        <v>1092.9963376000001</v>
      </c>
      <c r="V39" s="282">
        <f t="shared" ref="V39" si="52">T39*1.1</f>
        <v>1202.2959713600001</v>
      </c>
      <c r="W39" s="282">
        <f t="shared" ref="W39" si="53">U39*1.1</f>
        <v>1202.2959713600001</v>
      </c>
      <c r="X39" s="224">
        <f>'Tariffs 2021'!BL23</f>
        <v>0</v>
      </c>
      <c r="Y39" s="225" t="str">
        <f>'Tariffs 2021'!BM23</f>
        <v>n</v>
      </c>
      <c r="Z39" s="293"/>
      <c r="AA39" s="293"/>
      <c r="AB39" s="293"/>
      <c r="AC39" s="293"/>
      <c r="AD39" s="293"/>
      <c r="AE39" s="293"/>
      <c r="AF39" s="293"/>
      <c r="AG39" s="293"/>
      <c r="AH39" s="293"/>
      <c r="AI39" s="293"/>
      <c r="AJ39" s="293"/>
      <c r="AK39" s="293"/>
      <c r="AL39" s="293"/>
      <c r="AM39" s="293"/>
      <c r="AN39" s="293"/>
      <c r="AO39" s="293"/>
      <c r="AP39" s="293"/>
      <c r="AQ39" s="293"/>
    </row>
    <row r="40" spans="1:43" customFormat="1" ht="13" x14ac:dyDescent="0.15">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row>
    <row r="41" spans="1:43" customFormat="1" ht="13" x14ac:dyDescent="0.15">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row>
    <row r="42" spans="1:43" customFormat="1" ht="13" x14ac:dyDescent="0.15">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row>
    <row r="43" spans="1:43" customFormat="1" ht="13" x14ac:dyDescent="0.15">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row>
    <row r="44" spans="1:43" customFormat="1" ht="13" x14ac:dyDescent="0.15">
      <c r="A44" s="29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row>
    <row r="45" spans="1:43" customFormat="1" ht="13" x14ac:dyDescent="0.15">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row>
    <row r="46" spans="1:43" customFormat="1" ht="13" x14ac:dyDescent="0.15">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row>
    <row r="47" spans="1:43" customFormat="1" ht="13" x14ac:dyDescent="0.15">
      <c r="A47" s="29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row>
    <row r="48" spans="1:43" customFormat="1" ht="13" x14ac:dyDescent="0.15">
      <c r="A48" s="29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row>
    <row r="49" spans="1:43" customFormat="1" ht="13" x14ac:dyDescent="0.15">
      <c r="A49" s="29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row>
    <row r="50" spans="1:43" customFormat="1" ht="13" x14ac:dyDescent="0.15">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row>
    <row r="51" spans="1:43" customFormat="1" ht="13" x14ac:dyDescent="0.15">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row>
    <row r="52" spans="1:43" customFormat="1" ht="13" x14ac:dyDescent="0.15">
      <c r="A52" s="29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row>
    <row r="53" spans="1:43" customFormat="1" ht="13" x14ac:dyDescent="0.15">
      <c r="A53" s="29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row>
    <row r="54" spans="1:43" customFormat="1" ht="13" x14ac:dyDescent="0.15">
      <c r="A54" s="29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row>
    <row r="55" spans="1:43" customFormat="1" ht="13" x14ac:dyDescent="0.15">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row>
    <row r="56" spans="1:43" customFormat="1" ht="13" x14ac:dyDescent="0.15">
      <c r="A56" s="29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row>
    <row r="57" spans="1:43" customFormat="1" ht="13" x14ac:dyDescent="0.15">
      <c r="A57" s="29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row>
    <row r="58" spans="1:43" customFormat="1" ht="13" x14ac:dyDescent="0.15">
      <c r="A58" s="29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row>
    <row r="59" spans="1:43" customFormat="1" ht="13" x14ac:dyDescent="0.15">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row>
    <row r="60" spans="1:43" customFormat="1" ht="13" x14ac:dyDescent="0.15">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row>
    <row r="61" spans="1:43" customFormat="1" ht="13" x14ac:dyDescent="0.15">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row>
    <row r="62" spans="1:43" customFormat="1" ht="13" x14ac:dyDescent="0.15">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row>
    <row r="63" spans="1:43" customFormat="1" ht="13" x14ac:dyDescent="0.15">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row>
    <row r="64" spans="1:43" customFormat="1" ht="13" x14ac:dyDescent="0.15">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row>
    <row r="65" spans="1:43" customFormat="1" ht="13" x14ac:dyDescent="0.15">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row>
    <row r="66" spans="1:43" customFormat="1" ht="13" x14ac:dyDescent="0.15">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row>
    <row r="67" spans="1:43" customFormat="1" ht="13" x14ac:dyDescent="0.15">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row>
    <row r="68" spans="1:43" customFormat="1" ht="13" x14ac:dyDescent="0.15">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row>
    <row r="69" spans="1:43" customFormat="1" ht="13" x14ac:dyDescent="0.15">
      <c r="A69" s="29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row>
    <row r="70" spans="1:43" customFormat="1" ht="13" x14ac:dyDescent="0.15">
      <c r="A70" s="293"/>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row>
    <row r="71" spans="1:43" customFormat="1" ht="13" x14ac:dyDescent="0.15">
      <c r="A71" s="293"/>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row>
    <row r="72" spans="1:43" customFormat="1" ht="13" x14ac:dyDescent="0.15">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row>
    <row r="73" spans="1:43" customFormat="1" ht="13" x14ac:dyDescent="0.15">
      <c r="A73" s="293"/>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row>
    <row r="74" spans="1:43" customFormat="1" ht="13" x14ac:dyDescent="0.15">
      <c r="A74" s="293"/>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row>
    <row r="75" spans="1:43" customFormat="1" ht="13" x14ac:dyDescent="0.15">
      <c r="A75" s="293"/>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row>
    <row r="76" spans="1:43" customFormat="1" ht="13" x14ac:dyDescent="0.15">
      <c r="A76" s="293"/>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row>
    <row r="77" spans="1:43" customFormat="1" ht="13" x14ac:dyDescent="0.1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row>
    <row r="78" spans="1:43" customFormat="1" ht="13" x14ac:dyDescent="0.1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row>
    <row r="79" spans="1:43" customFormat="1" ht="13" x14ac:dyDescent="0.1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row>
    <row r="80" spans="1:43" customFormat="1" ht="13" x14ac:dyDescent="0.1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row>
    <row r="81" spans="1:43" customFormat="1" ht="13" x14ac:dyDescent="0.1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row>
    <row r="82" spans="1:43" customFormat="1" ht="13" x14ac:dyDescent="0.1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row>
    <row r="83" spans="1:43" customFormat="1" ht="13" x14ac:dyDescent="0.1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293"/>
      <c r="AK83" s="293"/>
      <c r="AL83" s="293"/>
      <c r="AM83" s="293"/>
      <c r="AN83" s="293"/>
      <c r="AO83" s="293"/>
      <c r="AP83" s="293"/>
      <c r="AQ83" s="293"/>
    </row>
    <row r="84" spans="1:43" customFormat="1" ht="13" x14ac:dyDescent="0.1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row>
    <row r="85" spans="1:43" customFormat="1" ht="13" x14ac:dyDescent="0.1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row>
    <row r="86" spans="1:43" customFormat="1" ht="13" x14ac:dyDescent="0.1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row>
    <row r="87" spans="1:43" customFormat="1" ht="13" x14ac:dyDescent="0.15"/>
    <row r="88" spans="1:43" customFormat="1" ht="13" x14ac:dyDescent="0.15"/>
    <row r="89" spans="1:43" customFormat="1" ht="13" x14ac:dyDescent="0.15"/>
    <row r="90" spans="1:43" customFormat="1" ht="13" x14ac:dyDescent="0.15"/>
    <row r="91" spans="1:43" customFormat="1" ht="13" x14ac:dyDescent="0.15"/>
    <row r="92" spans="1:43" customFormat="1" ht="13" x14ac:dyDescent="0.15"/>
    <row r="93" spans="1:43" customFormat="1" ht="13" x14ac:dyDescent="0.15"/>
    <row r="94" spans="1:43" customFormat="1" ht="13" x14ac:dyDescent="0.15"/>
    <row r="95" spans="1:43" customFormat="1" ht="13" x14ac:dyDescent="0.15"/>
    <row r="96" spans="1:43" customFormat="1" ht="13" x14ac:dyDescent="0.15"/>
    <row r="97" customFormat="1" ht="13" x14ac:dyDescent="0.15"/>
    <row r="98" customFormat="1" ht="13" x14ac:dyDescent="0.15"/>
    <row r="99" customFormat="1" ht="13" x14ac:dyDescent="0.15"/>
    <row r="100" customFormat="1" ht="13" x14ac:dyDescent="0.15"/>
    <row r="101" customFormat="1" ht="13" x14ac:dyDescent="0.15"/>
    <row r="102" customFormat="1" ht="13" x14ac:dyDescent="0.15"/>
    <row r="103" customFormat="1" ht="13" x14ac:dyDescent="0.15"/>
    <row r="104" customFormat="1" ht="13" x14ac:dyDescent="0.15"/>
    <row r="105" customFormat="1" ht="13" x14ac:dyDescent="0.15"/>
    <row r="106" customFormat="1" ht="13" x14ac:dyDescent="0.15"/>
    <row r="107" customFormat="1" ht="13" x14ac:dyDescent="0.15"/>
    <row r="108" customFormat="1" ht="13" x14ac:dyDescent="0.15"/>
    <row r="109" customFormat="1" ht="13" x14ac:dyDescent="0.15"/>
    <row r="110" customFormat="1" ht="13" x14ac:dyDescent="0.15"/>
    <row r="111" customFormat="1" ht="13" x14ac:dyDescent="0.15"/>
    <row r="112" customFormat="1" ht="13" x14ac:dyDescent="0.15"/>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sheetData>
  <sheetProtection algorithmName="SHA-512" hashValue="yaguY6ZXwrizRsUSGSyG/6FNthUpELH2qdgJ8J/zvZUxlzek67AzfzZg/K8Zr/S/H0jR3LV0dXxwpRDNAWGZmw==" saltValue="JprF0kwVWlHlWCxT6E7eVw==" spinCount="100000" sheet="1" objects="1" scenarios="1"/>
  <dataValidations count="2">
    <dataValidation type="whole" showInputMessage="1" showErrorMessage="1" errorTitle="Incorrect number" error="Please enter quarterly consumption between 700-4000kWh" sqref="C5" xr:uid="{1C9B4E44-3061-3448-B0E5-11EA9A2F12E3}">
      <formula1>700</formula1>
      <formula2>4000</formula2>
    </dataValidation>
    <dataValidation type="decimal" showInputMessage="1" showErrorMessage="1" errorTitle="Incorrect entry" error="Enter 1.5 or 3.0 only" sqref="C4" xr:uid="{685138F6-B087-E445-AFC8-82CF58EF3AD2}">
      <formula1>1.5</formula1>
      <formula2>3</formula2>
    </dataValidation>
  </dataValidations>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D28D-7B2A-3649-9BCF-B0C674D9E3B7}">
  <sheetPr codeName="Sheet2"/>
  <dimension ref="A1:Y40"/>
  <sheetViews>
    <sheetView zoomScale="96" zoomScaleNormal="96" workbookViewId="0">
      <selection activeCell="C6" sqref="C6"/>
    </sheetView>
  </sheetViews>
  <sheetFormatPr baseColWidth="10" defaultColWidth="11.1640625" defaultRowHeight="14" x14ac:dyDescent="0.15"/>
  <cols>
    <col min="1" max="1" width="21.5" style="229" customWidth="1"/>
    <col min="2" max="2" width="26.83203125" style="229" customWidth="1"/>
    <col min="3" max="7" width="14.83203125" style="229" customWidth="1"/>
    <col min="8" max="9" width="11.83203125" style="229" hidden="1" customWidth="1"/>
    <col min="10" max="15" width="14.83203125" style="229" customWidth="1"/>
    <col min="16" max="21" width="11.83203125" style="229" hidden="1" customWidth="1"/>
    <col min="22" max="25" width="14.83203125" style="229" customWidth="1"/>
    <col min="26" max="36" width="7.5" style="229" customWidth="1"/>
    <col min="37" max="16384" width="11.1640625" style="229"/>
  </cols>
  <sheetData>
    <row r="1" spans="1:25" x14ac:dyDescent="0.15">
      <c r="A1" s="229" t="s">
        <v>44</v>
      </c>
      <c r="H1" s="229">
        <v>3</v>
      </c>
    </row>
    <row r="2" spans="1:25" x14ac:dyDescent="0.15">
      <c r="A2" s="230" t="s">
        <v>6</v>
      </c>
    </row>
    <row r="3" spans="1:25" x14ac:dyDescent="0.15">
      <c r="A3" s="230"/>
    </row>
    <row r="4" spans="1:25" x14ac:dyDescent="0.15">
      <c r="A4" s="196" t="s">
        <v>163</v>
      </c>
      <c r="B4" s="197"/>
      <c r="C4" s="198">
        <v>3</v>
      </c>
      <c r="E4" s="199" t="s">
        <v>77</v>
      </c>
      <c r="F4" s="200">
        <f>IF(C4&lt;H1,(675),(1351))</f>
        <v>1351</v>
      </c>
      <c r="J4" s="196"/>
      <c r="K4" s="201" t="s">
        <v>45</v>
      </c>
      <c r="L4" s="202" t="s">
        <v>144</v>
      </c>
      <c r="M4" s="203" t="s">
        <v>145</v>
      </c>
    </row>
    <row r="5" spans="1:25" x14ac:dyDescent="0.15">
      <c r="A5" s="204" t="s">
        <v>117</v>
      </c>
      <c r="B5" s="205"/>
      <c r="C5" s="206">
        <v>2000</v>
      </c>
      <c r="E5" s="199" t="s">
        <v>75</v>
      </c>
      <c r="F5" s="207">
        <f>C5-(F4-F6)</f>
        <v>1393.4010000000001</v>
      </c>
      <c r="J5" s="204" t="s">
        <v>135</v>
      </c>
      <c r="K5" s="208">
        <f>F5*70/100</f>
        <v>975.38070000000005</v>
      </c>
      <c r="L5" s="209">
        <f>F5*30/100</f>
        <v>418.02029999999996</v>
      </c>
      <c r="M5" s="210" t="s">
        <v>196</v>
      </c>
    </row>
    <row r="6" spans="1:25" x14ac:dyDescent="0.15">
      <c r="E6" s="199" t="s">
        <v>76</v>
      </c>
      <c r="F6" s="207">
        <f>IF(C4&lt;H1,(F4*27.3/100),(F4*55.1/100))</f>
        <v>744.40100000000007</v>
      </c>
      <c r="J6" s="204" t="s">
        <v>136</v>
      </c>
      <c r="K6" s="208">
        <f>F5*20/100</f>
        <v>278.68020000000001</v>
      </c>
      <c r="L6" s="209">
        <f>F5*30/100</f>
        <v>418.02029999999996</v>
      </c>
      <c r="M6" s="211">
        <f>F5*50/100</f>
        <v>696.70050000000003</v>
      </c>
    </row>
    <row r="7" spans="1:25" ht="15" thickBot="1" x14ac:dyDescent="0.2"/>
    <row r="8" spans="1:25" x14ac:dyDescent="0.15">
      <c r="A8" s="248" t="s">
        <v>109</v>
      </c>
      <c r="B8" s="249"/>
      <c r="C8" s="249"/>
      <c r="D8" s="249"/>
      <c r="E8" s="249"/>
      <c r="F8" s="249"/>
      <c r="G8" s="249"/>
      <c r="H8" s="249"/>
      <c r="I8" s="249"/>
      <c r="J8" s="249"/>
      <c r="K8" s="249"/>
      <c r="L8" s="249"/>
      <c r="M8" s="249"/>
      <c r="N8" s="249"/>
      <c r="O8" s="249"/>
      <c r="P8" s="249"/>
      <c r="Q8" s="249"/>
      <c r="R8" s="249"/>
      <c r="S8" s="249"/>
      <c r="T8" s="249"/>
      <c r="U8" s="249"/>
      <c r="V8" s="249"/>
      <c r="W8" s="249"/>
      <c r="X8" s="249"/>
      <c r="Y8" s="250"/>
    </row>
    <row r="9" spans="1:25" ht="90" x14ac:dyDescent="0.15">
      <c r="A9" s="251" t="s">
        <v>147</v>
      </c>
      <c r="B9" s="252" t="s">
        <v>133</v>
      </c>
      <c r="C9" s="253" t="s">
        <v>184</v>
      </c>
      <c r="D9" s="253" t="s">
        <v>16</v>
      </c>
      <c r="E9" s="278" t="s">
        <v>395</v>
      </c>
      <c r="F9" s="253" t="s">
        <v>186</v>
      </c>
      <c r="G9" s="253" t="s">
        <v>74</v>
      </c>
      <c r="H9" s="261" t="s">
        <v>34</v>
      </c>
      <c r="I9" s="261" t="s">
        <v>121</v>
      </c>
      <c r="J9" s="254" t="s">
        <v>360</v>
      </c>
      <c r="K9" s="255" t="s">
        <v>119</v>
      </c>
      <c r="L9" s="255" t="s">
        <v>63</v>
      </c>
      <c r="M9" s="255" t="s">
        <v>91</v>
      </c>
      <c r="N9" s="255" t="s">
        <v>150</v>
      </c>
      <c r="O9" s="256" t="s">
        <v>200</v>
      </c>
      <c r="P9" s="262" t="s">
        <v>361</v>
      </c>
      <c r="Q9" s="262" t="s">
        <v>362</v>
      </c>
      <c r="R9" s="263" t="s">
        <v>102</v>
      </c>
      <c r="S9" s="263" t="s">
        <v>29</v>
      </c>
      <c r="T9" s="263" t="s">
        <v>226</v>
      </c>
      <c r="U9" s="263" t="s">
        <v>100</v>
      </c>
      <c r="V9" s="256" t="s">
        <v>101</v>
      </c>
      <c r="W9" s="256" t="s">
        <v>174</v>
      </c>
      <c r="X9" s="255" t="s">
        <v>142</v>
      </c>
      <c r="Y9" s="257" t="s">
        <v>143</v>
      </c>
    </row>
    <row r="10" spans="1:25" x14ac:dyDescent="0.15">
      <c r="A10" s="212" t="str">
        <f>'Tariffs 2020'!K2</f>
        <v>ActewAGL</v>
      </c>
      <c r="B10" s="213" t="str">
        <f>'Tariffs 2020'!L2</f>
        <v xml:space="preserve">Max. Reward </v>
      </c>
      <c r="C10" s="214">
        <f>IF('Tariffs 2020'!BP2=0,91*'Tariffs 2020'!M2/100,(91*'Tariffs 2020'!M2/100)+'Tariffs 2020'!BP2/4)</f>
        <v>81.676636363636362</v>
      </c>
      <c r="D10" s="214">
        <f>IF('Tariffs 2020'!O2="",$F$5*'Tariffs 2020'!N2/100,IF($F$5&gt;='Tariffs 2020'!P2,('Tariffs 2020'!P2*'Tariffs 2020'!N2/100),($F$5*'Tariffs 2020'!N2/100)))</f>
        <v>313.38855218181817</v>
      </c>
      <c r="E10" s="214">
        <f>IF(AND('Tariffs 2020'!R2&gt;0,'Tariffs 2020'!T2&gt;0),IF($F$5&lt;'Tariffs 2020'!P2,0,IF(($F$5-'Tariffs 2020'!P2)&lt;='Tariffs 2020'!R2,(($F$5-'Tariffs 2020'!P2)*'Tariffs 2020'!Q2/100),(('Tariffs 2020'!R2-'Tariffs 2020'!P2)*'Tariffs 2020'!Q2/100))),IF(AND('Tariffs 2020'!R2&gt;0,'Tariffs 2020'!T2=""),IF($F$5&lt;'Tariffs 2020'!P2,0, IF(($F$5)&lt;= 'Tariffs 2020'!R2,(($F$5-'Tariffs 2020'!P2)* 'Tariffs 2020'!Q2/100),(( 'Tariffs 2020'!R2-'Tariffs 2020'!P2)* 'Tariffs 2020'!Q2/100))),0))</f>
        <v>0</v>
      </c>
      <c r="F10" s="214">
        <f>IF('Tariffs 2020'!T2&gt;0,IF(($F$5&lt;'Tariffs 2020'!T2),(0),($F$5-'Tariffs 2020'!T2)*'Tariffs 2020'!U2/100),IF(AND('Tariffs 2020'!R2&gt;0,'Tariffs 2020'!T2=""),IF(($F$5&lt;'Tariffs 2020'!R2),(0),($F$5-'Tariffs 2020'!R2)*'Tariffs 2020'!S2/100),IF(AND('Tariffs 2020'!P2&gt;0,'Tariffs 2020'!R2=""),IF(($F$5&lt;'Tariffs 2020'!P2),(0),($F$5-'Tariffs 2020'!P2)*'Tariffs 2020'!Q2/100),0)))</f>
        <v>0</v>
      </c>
      <c r="G10" s="214">
        <f t="shared" ref="G10:G15" si="0">SUM(C10:F10)</f>
        <v>395.06518854545453</v>
      </c>
      <c r="H10" s="226">
        <f t="shared" ref="H10:H15" si="1">(G10-C10)*4</f>
        <v>1253.5542087272727</v>
      </c>
      <c r="I10" s="264">
        <f t="shared" ref="I10:I15" si="2">G10*4</f>
        <v>1580.2607541818181</v>
      </c>
      <c r="J10" s="215">
        <f t="shared" ref="J10:J15" si="3">I10*1.1</f>
        <v>1738.2868296000001</v>
      </c>
      <c r="K10" s="213">
        <f>'Tariffs 2020'!AZ2</f>
        <v>0</v>
      </c>
      <c r="L10" s="213">
        <f>'Tariffs 2020'!BA2</f>
        <v>20</v>
      </c>
      <c r="M10" s="213">
        <f>'Tariffs 2020'!BB2</f>
        <v>0</v>
      </c>
      <c r="N10" s="213">
        <f>'Tariffs 2020'!BC2</f>
        <v>0</v>
      </c>
      <c r="O10" s="215">
        <f>($F$6*'Tariffs 2020'!AT2/100)*4</f>
        <v>238.20832000000001</v>
      </c>
      <c r="P10" s="216" t="str">
        <f t="shared" ref="P10:P15" si="4">IF(SUM(K10:N10)=0,"No discount",IF(K10&gt;0,"Guaranteed off bill",IF(L10&gt;0,"Guaranteed off usage",IF(M10&gt;0,"Pay-on-time off bill","Pay-on-time off usage"))))</f>
        <v>Guaranteed off usage</v>
      </c>
      <c r="Q10" s="216" t="str">
        <f t="shared" ref="Q10:Q15" si="5">IF(OR(A10="Origin Energy",A10="Red Energy",A10="Powershop"),"Inclusive","Exclusive")</f>
        <v>Exclusive</v>
      </c>
      <c r="R10" s="264">
        <f t="shared" ref="R10:R15" si="6">IF(AND(P10="Guaranteed off bill",Q10="Inclusive"),((I10*1.1)-((I10*1.1)*K10/100))/1.1,IF(AND(P10="Guaranteed off usage",Q10="Inclusive"),((I10*1.1)-((H10*1.1)*L10/100))/1.1,IF(AND(P10="Guaranteed off bill",Q10="Exclusive"),I10-(I10*K10/100),IF(AND(P10="Guaranteed off usage",Q10="Exclusive"),I10-(H10*L10/100),IF(Q10="Inclusive",((I10*1.1))/1.1,I10)))))</f>
        <v>1329.5499124363637</v>
      </c>
      <c r="S10" s="264">
        <f t="shared" ref="S10:S15" si="7">IF(AND(P10="Pay-on-time off bill",Q10="Inclusive"),((R10*1.1)-((R10*1.1)*M10/100))/1.1,IF(AND(P10="Pay-on-time off usage",Q10="Inclusive"),((R10*1.1)-((H10*1.1)*N10/100))/1.1,IF(AND(P10="Pay-on-time off bill",Q10="Exclusive"),R10-(R10*M10/100),IF(AND(P10="Pay-on-time off usage",Q10="Exclusive"),R10-(H10*N10/100),IF(Q10="Inclusive",((R10*1.1))/1.1,R10)))))</f>
        <v>1329.5499124363637</v>
      </c>
      <c r="T10" s="264">
        <f t="shared" ref="T10:T15" si="8">R10-O10</f>
        <v>1091.3415924363637</v>
      </c>
      <c r="U10" s="264">
        <f t="shared" ref="U10:U15" si="9">S10-O10</f>
        <v>1091.3415924363637</v>
      </c>
      <c r="V10" s="281">
        <f t="shared" ref="V10:W15" si="10">T10*1.1</f>
        <v>1200.4757516800003</v>
      </c>
      <c r="W10" s="281">
        <f t="shared" si="10"/>
        <v>1200.4757516800003</v>
      </c>
      <c r="X10" s="217">
        <f>'Tariffs 2020'!BL2</f>
        <v>12</v>
      </c>
      <c r="Y10" s="218" t="str">
        <f>'Tariffs 2020'!BM2</f>
        <v>n</v>
      </c>
    </row>
    <row r="11" spans="1:25" x14ac:dyDescent="0.15">
      <c r="A11" s="212" t="str">
        <f>'Tariffs 2020'!K3</f>
        <v>EnergyAustralia</v>
      </c>
      <c r="B11" s="213" t="str">
        <f>'Tariffs 2020'!L3</f>
        <v>Total Plan Home</v>
      </c>
      <c r="C11" s="214">
        <f>IF('Tariffs 2020'!BP3=0,91*'Tariffs 2020'!M3/100,(91*'Tariffs 2020'!M3/100)+'Tariffs 2020'!BP3/4)</f>
        <v>73.527999999999977</v>
      </c>
      <c r="D11" s="214">
        <f>IF('Tariffs 2020'!O3="",$F$5*'Tariffs 2020'!N3/100,IF($F$5&gt;='Tariffs 2020'!P3,('Tariffs 2020'!P3*'Tariffs 2020'!N3/100),($F$5*'Tariffs 2020'!N3/100)))</f>
        <v>309.4616948181818</v>
      </c>
      <c r="E11" s="214">
        <f>IF(AND('Tariffs 2020'!R3&gt;0,'Tariffs 2020'!T3&gt;0),IF($F$5&lt;'Tariffs 2020'!P3,0,IF(($F$5-'Tariffs 2020'!P3)&lt;='Tariffs 2020'!R3,(($F$5-'Tariffs 2020'!P3)*'Tariffs 2020'!Q3/100),(('Tariffs 2020'!R3-'Tariffs 2020'!P3)*'Tariffs 2020'!Q3/100))),IF(AND('Tariffs 2020'!R3&gt;0,'Tariffs 2020'!T3=""),IF($F$5&lt;'Tariffs 2020'!P3,0, IF(($F$5)&lt;= 'Tariffs 2020'!R3,(($F$5-'Tariffs 2020'!P3)* 'Tariffs 2020'!Q3/100),(( 'Tariffs 2020'!R3-'Tariffs 2020'!P3)* 'Tariffs 2020'!Q3/100))),0))</f>
        <v>0</v>
      </c>
      <c r="F11" s="214">
        <f>IF('Tariffs 2020'!T3&gt;0,IF(($F$5&lt;'Tariffs 2020'!T3),(0),($F$5-'Tariffs 2020'!T3)*'Tariffs 2020'!U3/100),IF(AND('Tariffs 2020'!R3&gt;0,'Tariffs 2020'!T3=""),IF(($F$5&lt;'Tariffs 2020'!R3),(0),($F$5-'Tariffs 2020'!R3)*'Tariffs 2020'!S3/100),IF(AND('Tariffs 2020'!P3&gt;0,'Tariffs 2020'!R3=""),IF(($F$5&lt;'Tariffs 2020'!P3),(0),($F$5-'Tariffs 2020'!P3)*'Tariffs 2020'!Q3/100),0)))</f>
        <v>0</v>
      </c>
      <c r="G11" s="214">
        <f t="shared" si="0"/>
        <v>382.98969481818176</v>
      </c>
      <c r="H11" s="226">
        <f t="shared" si="1"/>
        <v>1237.8467792727272</v>
      </c>
      <c r="I11" s="264">
        <f t="shared" si="2"/>
        <v>1531.958779272727</v>
      </c>
      <c r="J11" s="215">
        <f t="shared" si="3"/>
        <v>1685.1546572</v>
      </c>
      <c r="K11" s="213">
        <f>'Tariffs 2020'!AZ3</f>
        <v>9</v>
      </c>
      <c r="L11" s="213">
        <f>'Tariffs 2020'!BA3</f>
        <v>0</v>
      </c>
      <c r="M11" s="213">
        <f>'Tariffs 2020'!BB3</f>
        <v>0</v>
      </c>
      <c r="N11" s="213">
        <f>'Tariffs 2020'!BC3</f>
        <v>0</v>
      </c>
      <c r="O11" s="215">
        <f>($F$6*'Tariffs 2020'!AT3/100)*4</f>
        <v>312.64842000000004</v>
      </c>
      <c r="P11" s="216" t="str">
        <f t="shared" si="4"/>
        <v>Guaranteed off bill</v>
      </c>
      <c r="Q11" s="216" t="str">
        <f t="shared" si="5"/>
        <v>Exclusive</v>
      </c>
      <c r="R11" s="264">
        <f t="shared" si="6"/>
        <v>1394.0824891381817</v>
      </c>
      <c r="S11" s="264">
        <f t="shared" si="7"/>
        <v>1394.0824891381817</v>
      </c>
      <c r="T11" s="264">
        <f t="shared" si="8"/>
        <v>1081.4340691381817</v>
      </c>
      <c r="U11" s="264">
        <f t="shared" si="9"/>
        <v>1081.4340691381817</v>
      </c>
      <c r="V11" s="281">
        <f t="shared" si="10"/>
        <v>1189.5774760520001</v>
      </c>
      <c r="W11" s="281">
        <f t="shared" si="10"/>
        <v>1189.5774760520001</v>
      </c>
      <c r="X11" s="217">
        <f>'Tariffs 2020'!BL3</f>
        <v>0</v>
      </c>
      <c r="Y11" s="218" t="str">
        <f>'Tariffs 2020'!BM3</f>
        <v>n</v>
      </c>
    </row>
    <row r="12" spans="1:25" x14ac:dyDescent="0.15">
      <c r="A12" s="212" t="str">
        <f>'Tariffs 2020'!K4</f>
        <v>Origin Energy</v>
      </c>
      <c r="B12" s="213" t="str">
        <f>'Tariffs 2020'!L4</f>
        <v>Solar Boost</v>
      </c>
      <c r="C12" s="214">
        <f>IF('Tariffs 2020'!BP4=0,91*'Tariffs 2020'!M4/100,(91*'Tariffs 2020'!M4/100)+'Tariffs 2020'!BP4/4)</f>
        <v>82.11509090909091</v>
      </c>
      <c r="D12" s="214">
        <f>IF('Tariffs 2020'!O4="",$F$5*'Tariffs 2020'!N4/100,IF($F$5&gt;='Tariffs 2020'!P4,('Tariffs 2020'!P4*'Tariffs 2020'!N4/100),($F$5*'Tariffs 2020'!N4/100)))</f>
        <v>303.88809081818175</v>
      </c>
      <c r="E12" s="214">
        <f>IF(AND('Tariffs 2020'!R4&gt;0,'Tariffs 2020'!T4&gt;0),IF($F$5&lt;'Tariffs 2020'!P4,0,IF(($F$5-'Tariffs 2020'!P4)&lt;='Tariffs 2020'!R4,(($F$5-'Tariffs 2020'!P4)*'Tariffs 2020'!Q4/100),(('Tariffs 2020'!R4-'Tariffs 2020'!P4)*'Tariffs 2020'!Q4/100))),IF(AND('Tariffs 2020'!R4&gt;0,'Tariffs 2020'!T4=""),IF($F$5&lt;'Tariffs 2020'!P4,0, IF(($F$5)&lt;= 'Tariffs 2020'!R4,(($F$5-'Tariffs 2020'!P4)* 'Tariffs 2020'!Q4/100),(( 'Tariffs 2020'!R4-'Tariffs 2020'!P4)* 'Tariffs 2020'!Q4/100))),0))</f>
        <v>0</v>
      </c>
      <c r="F12" s="214">
        <f>IF('Tariffs 2020'!T4&gt;0,IF(($F$5&lt;'Tariffs 2020'!T4),(0),($F$5-'Tariffs 2020'!T4)*'Tariffs 2020'!U4/100),IF(AND('Tariffs 2020'!R4&gt;0,'Tariffs 2020'!T4=""),IF(($F$5&lt;'Tariffs 2020'!R4),(0),($F$5-'Tariffs 2020'!R4)*'Tariffs 2020'!S4/100),IF(AND('Tariffs 2020'!P4&gt;0,'Tariffs 2020'!R4=""),IF(($F$5&lt;'Tariffs 2020'!P4),(0),($F$5-'Tariffs 2020'!P4)*'Tariffs 2020'!Q4/100),0)))</f>
        <v>0</v>
      </c>
      <c r="G12" s="214">
        <f t="shared" si="0"/>
        <v>386.00318172727265</v>
      </c>
      <c r="H12" s="226">
        <f t="shared" si="1"/>
        <v>1215.552363272727</v>
      </c>
      <c r="I12" s="264">
        <f t="shared" si="2"/>
        <v>1544.0127269090906</v>
      </c>
      <c r="J12" s="215">
        <f t="shared" si="3"/>
        <v>1698.4139995999999</v>
      </c>
      <c r="K12" s="213">
        <f>'Tariffs 2020'!AZ4</f>
        <v>0</v>
      </c>
      <c r="L12" s="213">
        <f>'Tariffs 2020'!BA4</f>
        <v>0</v>
      </c>
      <c r="M12" s="213">
        <f>'Tariffs 2020'!BB4</f>
        <v>0</v>
      </c>
      <c r="N12" s="213">
        <f>'Tariffs 2020'!BC4</f>
        <v>0</v>
      </c>
      <c r="O12" s="215">
        <f>($F$6*'Tariffs 2020'!AT4/100)*4</f>
        <v>327.53644000000003</v>
      </c>
      <c r="P12" s="216" t="str">
        <f t="shared" si="4"/>
        <v>No discount</v>
      </c>
      <c r="Q12" s="216" t="str">
        <f t="shared" si="5"/>
        <v>Inclusive</v>
      </c>
      <c r="R12" s="264">
        <f t="shared" si="6"/>
        <v>1544.0127269090906</v>
      </c>
      <c r="S12" s="264">
        <f t="shared" si="7"/>
        <v>1544.0127269090906</v>
      </c>
      <c r="T12" s="264">
        <f t="shared" si="8"/>
        <v>1216.4762869090905</v>
      </c>
      <c r="U12" s="264">
        <f t="shared" si="9"/>
        <v>1216.4762869090905</v>
      </c>
      <c r="V12" s="281">
        <f t="shared" si="10"/>
        <v>1338.1239155999997</v>
      </c>
      <c r="W12" s="281">
        <f t="shared" si="10"/>
        <v>1338.1239155999997</v>
      </c>
      <c r="X12" s="217">
        <f>'Tariffs 2020'!BL4</f>
        <v>0</v>
      </c>
      <c r="Y12" s="218" t="str">
        <f>'Tariffs 2020'!BM4</f>
        <v>n</v>
      </c>
    </row>
    <row r="13" spans="1:25" x14ac:dyDescent="0.15">
      <c r="A13" s="212" t="str">
        <f>'Tariffs 2020'!K5</f>
        <v>Red Energy</v>
      </c>
      <c r="B13" s="213" t="str">
        <f>'Tariffs 2020'!L5</f>
        <v>Living Energy Saver</v>
      </c>
      <c r="C13" s="214">
        <f>IF('Tariffs 2020'!BP5=0,91*'Tariffs 2020'!M5/100,(91*'Tariffs 2020'!M5/100)+'Tariffs 2020'!BP5/4)</f>
        <v>80.534999999999997</v>
      </c>
      <c r="D13" s="214">
        <f>IF('Tariffs 2020'!O5="",$F$5*'Tariffs 2020'!N5/100,IF($F$5&gt;='Tariffs 2020'!P5,('Tariffs 2020'!P5*'Tariffs 2020'!N5/100),($F$5*'Tariffs 2020'!N5/100)))</f>
        <v>274.62666981818182</v>
      </c>
      <c r="E13" s="214">
        <f>IF(AND('Tariffs 2020'!R5&gt;0,'Tariffs 2020'!T5&gt;0),IF($F$5&lt;'Tariffs 2020'!P5,0,IF(($F$5-'Tariffs 2020'!P5)&lt;='Tariffs 2020'!R5,(($F$5-'Tariffs 2020'!P5)*'Tariffs 2020'!Q5/100),(('Tariffs 2020'!R5-'Tariffs 2020'!P5)*'Tariffs 2020'!Q5/100))),IF(AND('Tariffs 2020'!R5&gt;0,'Tariffs 2020'!T5=""),IF($F$5&lt;'Tariffs 2020'!P5,0, IF(($F$5)&lt;= 'Tariffs 2020'!R5,(($F$5-'Tariffs 2020'!P5)* 'Tariffs 2020'!Q5/100),(( 'Tariffs 2020'!R5-'Tariffs 2020'!P5)* 'Tariffs 2020'!Q5/100))),0))</f>
        <v>0</v>
      </c>
      <c r="F13" s="214">
        <f>IF('Tariffs 2020'!T5&gt;0,IF(($F$5&lt;'Tariffs 2020'!T5),(0),($F$5-'Tariffs 2020'!T5)*'Tariffs 2020'!U5/100),IF(AND('Tariffs 2020'!R5&gt;0,'Tariffs 2020'!T5=""),IF(($F$5&lt;'Tariffs 2020'!R5),(0),($F$5-'Tariffs 2020'!R5)*'Tariffs 2020'!S5/100),IF(AND('Tariffs 2020'!P5&gt;0,'Tariffs 2020'!R5=""),IF(($F$5&lt;'Tariffs 2020'!P5),(0),($F$5-'Tariffs 2020'!P5)*'Tariffs 2020'!Q5/100),0)))</f>
        <v>0</v>
      </c>
      <c r="G13" s="214">
        <f t="shared" si="0"/>
        <v>355.16166981818185</v>
      </c>
      <c r="H13" s="226">
        <f t="shared" si="1"/>
        <v>1098.5066792727275</v>
      </c>
      <c r="I13" s="264">
        <f t="shared" si="2"/>
        <v>1420.6466792727274</v>
      </c>
      <c r="J13" s="215">
        <f t="shared" si="3"/>
        <v>1562.7113472000003</v>
      </c>
      <c r="K13" s="213">
        <f>'Tariffs 2020'!AZ5</f>
        <v>0</v>
      </c>
      <c r="L13" s="213">
        <f>'Tariffs 2020'!BA5</f>
        <v>0</v>
      </c>
      <c r="M13" s="213">
        <f>'Tariffs 2020'!BB5</f>
        <v>0</v>
      </c>
      <c r="N13" s="213">
        <f>'Tariffs 2020'!BC5</f>
        <v>0</v>
      </c>
      <c r="O13" s="215">
        <f>($F$6*'Tariffs 2020'!AT5/100)*4</f>
        <v>279.89477600000004</v>
      </c>
      <c r="P13" s="216" t="str">
        <f t="shared" si="4"/>
        <v>No discount</v>
      </c>
      <c r="Q13" s="216" t="str">
        <f t="shared" si="5"/>
        <v>Inclusive</v>
      </c>
      <c r="R13" s="264">
        <f t="shared" si="6"/>
        <v>1420.6466792727274</v>
      </c>
      <c r="S13" s="264">
        <f t="shared" si="7"/>
        <v>1420.6466792727274</v>
      </c>
      <c r="T13" s="264">
        <f t="shared" si="8"/>
        <v>1140.7519032727273</v>
      </c>
      <c r="U13" s="264">
        <f t="shared" si="9"/>
        <v>1140.7519032727273</v>
      </c>
      <c r="V13" s="281">
        <f t="shared" si="10"/>
        <v>1254.8270936000001</v>
      </c>
      <c r="W13" s="281">
        <f t="shared" si="10"/>
        <v>1254.8270936000001</v>
      </c>
      <c r="X13" s="217">
        <f>'Tariffs 2020'!BL5</f>
        <v>0</v>
      </c>
      <c r="Y13" s="218" t="str">
        <f>'Tariffs 2020'!BM5</f>
        <v>n</v>
      </c>
    </row>
    <row r="14" spans="1:25" x14ac:dyDescent="0.15">
      <c r="A14" s="212" t="str">
        <f>'Tariffs 2020'!K6</f>
        <v>Energy Locals</v>
      </c>
      <c r="B14" s="213" t="str">
        <f>'Tariffs 2020'!L6</f>
        <v>Local Saver</v>
      </c>
      <c r="C14" s="214">
        <f>IF('Tariffs 2020'!BP6=0,91*'Tariffs 2020'!M6/100,(91*'Tariffs 2020'!M6/100)+'Tariffs 2020'!BP6/4)</f>
        <v>84.559090909090898</v>
      </c>
      <c r="D14" s="214">
        <f>IF('Tariffs 2020'!O6="",$F$5*'Tariffs 2020'!N6/100,IF($F$5&gt;='Tariffs 2020'!P6,('Tariffs 2020'!P6*'Tariffs 2020'!N6/100),($F$5*'Tariffs 2020'!N6/100)))</f>
        <v>310.34840454545451</v>
      </c>
      <c r="E14" s="214">
        <f>IF(AND('Tariffs 2020'!R6&gt;0,'Tariffs 2020'!T6&gt;0),IF($F$5&lt;'Tariffs 2020'!P6,0,IF(($F$5-'Tariffs 2020'!P6)&lt;='Tariffs 2020'!R6,(($F$5-'Tariffs 2020'!P6)*'Tariffs 2020'!Q6/100),(('Tariffs 2020'!R6-'Tariffs 2020'!P6)*'Tariffs 2020'!Q6/100))),IF(AND('Tariffs 2020'!R6&gt;0,'Tariffs 2020'!T6=""),IF($F$5&lt;'Tariffs 2020'!P6,0, IF(($F$5)&lt;= 'Tariffs 2020'!R6,(($F$5-'Tariffs 2020'!P6)* 'Tariffs 2020'!Q6/100),(( 'Tariffs 2020'!R6-'Tariffs 2020'!P6)* 'Tariffs 2020'!Q6/100))),0))</f>
        <v>0</v>
      </c>
      <c r="F14" s="214">
        <f>IF('Tariffs 2020'!T6&gt;0,IF(($F$5&lt;'Tariffs 2020'!T6),(0),($F$5-'Tariffs 2020'!T6)*'Tariffs 2020'!U6/100),IF(AND('Tariffs 2020'!R6&gt;0,'Tariffs 2020'!T6=""),IF(($F$5&lt;'Tariffs 2020'!R6),(0),($F$5-'Tariffs 2020'!R6)*'Tariffs 2020'!S6/100),IF(AND('Tariffs 2020'!P6&gt;0,'Tariffs 2020'!R6=""),IF(($F$5&lt;'Tariffs 2020'!P6),(0),($F$5-'Tariffs 2020'!P6)*'Tariffs 2020'!Q6/100),0)))</f>
        <v>0</v>
      </c>
      <c r="G14" s="214">
        <f t="shared" si="0"/>
        <v>394.90749545454543</v>
      </c>
      <c r="H14" s="226">
        <f t="shared" si="1"/>
        <v>1241.3936181818181</v>
      </c>
      <c r="I14" s="264">
        <f t="shared" si="2"/>
        <v>1579.6299818181817</v>
      </c>
      <c r="J14" s="215">
        <f t="shared" si="3"/>
        <v>1737.5929800000001</v>
      </c>
      <c r="K14" s="213">
        <f>'Tariffs 2020'!AZ6</f>
        <v>0</v>
      </c>
      <c r="L14" s="213">
        <f>'Tariffs 2020'!BA6</f>
        <v>0</v>
      </c>
      <c r="M14" s="213">
        <f>'Tariffs 2020'!BB6</f>
        <v>0</v>
      </c>
      <c r="N14" s="213">
        <f>'Tariffs 2020'!BC6</f>
        <v>0</v>
      </c>
      <c r="O14" s="215">
        <f>($F$6*'Tariffs 2020'!AT6/100)*4</f>
        <v>476.41664000000003</v>
      </c>
      <c r="P14" s="216" t="str">
        <f t="shared" si="4"/>
        <v>No discount</v>
      </c>
      <c r="Q14" s="216" t="str">
        <f t="shared" si="5"/>
        <v>Exclusive</v>
      </c>
      <c r="R14" s="279">
        <f t="shared" si="6"/>
        <v>1579.6299818181817</v>
      </c>
      <c r="S14" s="264">
        <f t="shared" si="7"/>
        <v>1579.6299818181817</v>
      </c>
      <c r="T14" s="264">
        <f t="shared" si="8"/>
        <v>1103.2133418181816</v>
      </c>
      <c r="U14" s="264">
        <f t="shared" si="9"/>
        <v>1103.2133418181816</v>
      </c>
      <c r="V14" s="281">
        <f t="shared" si="10"/>
        <v>1213.5346759999998</v>
      </c>
      <c r="W14" s="281">
        <f t="shared" si="10"/>
        <v>1213.5346759999998</v>
      </c>
      <c r="X14" s="217">
        <f>'Tariffs 2020'!BL6</f>
        <v>0</v>
      </c>
      <c r="Y14" s="218" t="str">
        <f>'Tariffs 2020'!BM6</f>
        <v>n</v>
      </c>
    </row>
    <row r="15" spans="1:25" ht="15" thickBot="1" x14ac:dyDescent="0.2">
      <c r="A15" s="219" t="str">
        <f>'Tariffs 2020'!K7</f>
        <v>Powerclub</v>
      </c>
      <c r="B15" s="220" t="str">
        <f>'Tariffs 2020'!L7</f>
        <v>Powerbank Home Solar</v>
      </c>
      <c r="C15" s="221">
        <f>IF('Tariffs 2020'!BP7=0,91*'Tariffs 2020'!M7/100,(91*'Tariffs 2020'!M7/100)+'Tariffs 2020'!BP7/4)</f>
        <v>93.038636363636343</v>
      </c>
      <c r="D15" s="221">
        <f>IF('Tariffs 2020'!O7="",$F$5*'Tariffs 2020'!N7/100,IF($F$5&gt;='Tariffs 2020'!P7,('Tariffs 2020'!P7*'Tariffs 2020'!N7/100),($F$5*'Tariffs 2020'!N7/100)))</f>
        <v>248.40539645454544</v>
      </c>
      <c r="E15" s="221">
        <f>IF(AND('Tariffs 2020'!R7&gt;0,'Tariffs 2020'!T7&gt;0),IF($F$5&lt;'Tariffs 2020'!P7,0,IF(($F$5-'Tariffs 2020'!P7)&lt;='Tariffs 2020'!R7,(($F$5-'Tariffs 2020'!P7)*'Tariffs 2020'!Q7/100),(('Tariffs 2020'!R7-'Tariffs 2020'!P7)*'Tariffs 2020'!Q7/100))),IF(AND('Tariffs 2020'!R7&gt;0,'Tariffs 2020'!T7=""),IF($F$5&lt;'Tariffs 2020'!P7,0, IF(($F$5)&lt;= 'Tariffs 2020'!R7,(($F$5-'Tariffs 2020'!P7)* 'Tariffs 2020'!Q7/100),(( 'Tariffs 2020'!R7-'Tariffs 2020'!P7)* 'Tariffs 2020'!Q7/100))),0))</f>
        <v>0</v>
      </c>
      <c r="F15" s="221">
        <f>IF('Tariffs 2020'!T7&gt;0,IF(($F$5&lt;'Tariffs 2020'!T7),(0),($F$5-'Tariffs 2020'!T7)*'Tariffs 2020'!U7/100),IF(AND('Tariffs 2020'!R7&gt;0,'Tariffs 2020'!T7=""),IF(($F$5&lt;'Tariffs 2020'!R7),(0),($F$5-'Tariffs 2020'!R7)*'Tariffs 2020'!S7/100),IF(AND('Tariffs 2020'!P7&gt;0,'Tariffs 2020'!R7=""),IF(($F$5&lt;'Tariffs 2020'!P7),(0),($F$5-'Tariffs 2020'!P7)*'Tariffs 2020'!Q7/100),0)))</f>
        <v>0</v>
      </c>
      <c r="G15" s="221">
        <f t="shared" si="0"/>
        <v>341.44403281818177</v>
      </c>
      <c r="H15" s="227">
        <f t="shared" si="1"/>
        <v>993.62158581818176</v>
      </c>
      <c r="I15" s="265">
        <f t="shared" si="2"/>
        <v>1365.7761312727271</v>
      </c>
      <c r="J15" s="222">
        <f t="shared" si="3"/>
        <v>1502.3537443999999</v>
      </c>
      <c r="K15" s="220">
        <f>'Tariffs 2020'!AZ7</f>
        <v>0</v>
      </c>
      <c r="L15" s="220">
        <f>'Tariffs 2020'!BA7</f>
        <v>0</v>
      </c>
      <c r="M15" s="220">
        <f>'Tariffs 2020'!BB7</f>
        <v>0</v>
      </c>
      <c r="N15" s="220">
        <f>'Tariffs 2020'!BC7</f>
        <v>0</v>
      </c>
      <c r="O15" s="222">
        <f>($F$6*'Tariffs 2020'!AT7/100)*4</f>
        <v>208.43228000000002</v>
      </c>
      <c r="P15" s="223" t="str">
        <f t="shared" si="4"/>
        <v>No discount</v>
      </c>
      <c r="Q15" s="223" t="str">
        <f t="shared" si="5"/>
        <v>Exclusive</v>
      </c>
      <c r="R15" s="280">
        <f t="shared" si="6"/>
        <v>1365.7761312727271</v>
      </c>
      <c r="S15" s="265">
        <f t="shared" si="7"/>
        <v>1365.7761312727271</v>
      </c>
      <c r="T15" s="265">
        <f t="shared" si="8"/>
        <v>1157.3438512727271</v>
      </c>
      <c r="U15" s="265">
        <f t="shared" si="9"/>
        <v>1157.3438512727271</v>
      </c>
      <c r="V15" s="282">
        <f t="shared" si="10"/>
        <v>1273.0782363999999</v>
      </c>
      <c r="W15" s="282">
        <f t="shared" si="10"/>
        <v>1273.0782363999999</v>
      </c>
      <c r="X15" s="224">
        <f>'Tariffs 2020'!BL7</f>
        <v>0</v>
      </c>
      <c r="Y15" s="225" t="str">
        <f>'Tariffs 2020'!BM7</f>
        <v>n</v>
      </c>
    </row>
    <row r="17" spans="1:25" ht="15" thickBot="1" x14ac:dyDescent="0.2"/>
    <row r="18" spans="1:25" x14ac:dyDescent="0.15">
      <c r="A18" s="248" t="s">
        <v>111</v>
      </c>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50"/>
    </row>
    <row r="19" spans="1:25" ht="90" x14ac:dyDescent="0.15">
      <c r="A19" s="251" t="s">
        <v>147</v>
      </c>
      <c r="B19" s="252" t="s">
        <v>133</v>
      </c>
      <c r="C19" s="253" t="s">
        <v>184</v>
      </c>
      <c r="D19" s="253" t="s">
        <v>16</v>
      </c>
      <c r="E19" s="253" t="s">
        <v>185</v>
      </c>
      <c r="F19" s="253" t="s">
        <v>186</v>
      </c>
      <c r="G19" s="253" t="s">
        <v>74</v>
      </c>
      <c r="H19" s="261" t="s">
        <v>34</v>
      </c>
      <c r="I19" s="261" t="s">
        <v>121</v>
      </c>
      <c r="J19" s="254" t="s">
        <v>360</v>
      </c>
      <c r="K19" s="255" t="s">
        <v>119</v>
      </c>
      <c r="L19" s="255" t="s">
        <v>63</v>
      </c>
      <c r="M19" s="255" t="s">
        <v>91</v>
      </c>
      <c r="N19" s="255" t="s">
        <v>150</v>
      </c>
      <c r="O19" s="256" t="s">
        <v>200</v>
      </c>
      <c r="P19" s="262" t="s">
        <v>361</v>
      </c>
      <c r="Q19" s="262" t="s">
        <v>362</v>
      </c>
      <c r="R19" s="263" t="s">
        <v>102</v>
      </c>
      <c r="S19" s="263" t="s">
        <v>29</v>
      </c>
      <c r="T19" s="263" t="s">
        <v>226</v>
      </c>
      <c r="U19" s="263" t="s">
        <v>100</v>
      </c>
      <c r="V19" s="256" t="s">
        <v>101</v>
      </c>
      <c r="W19" s="256" t="s">
        <v>174</v>
      </c>
      <c r="X19" s="255" t="s">
        <v>142</v>
      </c>
      <c r="Y19" s="257" t="s">
        <v>143</v>
      </c>
    </row>
    <row r="20" spans="1:25" x14ac:dyDescent="0.15">
      <c r="A20" s="212" t="str">
        <f>'Tariffs 2020'!K8</f>
        <v>ActewAGL</v>
      </c>
      <c r="B20" s="213" t="str">
        <f>'Tariffs 2020'!L8</f>
        <v>Home plan Saver</v>
      </c>
      <c r="C20" s="226">
        <f>IF('Tariffs 2020'!BP8=0,91*'Tariffs 2020'!M8/100,(91*'Tariffs 2020'!M8/100)+'Tariffs 2020'!BP8/4)</f>
        <v>101.92</v>
      </c>
      <c r="D20" s="226">
        <f>IF('Tariffs 2020'!O8="",$F$5*'Tariffs 2020'!N8/100,IF($F$5&gt;='Tariffs 2020'!P8,('Tariffs 2020'!P8*'Tariffs 2020'!N8/100),($F$5*'Tariffs 2020'!N8/100)))</f>
        <v>298.9478509090909</v>
      </c>
      <c r="E20" s="226">
        <f>IF(AND('Tariffs 2020'!R8&gt;0,'Tariffs 2020'!T8&gt;0),IF($F$5&lt;'Tariffs 2020'!P8,0,IF(($F$5-'Tariffs 2020'!P8)&lt;='Tariffs 2020'!R8,(($F$5-'Tariffs 2020'!P8)*'Tariffs 2020'!Q8/100),(('Tariffs 2020'!R8-'Tariffs 2020'!P8)*'Tariffs 2020'!Q8/100))),IF(AND('Tariffs 2020'!R8&gt;0,'Tariffs 2020'!T8=""),IF($F$5&lt;'Tariffs 2020'!P8,0, IF(($F$5)&lt;= 'Tariffs 2020'!R8,(($F$5-'Tariffs 2020'!P8)* 'Tariffs 2020'!Q8/100),(( 'Tariffs 2020'!R8-'Tariffs 2020'!P8)* 'Tariffs 2020'!Q8/100))),0))</f>
        <v>0</v>
      </c>
      <c r="F20" s="226">
        <f>IF('Tariffs 2020'!T8&gt;0,IF(($F$5&lt;'Tariffs 2020'!T8),(0),($F$5-'Tariffs 2020'!T8)*'Tariffs 2020'!U8/100),IF(AND('Tariffs 2020'!R8&gt;0,'Tariffs 2020'!T8=""),IF(($F$5&lt;'Tariffs 2020'!R8),(0),($F$5-'Tariffs 2020'!R8)*'Tariffs 2020'!S8/100),IF(AND('Tariffs 2020'!P8&gt;0,'Tariffs 2020'!R8=""),IF(($F$5&lt;'Tariffs 2020'!P8),(0),($F$5-'Tariffs 2020'!P8)*'Tariffs 2020'!Q8/100),0)))</f>
        <v>0</v>
      </c>
      <c r="G20" s="226">
        <f>SUM(C20:F20)</f>
        <v>400.86785090909092</v>
      </c>
      <c r="H20" s="226">
        <f t="shared" ref="H20:H21" si="11">(G20-C20)*4</f>
        <v>1195.7914036363636</v>
      </c>
      <c r="I20" s="264">
        <f t="shared" ref="I20:I21" si="12">G20*4</f>
        <v>1603.4714036363637</v>
      </c>
      <c r="J20" s="215">
        <f>I20*1.1</f>
        <v>1763.8185440000002</v>
      </c>
      <c r="K20" s="213">
        <f>'Tariffs 2020'!AZ8</f>
        <v>0</v>
      </c>
      <c r="L20" s="213">
        <f>'Tariffs 2020'!BA8</f>
        <v>0</v>
      </c>
      <c r="M20" s="213">
        <f>'Tariffs 2020'!BB8</f>
        <v>0</v>
      </c>
      <c r="N20" s="213">
        <f>'Tariffs 2020'!BC8</f>
        <v>0</v>
      </c>
      <c r="O20" s="215">
        <f>($F$6*'Tariffs 2020'!AT8/100)*4</f>
        <v>238.20832000000001</v>
      </c>
      <c r="P20" s="216" t="str">
        <f>IF(SUM(K20:N20)=0,"No discount",IF(K20&gt;0,"Guaranteed off bill",IF(L20&gt;0,"Guaranteed off usage",IF(M20&gt;0,"Pay-on-time off bill","Pay-on-time off usage"))))</f>
        <v>No discount</v>
      </c>
      <c r="Q20" s="216" t="str">
        <f>IF(OR(A20="Origin Energy",A20="Red Energy",A20="Powershop"),"Inclusive","Exclusive")</f>
        <v>Exclusive</v>
      </c>
      <c r="R20" s="279">
        <f t="shared" ref="R20:R21" si="13">IF(AND(P20="Guaranteed off bill",Q20="Inclusive"),((I20*1.1)-((I20*1.1)*K20/100))/1.1,IF(AND(P20="Guaranteed off usage",Q20="Inclusive"),((I20*1.1)-((H20*1.1)*L20/100))/1.1,IF(AND(P20="Guaranteed off bill",Q20="Exclusive"),I20-(I20*K20/100),IF(AND(P20="Guaranteed off usage",Q20="Exclusive"),I20-(H20*L20/100),IF(Q20="Inclusive",((I20*1.1))/1.1,I20)))))</f>
        <v>1603.4714036363637</v>
      </c>
      <c r="S20" s="264">
        <f t="shared" ref="S20:S21" si="14">IF(AND(P20="Pay-on-time off bill",Q20="Inclusive"),((R20*1.1)-((R20*1.1)*M20/100))/1.1,IF(AND(P20="Pay-on-time off usage",Q20="Inclusive"),((R20*1.1)-((H20*1.1)*N20/100))/1.1,IF(AND(P20="Pay-on-time off bill",Q20="Exclusive"),R20-(R20*M20/100),IF(AND(P20="Pay-on-time off usage",Q20="Exclusive"),R20-(H20*N20/100),IF(Q20="Inclusive",((R20*1.1))/1.1,R20)))))</f>
        <v>1603.4714036363637</v>
      </c>
      <c r="T20" s="264">
        <f>R20-O20</f>
        <v>1365.2630836363637</v>
      </c>
      <c r="U20" s="264">
        <f>S20-O20</f>
        <v>1365.2630836363637</v>
      </c>
      <c r="V20" s="281">
        <f>T20*1.1</f>
        <v>1501.7893920000001</v>
      </c>
      <c r="W20" s="281">
        <f>U20*1.1</f>
        <v>1501.7893920000001</v>
      </c>
      <c r="X20" s="217">
        <f>'Tariffs 2020'!BL8</f>
        <v>0</v>
      </c>
      <c r="Y20" s="218" t="str">
        <f>'Tariffs 2020'!BM8</f>
        <v>n</v>
      </c>
    </row>
    <row r="21" spans="1:25" ht="15" thickBot="1" x14ac:dyDescent="0.2">
      <c r="A21" s="219" t="str">
        <f>'Tariffs 2020'!K9</f>
        <v>Origin Energy</v>
      </c>
      <c r="B21" s="220" t="str">
        <f>'Tariffs 2020'!L9</f>
        <v>Solar Boost</v>
      </c>
      <c r="C21" s="227">
        <f>IF('Tariffs 2020'!BP9=0,91*'Tariffs 2020'!M9/100,(91*'Tariffs 2020'!M9/100)+'Tariffs 2020'!BP9/4)</f>
        <v>102.60663636363635</v>
      </c>
      <c r="D21" s="227">
        <f>IF('Tariffs 2020'!O9="",$F$5*'Tariffs 2020'!N9/100,IF($F$5&gt;='Tariffs 2020'!P9,('Tariffs 2020'!P9*'Tariffs 2020'!N9/100),($F$5*'Tariffs 2020'!N9/100)))</f>
        <v>275.51337954545454</v>
      </c>
      <c r="E21" s="227">
        <f>IF(AND('Tariffs 2020'!R9&gt;0,'Tariffs 2020'!T9&gt;0),IF($F$5&lt;'Tariffs 2020'!P9,0,IF(($F$5-'Tariffs 2020'!P9)&lt;='Tariffs 2020'!R9,(($F$5-'Tariffs 2020'!P9)*'Tariffs 2020'!Q9/100),(('Tariffs 2020'!R9-'Tariffs 2020'!P9)*'Tariffs 2020'!Q9/100))),IF(AND('Tariffs 2020'!R9&gt;0,'Tariffs 2020'!T9=""),IF($F$5&lt;'Tariffs 2020'!P9,0, IF(($F$5)&lt;= 'Tariffs 2020'!R9,(($F$5-'Tariffs 2020'!P9)* 'Tariffs 2020'!Q9/100),(( 'Tariffs 2020'!R9-'Tariffs 2020'!P9)* 'Tariffs 2020'!Q9/100))),0))</f>
        <v>0</v>
      </c>
      <c r="F21" s="227">
        <f>IF('Tariffs 2020'!T9&gt;0,IF(($F$5&lt;'Tariffs 2020'!T9),(0),($F$5-'Tariffs 2020'!T9)*'Tariffs 2020'!U9/100),IF(AND('Tariffs 2020'!R9&gt;0,'Tariffs 2020'!T9=""),IF(($F$5&lt;'Tariffs 2020'!R9),(0),($F$5-'Tariffs 2020'!R9)*'Tariffs 2020'!S9/100),IF(AND('Tariffs 2020'!P9&gt;0,'Tariffs 2020'!R9=""),IF(($F$5&lt;'Tariffs 2020'!P9),(0),($F$5-'Tariffs 2020'!P9)*'Tariffs 2020'!Q9/100),0)))</f>
        <v>0</v>
      </c>
      <c r="G21" s="227">
        <f>SUM(C21:F21)</f>
        <v>378.12001590909091</v>
      </c>
      <c r="H21" s="227">
        <f t="shared" si="11"/>
        <v>1102.0535181818182</v>
      </c>
      <c r="I21" s="265">
        <f t="shared" si="12"/>
        <v>1512.4800636363636</v>
      </c>
      <c r="J21" s="222">
        <f>I21*1.1</f>
        <v>1663.7280700000001</v>
      </c>
      <c r="K21" s="220">
        <f>'Tariffs 2020'!AZ9</f>
        <v>0</v>
      </c>
      <c r="L21" s="220">
        <f>'Tariffs 2020'!BA9</f>
        <v>0</v>
      </c>
      <c r="M21" s="220">
        <f>'Tariffs 2020'!BB9</f>
        <v>0</v>
      </c>
      <c r="N21" s="220">
        <f>'Tariffs 2020'!BC9</f>
        <v>0</v>
      </c>
      <c r="O21" s="222">
        <f>($F$6*'Tariffs 2020'!AT9/100)*4</f>
        <v>327.53644000000003</v>
      </c>
      <c r="P21" s="223" t="str">
        <f>IF(SUM(K21:N21)=0,"No discount",IF(K21&gt;0,"Guaranteed off bill",IF(L21&gt;0,"Guaranteed off usage",IF(M21&gt;0,"Pay-on-time off bill","Pay-on-time off usage"))))</f>
        <v>No discount</v>
      </c>
      <c r="Q21" s="223" t="str">
        <f>IF(OR(A21="Origin Energy",A21="Red Energy",A21="Powershop"),"Inclusive","Exclusive")</f>
        <v>Inclusive</v>
      </c>
      <c r="R21" s="280">
        <f t="shared" si="13"/>
        <v>1512.4800636363636</v>
      </c>
      <c r="S21" s="265">
        <f t="shared" si="14"/>
        <v>1512.4800636363636</v>
      </c>
      <c r="T21" s="265">
        <f>R21-O21</f>
        <v>1184.9436236363636</v>
      </c>
      <c r="U21" s="265">
        <f>S21-O21</f>
        <v>1184.9436236363636</v>
      </c>
      <c r="V21" s="282">
        <f>T21*1.1</f>
        <v>1303.4379859999999</v>
      </c>
      <c r="W21" s="282">
        <f>U21*1.1</f>
        <v>1303.4379859999999</v>
      </c>
      <c r="X21" s="224">
        <f>'Tariffs 2020'!BL9</f>
        <v>0</v>
      </c>
      <c r="Y21" s="225" t="str">
        <f>'Tariffs 2020'!BM9</f>
        <v>n</v>
      </c>
    </row>
    <row r="23" spans="1:25" ht="15" thickBot="1" x14ac:dyDescent="0.2"/>
    <row r="24" spans="1:25" x14ac:dyDescent="0.15">
      <c r="A24" s="248" t="s">
        <v>30</v>
      </c>
      <c r="B24" s="249"/>
      <c r="C24" s="249"/>
      <c r="D24" s="258"/>
      <c r="E24" s="258"/>
      <c r="F24" s="258"/>
      <c r="G24" s="259"/>
      <c r="H24" s="259"/>
      <c r="I24" s="249"/>
      <c r="J24" s="249"/>
      <c r="K24" s="249"/>
      <c r="L24" s="249"/>
      <c r="M24" s="249"/>
      <c r="N24" s="249"/>
      <c r="O24" s="249"/>
      <c r="P24" s="249"/>
      <c r="Q24" s="249"/>
      <c r="R24" s="249"/>
      <c r="S24" s="249"/>
      <c r="T24" s="249"/>
      <c r="U24" s="249"/>
      <c r="V24" s="249"/>
      <c r="W24" s="249"/>
      <c r="X24" s="249"/>
      <c r="Y24" s="250"/>
    </row>
    <row r="25" spans="1:25" ht="90" x14ac:dyDescent="0.15">
      <c r="A25" s="251" t="s">
        <v>147</v>
      </c>
      <c r="B25" s="252" t="s">
        <v>133</v>
      </c>
      <c r="C25" s="253" t="s">
        <v>184</v>
      </c>
      <c r="D25" s="253" t="s">
        <v>16</v>
      </c>
      <c r="E25" s="253" t="s">
        <v>186</v>
      </c>
      <c r="F25" s="253" t="s">
        <v>113</v>
      </c>
      <c r="G25" s="253" t="s">
        <v>74</v>
      </c>
      <c r="H25" s="261" t="s">
        <v>34</v>
      </c>
      <c r="I25" s="261" t="s">
        <v>121</v>
      </c>
      <c r="J25" s="254" t="s">
        <v>360</v>
      </c>
      <c r="K25" s="255" t="s">
        <v>119</v>
      </c>
      <c r="L25" s="255" t="s">
        <v>63</v>
      </c>
      <c r="M25" s="255" t="s">
        <v>91</v>
      </c>
      <c r="N25" s="255" t="s">
        <v>150</v>
      </c>
      <c r="O25" s="256" t="s">
        <v>200</v>
      </c>
      <c r="P25" s="262" t="s">
        <v>361</v>
      </c>
      <c r="Q25" s="262" t="s">
        <v>362</v>
      </c>
      <c r="R25" s="263" t="s">
        <v>102</v>
      </c>
      <c r="S25" s="263" t="s">
        <v>29</v>
      </c>
      <c r="T25" s="263" t="s">
        <v>226</v>
      </c>
      <c r="U25" s="263" t="s">
        <v>100</v>
      </c>
      <c r="V25" s="256" t="s">
        <v>101</v>
      </c>
      <c r="W25" s="256" t="s">
        <v>174</v>
      </c>
      <c r="X25" s="260" t="s">
        <v>142</v>
      </c>
      <c r="Y25" s="257" t="s">
        <v>143</v>
      </c>
    </row>
    <row r="26" spans="1:25" x14ac:dyDescent="0.15">
      <c r="A26" s="212" t="str">
        <f>'Tariffs 2020'!K10</f>
        <v>ActewAGL</v>
      </c>
      <c r="B26" s="213" t="str">
        <f>'Tariffs 2020'!L10</f>
        <v xml:space="preserve">Max. Reward </v>
      </c>
      <c r="C26" s="226">
        <f>IF('Tariffs 2020'!BP10=0,91*'Tariffs 2020'!M10/100,(91*'Tariffs 2020'!M10/100)+'Tariffs 2020'!BP10/4)</f>
        <v>81.676636363636362</v>
      </c>
      <c r="D26" s="226">
        <f>IF('Tariffs 2020'!O10="",$K$5*'Tariffs 2020'!N10/100,IF($K$5&gt;='Tariffs 2020'!P10,('Tariffs 2020'!P10*'Tariffs 2020'!N10/100),($K$5*'Tariffs 2020'!N10/100)))</f>
        <v>219.37198652727272</v>
      </c>
      <c r="E26" s="226">
        <f>IF('Tariffs 2020'!T10&gt;0,IF(($F$5&lt;'Tariffs 2020'!T10),(0),($F$5-'Tariffs 2020'!T10)*'Tariffs 2020'!U10/100),IF(AND('Tariffs 2020'!R10&gt;0,'Tariffs 2020'!T10=""),IF(($F$5&lt;'Tariffs 2020'!R10),(0),($F$5-'Tariffs 2020'!R10)*'Tariffs 2020'!S10/100),IF(AND('Tariffs 2020'!P10&gt;0,'Tariffs 2020'!R10=""),IF(($F$5&lt;'Tariffs 2020'!P10),(0),($F$5-'Tariffs 2020'!P10)*'Tariffs 2020'!Q10/100),0)))</f>
        <v>0</v>
      </c>
      <c r="F26" s="226">
        <f>($L$5)*'Tariffs 2020'!AE10/100</f>
        <v>58.940862299999992</v>
      </c>
      <c r="G26" s="226">
        <f>SUM(C26:F26)</f>
        <v>359.98948519090908</v>
      </c>
      <c r="H26" s="226">
        <f t="shared" ref="H26:H30" si="15">(G26-C26)*4</f>
        <v>1113.2513953090909</v>
      </c>
      <c r="I26" s="264">
        <f t="shared" ref="I26:I30" si="16">G26*4</f>
        <v>1439.9579407636363</v>
      </c>
      <c r="J26" s="215">
        <f>I26*1.1</f>
        <v>1583.9537348400002</v>
      </c>
      <c r="K26" s="213">
        <f>'Tariffs 2020'!AZ10</f>
        <v>0</v>
      </c>
      <c r="L26" s="213">
        <f>'Tariffs 2020'!BA10</f>
        <v>20</v>
      </c>
      <c r="M26" s="213">
        <f>'Tariffs 2020'!BB10</f>
        <v>0</v>
      </c>
      <c r="N26" s="213">
        <f>'Tariffs 2020'!BC10</f>
        <v>0</v>
      </c>
      <c r="O26" s="215">
        <f>($F$6*'Tariffs 2020'!AT10/100)*4</f>
        <v>238.20832000000001</v>
      </c>
      <c r="P26" s="216" t="str">
        <f>IF(SUM(K26:N26)=0,"No discount",IF(K26&gt;0,"Guaranteed off bill",IF(L26&gt;0,"Guaranteed off usage",IF(M26&gt;0,"Pay-on-time off bill","Pay-on-time off usage"))))</f>
        <v>Guaranteed off usage</v>
      </c>
      <c r="Q26" s="216" t="str">
        <f>IF(OR(A26="Origin Energy",A26="Red Energy",A26="Powershop"),"Inclusive","Exclusive")</f>
        <v>Exclusive</v>
      </c>
      <c r="R26" s="279">
        <f t="shared" ref="R26:R30" si="17">IF(AND(P26="Guaranteed off bill",Q26="Inclusive"),((I26*1.1)-((I26*1.1)*K26/100))/1.1,IF(AND(P26="Guaranteed off usage",Q26="Inclusive"),((I26*1.1)-((H26*1.1)*L26/100))/1.1,IF(AND(P26="Guaranteed off bill",Q26="Exclusive"),I26-(I26*K26/100),IF(AND(P26="Guaranteed off usage",Q26="Exclusive"),I26-(H26*L26/100),IF(Q26="Inclusive",((I26*1.1))/1.1,I26)))))</f>
        <v>1217.3076617018182</v>
      </c>
      <c r="S26" s="264">
        <f t="shared" ref="S26:S30" si="18">IF(AND(P26="Pay-on-time off bill",Q26="Inclusive"),((R26*1.1)-((R26*1.1)*M26/100))/1.1,IF(AND(P26="Pay-on-time off usage",Q26="Inclusive"),((R26*1.1)-((H26*1.1)*N26/100))/1.1,IF(AND(P26="Pay-on-time off bill",Q26="Exclusive"),R26-(R26*M26/100),IF(AND(P26="Pay-on-time off usage",Q26="Exclusive"),R26-(H26*N26/100),IF(Q26="Inclusive",((R26*1.1))/1.1,R26)))))</f>
        <v>1217.3076617018182</v>
      </c>
      <c r="T26" s="264">
        <f>R26-O26</f>
        <v>979.09934170181828</v>
      </c>
      <c r="U26" s="264">
        <f>S26-O26</f>
        <v>979.09934170181828</v>
      </c>
      <c r="V26" s="281">
        <f t="shared" ref="V26:W30" si="19">T26*1.1</f>
        <v>1077.0092758720002</v>
      </c>
      <c r="W26" s="281">
        <f t="shared" si="19"/>
        <v>1077.0092758720002</v>
      </c>
      <c r="X26" s="217">
        <f>'Tariffs 2020'!BL10</f>
        <v>12</v>
      </c>
      <c r="Y26" s="218" t="str">
        <f>'Tariffs 2020'!BM10</f>
        <v>n</v>
      </c>
    </row>
    <row r="27" spans="1:25" x14ac:dyDescent="0.15">
      <c r="A27" s="212" t="str">
        <f>'Tariffs 2020'!K11</f>
        <v>EnergyAustralia</v>
      </c>
      <c r="B27" s="213" t="str">
        <f>'Tariffs 2020'!L11</f>
        <v>Total Plan Home</v>
      </c>
      <c r="C27" s="226">
        <f>IF('Tariffs 2020'!BP11=0,91*'Tariffs 2020'!M11/100,(91*'Tariffs 2020'!M11/100)+'Tariffs 2020'!BP11/4)</f>
        <v>73.527999999999977</v>
      </c>
      <c r="D27" s="226">
        <f>IF('Tariffs 2020'!O11="",$K$5*'Tariffs 2020'!N11/100,IF($K$5&gt;='Tariffs 2020'!P11,('Tariffs 2020'!P11*'Tariffs 2020'!N11/100),($K$5*'Tariffs 2020'!N11/100)))</f>
        <v>216.62318637272725</v>
      </c>
      <c r="E27" s="226">
        <f>IF('Tariffs 2020'!T11&gt;0,IF(($F$5&lt;'Tariffs 2020'!T11),(0),($F$5-'Tariffs 2020'!T11)*'Tariffs 2020'!U11/100),IF(AND('Tariffs 2020'!R11&gt;0,'Tariffs 2020'!T11=""),IF(($F$5&lt;'Tariffs 2020'!R11),(0),($F$5-'Tariffs 2020'!R11)*'Tariffs 2020'!S11/100),IF(AND('Tariffs 2020'!P11&gt;0,'Tariffs 2020'!R11=""),IF(($F$5&lt;'Tariffs 2020'!P11),(0),($F$5-'Tariffs 2020'!P11)*'Tariffs 2020'!Q11/100),0)))</f>
        <v>0</v>
      </c>
      <c r="F27" s="226">
        <f>($L$5)*'Tariffs 2020'!AE11/100</f>
        <v>48.528356645454529</v>
      </c>
      <c r="G27" s="226">
        <f>SUM(C27:F27)</f>
        <v>338.67954301818179</v>
      </c>
      <c r="H27" s="226">
        <f t="shared" si="15"/>
        <v>1060.6061720727273</v>
      </c>
      <c r="I27" s="264">
        <f t="shared" si="16"/>
        <v>1354.7181720727272</v>
      </c>
      <c r="J27" s="215">
        <f>I27*1.1</f>
        <v>1490.18998928</v>
      </c>
      <c r="K27" s="213">
        <f>'Tariffs 2020'!AZ11</f>
        <v>9</v>
      </c>
      <c r="L27" s="213">
        <f>'Tariffs 2020'!BA11</f>
        <v>0</v>
      </c>
      <c r="M27" s="213">
        <f>'Tariffs 2020'!BB11</f>
        <v>0</v>
      </c>
      <c r="N27" s="213">
        <f>'Tariffs 2020'!BC11</f>
        <v>0</v>
      </c>
      <c r="O27" s="215">
        <f>($F$6*'Tariffs 2020'!AT11/100)*4</f>
        <v>312.64842000000004</v>
      </c>
      <c r="P27" s="216" t="str">
        <f>IF(SUM(K27:N27)=0,"No discount",IF(K27&gt;0,"Guaranteed off bill",IF(L27&gt;0,"Guaranteed off usage",IF(M27&gt;0,"Pay-on-time off bill","Pay-on-time off usage"))))</f>
        <v>Guaranteed off bill</v>
      </c>
      <c r="Q27" s="216" t="str">
        <f>IF(OR(A27="Origin Energy",A27="Red Energy",A27="Powershop"),"Inclusive","Exclusive")</f>
        <v>Exclusive</v>
      </c>
      <c r="R27" s="279">
        <f t="shared" si="17"/>
        <v>1232.7935365861817</v>
      </c>
      <c r="S27" s="264">
        <f t="shared" si="18"/>
        <v>1232.7935365861817</v>
      </c>
      <c r="T27" s="264">
        <f>R27-O27</f>
        <v>920.14511658618176</v>
      </c>
      <c r="U27" s="264">
        <f>S27-O27</f>
        <v>920.14511658618176</v>
      </c>
      <c r="V27" s="281">
        <f t="shared" si="19"/>
        <v>1012.1596282448</v>
      </c>
      <c r="W27" s="281">
        <f t="shared" si="19"/>
        <v>1012.1596282448</v>
      </c>
      <c r="X27" s="217">
        <f>'Tariffs 2020'!BL11</f>
        <v>0</v>
      </c>
      <c r="Y27" s="218" t="str">
        <f>'Tariffs 2020'!BM11</f>
        <v>n</v>
      </c>
    </row>
    <row r="28" spans="1:25" x14ac:dyDescent="0.15">
      <c r="A28" s="212" t="str">
        <f>'Tariffs 2020'!K12</f>
        <v>Origin Energy</v>
      </c>
      <c r="B28" s="213" t="str">
        <f>'Tariffs 2020'!L12</f>
        <v>Solar Boost</v>
      </c>
      <c r="C28" s="226">
        <f>IF('Tariffs 2020'!BP12=0,91*'Tariffs 2020'!M12/100,(91*'Tariffs 2020'!M12/100)+'Tariffs 2020'!BP12/4)</f>
        <v>82.11509090909091</v>
      </c>
      <c r="D28" s="226">
        <f>IF('Tariffs 2020'!O12="",$K$5*'Tariffs 2020'!N12/100,IF($K$5&gt;='Tariffs 2020'!P12,('Tariffs 2020'!P12*'Tariffs 2020'!N12/100),($K$5*'Tariffs 2020'!N12/100)))</f>
        <v>212.72166357272724</v>
      </c>
      <c r="E28" s="226">
        <f>IF('Tariffs 2020'!T12&gt;0,IF(($F$5&lt;'Tariffs 2020'!T12),(0),($F$5-'Tariffs 2020'!T12)*'Tariffs 2020'!U12/100),IF(AND('Tariffs 2020'!R12&gt;0,'Tariffs 2020'!T12=""),IF(($F$5&lt;'Tariffs 2020'!R12),(0),($F$5-'Tariffs 2020'!R12)*'Tariffs 2020'!S12/100),IF(AND('Tariffs 2020'!P12&gt;0,'Tariffs 2020'!R12=""),IF(($F$5&lt;'Tariffs 2020'!P12),(0),($F$5-'Tariffs 2020'!P12)*'Tariffs 2020'!Q12/100),0)))</f>
        <v>0</v>
      </c>
      <c r="F28" s="226">
        <f>($L$5)*'Tariffs 2020'!AE12/100</f>
        <v>54.266635309090901</v>
      </c>
      <c r="G28" s="226">
        <f>SUM(C28:F28)</f>
        <v>349.10338979090909</v>
      </c>
      <c r="H28" s="226">
        <f t="shared" si="15"/>
        <v>1067.9531955272728</v>
      </c>
      <c r="I28" s="264">
        <f t="shared" si="16"/>
        <v>1396.4135591636364</v>
      </c>
      <c r="J28" s="215">
        <f t="shared" ref="J28:J30" si="20">I28*1.1</f>
        <v>1536.0549150800002</v>
      </c>
      <c r="K28" s="213">
        <f>'Tariffs 2020'!AZ12</f>
        <v>0</v>
      </c>
      <c r="L28" s="213">
        <f>'Tariffs 2020'!BA12</f>
        <v>0</v>
      </c>
      <c r="M28" s="213">
        <f>'Tariffs 2020'!BB12</f>
        <v>0</v>
      </c>
      <c r="N28" s="213">
        <f>'Tariffs 2020'!BC12</f>
        <v>0</v>
      </c>
      <c r="O28" s="215">
        <f>($F$6*'Tariffs 2020'!AT12/100)*4</f>
        <v>327.53644000000003</v>
      </c>
      <c r="P28" s="216" t="str">
        <f>IF(SUM(K28:N28)=0,"No discount",IF(K28&gt;0,"Guaranteed off bill",IF(L28&gt;0,"Guaranteed off usage",IF(M28&gt;0,"Pay-on-time off bill","Pay-on-time off usage"))))</f>
        <v>No discount</v>
      </c>
      <c r="Q28" s="216" t="str">
        <f>IF(OR(A28="Origin Energy",A28="Red Energy",A28="Powershop"),"Inclusive","Exclusive")</f>
        <v>Inclusive</v>
      </c>
      <c r="R28" s="279">
        <f t="shared" si="17"/>
        <v>1396.4135591636364</v>
      </c>
      <c r="S28" s="264">
        <f t="shared" si="18"/>
        <v>1396.4135591636364</v>
      </c>
      <c r="T28" s="264">
        <f>R28-O28</f>
        <v>1068.8771191636363</v>
      </c>
      <c r="U28" s="264">
        <f>S28-O28</f>
        <v>1068.8771191636363</v>
      </c>
      <c r="V28" s="281">
        <f t="shared" si="19"/>
        <v>1175.76483108</v>
      </c>
      <c r="W28" s="281">
        <f t="shared" si="19"/>
        <v>1175.76483108</v>
      </c>
      <c r="X28" s="217">
        <f>'Tariffs 2020'!BL12</f>
        <v>0</v>
      </c>
      <c r="Y28" s="218" t="str">
        <f>'Tariffs 2020'!BM12</f>
        <v>n</v>
      </c>
    </row>
    <row r="29" spans="1:25" x14ac:dyDescent="0.15">
      <c r="A29" s="212" t="str">
        <f>'Tariffs 2020'!K13</f>
        <v>Red Energy</v>
      </c>
      <c r="B29" s="213" t="str">
        <f>'Tariffs 2020'!L13</f>
        <v>Living Energy Saver</v>
      </c>
      <c r="C29" s="226">
        <f>IF('Tariffs 2020'!BP13=0,91*'Tariffs 2020'!M13/100,(91*'Tariffs 2020'!M13/100)+'Tariffs 2020'!BP13/4)</f>
        <v>80.534999999999997</v>
      </c>
      <c r="D29" s="226">
        <f>IF('Tariffs 2020'!O13="",$K$5*'Tariffs 2020'!N13/100,IF($K$5&gt;='Tariffs 2020'!P13,('Tariffs 2020'!P13*'Tariffs 2020'!N13/100),($K$5*'Tariffs 2020'!N13/100)))</f>
        <v>192.23866887272726</v>
      </c>
      <c r="E29" s="226">
        <f>IF('Tariffs 2020'!T13&gt;0,IF(($F$5&lt;'Tariffs 2020'!T13),(0),($F$5-'Tariffs 2020'!T13)*'Tariffs 2020'!U13/100),IF(AND('Tariffs 2020'!R13&gt;0,'Tariffs 2020'!T13=""),IF(($F$5&lt;'Tariffs 2020'!R13),(0),($F$5-'Tariffs 2020'!R13)*'Tariffs 2020'!S13/100),IF(AND('Tariffs 2020'!P13&gt;0,'Tariffs 2020'!R13=""),IF(($F$5&lt;'Tariffs 2020'!P13),(0),($F$5-'Tariffs 2020'!P13)*'Tariffs 2020'!Q13/100),0)))</f>
        <v>0</v>
      </c>
      <c r="F29" s="226">
        <f>($L$5)*'Tariffs 2020'!AE13/100</f>
        <v>53.620603936363629</v>
      </c>
      <c r="G29" s="226">
        <f>SUM(C29:F29)</f>
        <v>326.39427280909092</v>
      </c>
      <c r="H29" s="226">
        <f t="shared" si="15"/>
        <v>983.4370912363637</v>
      </c>
      <c r="I29" s="264">
        <f t="shared" si="16"/>
        <v>1305.5770912363637</v>
      </c>
      <c r="J29" s="215">
        <f t="shared" si="20"/>
        <v>1436.1348003600001</v>
      </c>
      <c r="K29" s="213">
        <f>'Tariffs 2020'!AZ13</f>
        <v>0</v>
      </c>
      <c r="L29" s="213">
        <f>'Tariffs 2020'!BA13</f>
        <v>0</v>
      </c>
      <c r="M29" s="213">
        <f>'Tariffs 2020'!BB13</f>
        <v>0</v>
      </c>
      <c r="N29" s="213">
        <f>'Tariffs 2020'!BC13</f>
        <v>0</v>
      </c>
      <c r="O29" s="215">
        <f>($F$6*'Tariffs 2020'!AT13/100)*4</f>
        <v>279.89477600000004</v>
      </c>
      <c r="P29" s="216" t="str">
        <f>IF(SUM(K29:N29)=0,"No discount",IF(K29&gt;0,"Guaranteed off bill",IF(L29&gt;0,"Guaranteed off usage",IF(M29&gt;0,"Pay-on-time off bill","Pay-on-time off usage"))))</f>
        <v>No discount</v>
      </c>
      <c r="Q29" s="216" t="str">
        <f>IF(OR(A29="Origin Energy",A29="Red Energy",A29="Powershop"),"Inclusive","Exclusive")</f>
        <v>Inclusive</v>
      </c>
      <c r="R29" s="279">
        <f t="shared" si="17"/>
        <v>1305.5770912363637</v>
      </c>
      <c r="S29" s="264">
        <f t="shared" si="18"/>
        <v>1305.5770912363637</v>
      </c>
      <c r="T29" s="264">
        <f>R29-O29</f>
        <v>1025.6823152363636</v>
      </c>
      <c r="U29" s="264">
        <f>S29-O29</f>
        <v>1025.6823152363636</v>
      </c>
      <c r="V29" s="281">
        <f t="shared" si="19"/>
        <v>1128.2505467600001</v>
      </c>
      <c r="W29" s="281">
        <f t="shared" si="19"/>
        <v>1128.2505467600001</v>
      </c>
      <c r="X29" s="217">
        <f>'Tariffs 2020'!BL13</f>
        <v>0</v>
      </c>
      <c r="Y29" s="218" t="str">
        <f>'Tariffs 2020'!BM13</f>
        <v>n</v>
      </c>
    </row>
    <row r="30" spans="1:25" ht="15" thickBot="1" x14ac:dyDescent="0.2">
      <c r="A30" s="219" t="str">
        <f>'Tariffs 2020'!K14</f>
        <v>Energy Locals</v>
      </c>
      <c r="B30" s="220" t="str">
        <f>'Tariffs 2020'!L14</f>
        <v>Local Saver</v>
      </c>
      <c r="C30" s="227">
        <f>IF('Tariffs 2020'!BP14=0,91*'Tariffs 2020'!M14/100,(91*'Tariffs 2020'!M14/100)+'Tariffs 2020'!BP14/4)</f>
        <v>84.559090909090898</v>
      </c>
      <c r="D30" s="227">
        <f>IF('Tariffs 2020'!O14="",$K$5*'Tariffs 2020'!N14/100,IF($K$5&gt;='Tariffs 2020'!P14,('Tariffs 2020'!P14*'Tariffs 2020'!N14/100),($K$5*'Tariffs 2020'!N14/100)))</f>
        <v>217.24388318181818</v>
      </c>
      <c r="E30" s="227">
        <f>IF('Tariffs 2020'!T14&gt;0,IF(($F$5&lt;'Tariffs 2020'!T14),(0),($F$5-'Tariffs 2020'!T14)*'Tariffs 2020'!U14/100),IF(AND('Tariffs 2020'!R14&gt;0,'Tariffs 2020'!T14=""),IF(($F$5&lt;'Tariffs 2020'!R14),(0),($F$5-'Tariffs 2020'!R14)*'Tariffs 2020'!S14/100),IF(AND('Tariffs 2020'!P14&gt;0,'Tariffs 2020'!R14=""),IF(($F$5&lt;'Tariffs 2020'!P14),(0),($F$5-'Tariffs 2020'!P14)*'Tariffs 2020'!Q14/100),0)))</f>
        <v>0</v>
      </c>
      <c r="F30" s="227">
        <f>($L$5)*'Tariffs 2020'!AE14/100</f>
        <v>70.303414090909087</v>
      </c>
      <c r="G30" s="227">
        <f>SUM(C30:F30)</f>
        <v>372.10638818181815</v>
      </c>
      <c r="H30" s="227">
        <f t="shared" si="15"/>
        <v>1150.1891890909089</v>
      </c>
      <c r="I30" s="265">
        <f t="shared" si="16"/>
        <v>1488.4255527272726</v>
      </c>
      <c r="J30" s="222">
        <f t="shared" si="20"/>
        <v>1637.268108</v>
      </c>
      <c r="K30" s="220">
        <f>'Tariffs 2020'!AZ14</f>
        <v>0</v>
      </c>
      <c r="L30" s="220">
        <f>'Tariffs 2020'!BA14</f>
        <v>0</v>
      </c>
      <c r="M30" s="220">
        <f>'Tariffs 2020'!BB14</f>
        <v>0</v>
      </c>
      <c r="N30" s="220">
        <f>'Tariffs 2020'!BC14</f>
        <v>0</v>
      </c>
      <c r="O30" s="222">
        <f>($F$6*'Tariffs 2020'!AT14/100)*4</f>
        <v>476.41664000000003</v>
      </c>
      <c r="P30" s="223" t="str">
        <f>IF(SUM(K30:N30)=0,"No discount",IF(K30&gt;0,"Guaranteed off bill",IF(L30&gt;0,"Guaranteed off usage",IF(M30&gt;0,"Pay-on-time off bill","Pay-on-time off usage"))))</f>
        <v>No discount</v>
      </c>
      <c r="Q30" s="223" t="str">
        <f>IF(OR(A30="Origin Energy",A30="Red Energy",A30="Powershop"),"Inclusive","Exclusive")</f>
        <v>Exclusive</v>
      </c>
      <c r="R30" s="280">
        <f t="shared" si="17"/>
        <v>1488.4255527272726</v>
      </c>
      <c r="S30" s="265">
        <f t="shared" si="18"/>
        <v>1488.4255527272726</v>
      </c>
      <c r="T30" s="265">
        <f>R30-O30</f>
        <v>1012.0089127272726</v>
      </c>
      <c r="U30" s="265">
        <f>S30-O30</f>
        <v>1012.0089127272726</v>
      </c>
      <c r="V30" s="282">
        <f t="shared" si="19"/>
        <v>1113.2098039999998</v>
      </c>
      <c r="W30" s="282">
        <f t="shared" si="19"/>
        <v>1113.2098039999998</v>
      </c>
      <c r="X30" s="224">
        <f>'Tariffs 2020'!BL14</f>
        <v>0</v>
      </c>
      <c r="Y30" s="225" t="str">
        <f>'Tariffs 2020'!BM14</f>
        <v>n</v>
      </c>
    </row>
    <row r="32" spans="1:25" ht="15" thickBot="1" x14ac:dyDescent="0.2"/>
    <row r="33" spans="1:25" x14ac:dyDescent="0.15">
      <c r="A33" s="248" t="s">
        <v>11</v>
      </c>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50"/>
    </row>
    <row r="34" spans="1:25" ht="90" x14ac:dyDescent="0.15">
      <c r="A34" s="251" t="s">
        <v>147</v>
      </c>
      <c r="B34" s="252" t="s">
        <v>133</v>
      </c>
      <c r="C34" s="253" t="s">
        <v>184</v>
      </c>
      <c r="D34" s="253" t="s">
        <v>16</v>
      </c>
      <c r="E34" s="253" t="s">
        <v>32</v>
      </c>
      <c r="F34" s="253" t="s">
        <v>33</v>
      </c>
      <c r="G34" s="253" t="s">
        <v>74</v>
      </c>
      <c r="H34" s="261" t="s">
        <v>34</v>
      </c>
      <c r="I34" s="261" t="s">
        <v>121</v>
      </c>
      <c r="J34" s="254" t="s">
        <v>360</v>
      </c>
      <c r="K34" s="255" t="s">
        <v>119</v>
      </c>
      <c r="L34" s="255" t="s">
        <v>63</v>
      </c>
      <c r="M34" s="255" t="s">
        <v>91</v>
      </c>
      <c r="N34" s="255" t="s">
        <v>150</v>
      </c>
      <c r="O34" s="256" t="s">
        <v>200</v>
      </c>
      <c r="P34" s="262" t="s">
        <v>361</v>
      </c>
      <c r="Q34" s="262" t="s">
        <v>362</v>
      </c>
      <c r="R34" s="263" t="s">
        <v>102</v>
      </c>
      <c r="S34" s="263" t="s">
        <v>29</v>
      </c>
      <c r="T34" s="263" t="s">
        <v>226</v>
      </c>
      <c r="U34" s="263" t="s">
        <v>100</v>
      </c>
      <c r="V34" s="256" t="s">
        <v>101</v>
      </c>
      <c r="W34" s="256" t="s">
        <v>174</v>
      </c>
      <c r="X34" s="255" t="s">
        <v>142</v>
      </c>
      <c r="Y34" s="257" t="s">
        <v>143</v>
      </c>
    </row>
    <row r="35" spans="1:25" x14ac:dyDescent="0.15">
      <c r="A35" s="212" t="str">
        <f>'Tariffs 2020'!K15</f>
        <v>ActewAGL</v>
      </c>
      <c r="B35" s="213" t="str">
        <f>'Tariffs 2020'!L15</f>
        <v xml:space="preserve">Max. Reward </v>
      </c>
      <c r="C35" s="226">
        <f>IF('Tariffs 2020'!BP15=0,91*'Tariffs 2020'!M15/100,(91*'Tariffs 2020'!M15/100)+'Tariffs 2020'!BP15/4)</f>
        <v>81.676636363636362</v>
      </c>
      <c r="D35" s="226">
        <f>IF('Tariffs 2020'!O15="",$K$6*'Tariffs 2020'!N15/100,IF($K$6&gt;='Tariffs 2020'!P15,('Tariffs 2020'!P15*'Tariffs 2020'!N15/100),($K$6*'Tariffs 2020'!N15/100)))</f>
        <v>82.92002678181818</v>
      </c>
      <c r="E35" s="226">
        <f>($M$6)*'Tariffs 2020'!AH15/100</f>
        <v>147.0038055</v>
      </c>
      <c r="F35" s="226">
        <f>($L$6)*'Tariffs 2020'!W15/100</f>
        <v>71.063450999999972</v>
      </c>
      <c r="G35" s="226">
        <f t="shared" ref="G35:G40" si="21">SUM(C35:F35)</f>
        <v>382.66391964545454</v>
      </c>
      <c r="H35" s="226">
        <f t="shared" ref="H35:H40" si="22">(G35-C35)*4</f>
        <v>1203.9491331272727</v>
      </c>
      <c r="I35" s="264">
        <f t="shared" ref="I35:I40" si="23">G35*4</f>
        <v>1530.6556785818182</v>
      </c>
      <c r="J35" s="215">
        <f>I35*1.1</f>
        <v>1683.7212464400002</v>
      </c>
      <c r="K35" s="213">
        <f>'Tariffs 2020'!AZ15</f>
        <v>0</v>
      </c>
      <c r="L35" s="213">
        <f>'Tariffs 2020'!BA15</f>
        <v>20</v>
      </c>
      <c r="M35" s="213">
        <f>'Tariffs 2020'!BB15</f>
        <v>0</v>
      </c>
      <c r="N35" s="213">
        <f>'Tariffs 2020'!BC15</f>
        <v>0</v>
      </c>
      <c r="O35" s="215">
        <f>($F$6*'Tariffs 2020'!AT15/100)*4</f>
        <v>238.20832000000001</v>
      </c>
      <c r="P35" s="216" t="str">
        <f t="shared" ref="P35:P40" si="24">IF(SUM(K35:N35)=0,"No discount",IF(K35&gt;0,"Guaranteed off bill",IF(L35&gt;0,"Guaranteed off usage",IF(M35&gt;0,"Pay-on-time off bill","Pay-on-time off usage"))))</f>
        <v>Guaranteed off usage</v>
      </c>
      <c r="Q35" s="216" t="str">
        <f t="shared" ref="Q35:Q40" si="25">IF(OR(A35="Origin Energy",A35="Red Energy",A35="Powershop"),"Inclusive","Exclusive")</f>
        <v>Exclusive</v>
      </c>
      <c r="R35" s="279">
        <f t="shared" ref="R35:R40" si="26">IF(AND(P35="Guaranteed off bill",Q35="Inclusive"),((I35*1.1)-((I35*1.1)*K35/100))/1.1,IF(AND(P35="Guaranteed off usage",Q35="Inclusive"),((I35*1.1)-((H35*1.1)*L35/100))/1.1,IF(AND(P35="Guaranteed off bill",Q35="Exclusive"),I35-(I35*K35/100),IF(AND(P35="Guaranteed off usage",Q35="Exclusive"),I35-(H35*L35/100),IF(Q35="Inclusive",((I35*1.1))/1.1,I35)))))</f>
        <v>1289.8658519563637</v>
      </c>
      <c r="S35" s="264">
        <f t="shared" ref="S35:S40" si="27">IF(AND(P35="Pay-on-time off bill",Q35="Inclusive"),((R35*1.1)-((R35*1.1)*M35/100))/1.1,IF(AND(P35="Pay-on-time off usage",Q35="Inclusive"),((R35*1.1)-((H35*1.1)*N35/100))/1.1,IF(AND(P35="Pay-on-time off bill",Q35="Exclusive"),R35-(R35*M35/100),IF(AND(P35="Pay-on-time off usage",Q35="Exclusive"),R35-(H35*N35/100),IF(Q35="Inclusive",((R35*1.1))/1.1,R35)))))</f>
        <v>1289.8658519563637</v>
      </c>
      <c r="T35" s="264">
        <f t="shared" ref="T35:T40" si="28">R35-O35</f>
        <v>1051.6575319563638</v>
      </c>
      <c r="U35" s="264">
        <f t="shared" ref="U35:U40" si="29">S35-O35</f>
        <v>1051.6575319563638</v>
      </c>
      <c r="V35" s="281">
        <f t="shared" ref="V35:W40" si="30">T35*1.1</f>
        <v>1156.8232851520002</v>
      </c>
      <c r="W35" s="281">
        <f t="shared" si="30"/>
        <v>1156.8232851520002</v>
      </c>
      <c r="X35" s="217">
        <f>'Tariffs 2020'!BL15</f>
        <v>12</v>
      </c>
      <c r="Y35" s="218" t="str">
        <f>'Tariffs 2020'!BM15</f>
        <v>n</v>
      </c>
    </row>
    <row r="36" spans="1:25" x14ac:dyDescent="0.15">
      <c r="A36" s="212" t="str">
        <f>'Tariffs 2020'!K16</f>
        <v>EnergyAustralia</v>
      </c>
      <c r="B36" s="213" t="str">
        <f>'Tariffs 2020'!L16</f>
        <v>Total Plan Home</v>
      </c>
      <c r="C36" s="226">
        <f>IF('Tariffs 2020'!BP16=0,91*'Tariffs 2020'!M16/100,(91*'Tariffs 2020'!M16/100)+'Tariffs 2020'!BP16/4)</f>
        <v>68.158999999999992</v>
      </c>
      <c r="D36" s="226">
        <f>IF('Tariffs 2020'!O16="",$K$6*'Tariffs 2020'!N16/100,IF($K$6&gt;='Tariffs 2020'!P16,('Tariffs 2020'!P16*'Tariffs 2020'!N16/100),($K$6*'Tariffs 2020'!N16/100)))</f>
        <v>75.142315745454539</v>
      </c>
      <c r="E36" s="226">
        <f>($M$6)*'Tariffs 2020'!AH16/100</f>
        <v>127.36951868181819</v>
      </c>
      <c r="F36" s="226">
        <f>($L$6)*'Tariffs 2020'!W16/100</f>
        <v>57.192777409090901</v>
      </c>
      <c r="G36" s="226">
        <f t="shared" si="21"/>
        <v>327.86361183636365</v>
      </c>
      <c r="H36" s="226">
        <f t="shared" si="22"/>
        <v>1038.8184473454546</v>
      </c>
      <c r="I36" s="264">
        <f t="shared" si="23"/>
        <v>1311.4544473454546</v>
      </c>
      <c r="J36" s="215">
        <f>I36*1.1</f>
        <v>1442.5998920800002</v>
      </c>
      <c r="K36" s="213">
        <f>'Tariffs 2020'!AZ16</f>
        <v>9</v>
      </c>
      <c r="L36" s="213">
        <f>'Tariffs 2020'!BA16</f>
        <v>0</v>
      </c>
      <c r="M36" s="213">
        <f>'Tariffs 2020'!BB16</f>
        <v>0</v>
      </c>
      <c r="N36" s="213">
        <f>'Tariffs 2020'!BC16</f>
        <v>0</v>
      </c>
      <c r="O36" s="215">
        <f>($F$6*'Tariffs 2020'!AT16/100)*4</f>
        <v>312.64842000000004</v>
      </c>
      <c r="P36" s="216" t="str">
        <f t="shared" si="24"/>
        <v>Guaranteed off bill</v>
      </c>
      <c r="Q36" s="216" t="str">
        <f t="shared" si="25"/>
        <v>Exclusive</v>
      </c>
      <c r="R36" s="279">
        <f t="shared" si="26"/>
        <v>1193.4235470843637</v>
      </c>
      <c r="S36" s="264">
        <f t="shared" si="27"/>
        <v>1193.4235470843637</v>
      </c>
      <c r="T36" s="264">
        <f t="shared" si="28"/>
        <v>880.7751270843637</v>
      </c>
      <c r="U36" s="264">
        <f t="shared" si="29"/>
        <v>880.7751270843637</v>
      </c>
      <c r="V36" s="281">
        <f t="shared" si="30"/>
        <v>968.85263979280012</v>
      </c>
      <c r="W36" s="281">
        <f t="shared" si="30"/>
        <v>968.85263979280012</v>
      </c>
      <c r="X36" s="217">
        <f>'Tariffs 2020'!BL16</f>
        <v>0</v>
      </c>
      <c r="Y36" s="218" t="str">
        <f>'Tariffs 2020'!BM16</f>
        <v>n</v>
      </c>
    </row>
    <row r="37" spans="1:25" x14ac:dyDescent="0.15">
      <c r="A37" s="212" t="str">
        <f>'Tariffs 2020'!K17</f>
        <v>Origin Energy</v>
      </c>
      <c r="B37" s="213" t="str">
        <f>'Tariffs 2020'!L17</f>
        <v>Max Saver</v>
      </c>
      <c r="C37" s="226">
        <f>IF('Tariffs 2020'!BP17=0,91*'Tariffs 2020'!M17/100,(91*'Tariffs 2020'!M17/100)+'Tariffs 2020'!BP17/4)</f>
        <v>82.11509090909091</v>
      </c>
      <c r="D37" s="226">
        <f>IF('Tariffs 2020'!O17="",$K$6*'Tariffs 2020'!N17/100,IF($K$6&gt;='Tariffs 2020'!P17,('Tariffs 2020'!P17*'Tariffs 2020'!N17/100),($K$6*'Tariffs 2020'!N17/100)))</f>
        <v>78.233132509090908</v>
      </c>
      <c r="E37" s="226">
        <f>($M$6)*'Tariffs 2020'!AH17/100</f>
        <v>138.89674513636362</v>
      </c>
      <c r="F37" s="226">
        <f>($L$6)*'Tariffs 2020'!W17/100</f>
        <v>65.439177872727257</v>
      </c>
      <c r="G37" s="226">
        <f t="shared" si="21"/>
        <v>364.68414642727271</v>
      </c>
      <c r="H37" s="226">
        <f t="shared" si="22"/>
        <v>1130.2762220727273</v>
      </c>
      <c r="I37" s="264">
        <f t="shared" si="23"/>
        <v>1458.7365857090908</v>
      </c>
      <c r="J37" s="215">
        <f t="shared" ref="J37:J40" si="31">I37*1.1</f>
        <v>1604.61024428</v>
      </c>
      <c r="K37" s="213">
        <f>'Tariffs 2020'!AZ17</f>
        <v>0</v>
      </c>
      <c r="L37" s="213">
        <f>'Tariffs 2020'!BA17</f>
        <v>0</v>
      </c>
      <c r="M37" s="213">
        <f>'Tariffs 2020'!BB17</f>
        <v>0</v>
      </c>
      <c r="N37" s="213">
        <f>'Tariffs 2020'!BC17</f>
        <v>0</v>
      </c>
      <c r="O37" s="215">
        <f>($F$6*'Tariffs 2020'!AT17/100)*4</f>
        <v>208.43228000000002</v>
      </c>
      <c r="P37" s="216" t="str">
        <f t="shared" si="24"/>
        <v>No discount</v>
      </c>
      <c r="Q37" s="216" t="str">
        <f t="shared" si="25"/>
        <v>Inclusive</v>
      </c>
      <c r="R37" s="279">
        <f t="shared" si="26"/>
        <v>1458.7365857090908</v>
      </c>
      <c r="S37" s="264">
        <f t="shared" si="27"/>
        <v>1458.7365857090908</v>
      </c>
      <c r="T37" s="264">
        <f t="shared" si="28"/>
        <v>1250.3043057090908</v>
      </c>
      <c r="U37" s="264">
        <f t="shared" si="29"/>
        <v>1250.3043057090908</v>
      </c>
      <c r="V37" s="281">
        <f t="shared" si="30"/>
        <v>1375.33473628</v>
      </c>
      <c r="W37" s="281">
        <f t="shared" si="30"/>
        <v>1375.33473628</v>
      </c>
      <c r="X37" s="217">
        <f>'Tariffs 2020'!BL17</f>
        <v>0</v>
      </c>
      <c r="Y37" s="218" t="str">
        <f>'Tariffs 2020'!BM17</f>
        <v>n</v>
      </c>
    </row>
    <row r="38" spans="1:25" x14ac:dyDescent="0.15">
      <c r="A38" s="212" t="str">
        <f>'Tariffs 2020'!K18</f>
        <v>Red Energy</v>
      </c>
      <c r="B38" s="213" t="str">
        <f>'Tariffs 2020'!L18</f>
        <v>Living Energy Saver</v>
      </c>
      <c r="C38" s="226">
        <f>IF('Tariffs 2020'!BP18=0,91*'Tariffs 2020'!M18/100,(91*'Tariffs 2020'!M18/100)+'Tariffs 2020'!BP18/4)</f>
        <v>80.534999999999997</v>
      </c>
      <c r="D38" s="226">
        <f>IF('Tariffs 2020'!O18="",$K$6*'Tariffs 2020'!N18/100,IF($K$6&gt;='Tariffs 2020'!P18,('Tariffs 2020'!P18*'Tariffs 2020'!N18/100),($K$6*'Tariffs 2020'!N18/100)))</f>
        <v>67.693954036363635</v>
      </c>
      <c r="E38" s="226">
        <f>($M$6)*'Tariffs 2020'!AH18/100</f>
        <v>134.39986009090907</v>
      </c>
      <c r="F38" s="226">
        <f>($L$6)*'Tariffs 2020'!W18/100</f>
        <v>63.425080063636351</v>
      </c>
      <c r="G38" s="226">
        <f t="shared" si="21"/>
        <v>346.05389419090903</v>
      </c>
      <c r="H38" s="226">
        <f t="shared" si="22"/>
        <v>1062.075576763636</v>
      </c>
      <c r="I38" s="264">
        <f t="shared" si="23"/>
        <v>1384.2155767636361</v>
      </c>
      <c r="J38" s="215">
        <f t="shared" si="31"/>
        <v>1522.63713444</v>
      </c>
      <c r="K38" s="213">
        <f>'Tariffs 2020'!AZ18</f>
        <v>0</v>
      </c>
      <c r="L38" s="213">
        <f>'Tariffs 2020'!BA18</f>
        <v>0</v>
      </c>
      <c r="M38" s="213">
        <f>'Tariffs 2020'!BB18</f>
        <v>0</v>
      </c>
      <c r="N38" s="213">
        <f>'Tariffs 2020'!BC18</f>
        <v>0</v>
      </c>
      <c r="O38" s="215">
        <f>($F$6*'Tariffs 2020'!AT18/100)*4</f>
        <v>279.89477600000004</v>
      </c>
      <c r="P38" s="216" t="str">
        <f t="shared" si="24"/>
        <v>No discount</v>
      </c>
      <c r="Q38" s="216" t="str">
        <f t="shared" si="25"/>
        <v>Inclusive</v>
      </c>
      <c r="R38" s="279">
        <f t="shared" si="26"/>
        <v>1384.2155767636361</v>
      </c>
      <c r="S38" s="264">
        <f t="shared" si="27"/>
        <v>1384.2155767636361</v>
      </c>
      <c r="T38" s="264">
        <f t="shared" si="28"/>
        <v>1104.320800763636</v>
      </c>
      <c r="U38" s="264">
        <f t="shared" si="29"/>
        <v>1104.320800763636</v>
      </c>
      <c r="V38" s="281">
        <f t="shared" si="30"/>
        <v>1214.7528808399998</v>
      </c>
      <c r="W38" s="281">
        <f t="shared" si="30"/>
        <v>1214.7528808399998</v>
      </c>
      <c r="X38" s="217">
        <f>'Tariffs 2020'!BL18</f>
        <v>0</v>
      </c>
      <c r="Y38" s="218" t="str">
        <f>'Tariffs 2020'!BM18</f>
        <v>n</v>
      </c>
    </row>
    <row r="39" spans="1:25" x14ac:dyDescent="0.15">
      <c r="A39" s="212" t="str">
        <f>'Tariffs 2020'!K19</f>
        <v>Energy Locals</v>
      </c>
      <c r="B39" s="213" t="str">
        <f>'Tariffs 2020'!L19</f>
        <v>Local Saver</v>
      </c>
      <c r="C39" s="226">
        <f>IF('Tariffs 2020'!BP19=0,91*'Tariffs 2020'!M19/100,(91*'Tariffs 2020'!M19/100)+'Tariffs 2020'!BP19/4)</f>
        <v>84.559090909090898</v>
      </c>
      <c r="D39" s="226">
        <f>IF('Tariffs 2020'!O19="",$K$6*'Tariffs 2020'!N19/100,IF($K$6&gt;='Tariffs 2020'!P19,('Tariffs 2020'!P19*'Tariffs 2020'!N19/100),($K$6*'Tariffs 2020'!N19/100)))</f>
        <v>79.803875454545448</v>
      </c>
      <c r="E39" s="226">
        <f>($M$6)*'Tariffs 2020'!AH19/100</f>
        <v>145.6737409090909</v>
      </c>
      <c r="F39" s="226">
        <f>($L$6)*'Tariffs 2020'!W19/100</f>
        <v>74.103598636363628</v>
      </c>
      <c r="G39" s="226">
        <f t="shared" si="21"/>
        <v>384.1403059090909</v>
      </c>
      <c r="H39" s="226">
        <f t="shared" si="22"/>
        <v>1198.3248599999999</v>
      </c>
      <c r="I39" s="264">
        <f t="shared" si="23"/>
        <v>1536.5612236363636</v>
      </c>
      <c r="J39" s="215">
        <f t="shared" si="31"/>
        <v>1690.2173460000001</v>
      </c>
      <c r="K39" s="213">
        <f>'Tariffs 2020'!AZ19</f>
        <v>0</v>
      </c>
      <c r="L39" s="213">
        <f>'Tariffs 2020'!BA19</f>
        <v>0</v>
      </c>
      <c r="M39" s="213">
        <f>'Tariffs 2020'!BB19</f>
        <v>0</v>
      </c>
      <c r="N39" s="213">
        <f>'Tariffs 2020'!BC19</f>
        <v>0</v>
      </c>
      <c r="O39" s="215">
        <f>($F$6*'Tariffs 2020'!AT19/100)*4</f>
        <v>476.41664000000003</v>
      </c>
      <c r="P39" s="216" t="str">
        <f t="shared" si="24"/>
        <v>No discount</v>
      </c>
      <c r="Q39" s="216" t="str">
        <f t="shared" si="25"/>
        <v>Exclusive</v>
      </c>
      <c r="R39" s="279">
        <f t="shared" si="26"/>
        <v>1536.5612236363636</v>
      </c>
      <c r="S39" s="264">
        <f t="shared" si="27"/>
        <v>1536.5612236363636</v>
      </c>
      <c r="T39" s="264">
        <f t="shared" si="28"/>
        <v>1060.1445836363637</v>
      </c>
      <c r="U39" s="264">
        <f t="shared" si="29"/>
        <v>1060.1445836363637</v>
      </c>
      <c r="V39" s="281">
        <f t="shared" si="30"/>
        <v>1166.1590420000002</v>
      </c>
      <c r="W39" s="281">
        <f t="shared" si="30"/>
        <v>1166.1590420000002</v>
      </c>
      <c r="X39" s="217">
        <f>'Tariffs 2020'!BL19</f>
        <v>0</v>
      </c>
      <c r="Y39" s="218" t="str">
        <f>'Tariffs 2020'!BM19</f>
        <v>n</v>
      </c>
    </row>
    <row r="40" spans="1:25" ht="15" thickBot="1" x14ac:dyDescent="0.2">
      <c r="A40" s="219" t="str">
        <f>'Tariffs 2020'!K20</f>
        <v>Powerclub</v>
      </c>
      <c r="B40" s="220" t="str">
        <f>'Tariffs 2020'!L20</f>
        <v>Powerbank Home Solar</v>
      </c>
      <c r="C40" s="227">
        <f>IF('Tariffs 2020'!BP20=0,91*'Tariffs 2020'!M20/100,(91*'Tariffs 2020'!M20/100)+'Tariffs 2020'!BP20/4)</f>
        <v>93.038636363636343</v>
      </c>
      <c r="D40" s="227">
        <f>IF('Tariffs 2020'!O20="",$K$6*'Tariffs 2020'!N20/100,IF($K$6&gt;='Tariffs 2020'!P20,('Tariffs 2020'!P20*'Tariffs 2020'!N20/100),($K$6*'Tariffs 2020'!N20/100)))</f>
        <v>67.465942963636365</v>
      </c>
      <c r="E40" s="227">
        <f>($M$6)*'Tariffs 2020'!AH20/100</f>
        <v>113.68885431818182</v>
      </c>
      <c r="F40" s="227">
        <f>($L$6)*'Tariffs 2020'!W20/100</f>
        <v>54.266635309090901</v>
      </c>
      <c r="G40" s="227">
        <f t="shared" si="21"/>
        <v>328.46006895454548</v>
      </c>
      <c r="H40" s="227">
        <f t="shared" si="22"/>
        <v>941.68573036363659</v>
      </c>
      <c r="I40" s="265">
        <f t="shared" si="23"/>
        <v>1313.8402758181819</v>
      </c>
      <c r="J40" s="222">
        <f t="shared" si="31"/>
        <v>1445.2243034000003</v>
      </c>
      <c r="K40" s="220">
        <f>'Tariffs 2020'!AZ20</f>
        <v>0</v>
      </c>
      <c r="L40" s="220">
        <f>'Tariffs 2020'!BA20</f>
        <v>0</v>
      </c>
      <c r="M40" s="220">
        <f>'Tariffs 2020'!BB20</f>
        <v>0</v>
      </c>
      <c r="N40" s="220">
        <f>'Tariffs 2020'!BC20</f>
        <v>0</v>
      </c>
      <c r="O40" s="222">
        <f>($F$6*'Tariffs 2020'!AT20/100)*4</f>
        <v>208.43228000000002</v>
      </c>
      <c r="P40" s="223" t="str">
        <f t="shared" si="24"/>
        <v>No discount</v>
      </c>
      <c r="Q40" s="223" t="str">
        <f t="shared" si="25"/>
        <v>Exclusive</v>
      </c>
      <c r="R40" s="280">
        <f t="shared" si="26"/>
        <v>1313.8402758181819</v>
      </c>
      <c r="S40" s="265">
        <f t="shared" si="27"/>
        <v>1313.8402758181819</v>
      </c>
      <c r="T40" s="265">
        <f t="shared" si="28"/>
        <v>1105.4079958181819</v>
      </c>
      <c r="U40" s="265">
        <f t="shared" si="29"/>
        <v>1105.4079958181819</v>
      </c>
      <c r="V40" s="282">
        <f t="shared" si="30"/>
        <v>1215.9487954000001</v>
      </c>
      <c r="W40" s="282">
        <f t="shared" si="30"/>
        <v>1215.9487954000001</v>
      </c>
      <c r="X40" s="224">
        <f>'Tariffs 2020'!BL20</f>
        <v>0</v>
      </c>
      <c r="Y40" s="225" t="str">
        <f>'Tariffs 2020'!BM20</f>
        <v>n</v>
      </c>
    </row>
  </sheetData>
  <sheetProtection algorithmName="SHA-512" hashValue="dPOJFpDM9XK2fQW+uHRXeDwptJXAFUufN14DZuZuaxOyu6xMv8nm5ifW1NHnbimqLrGTaBDdnNnylMzoLQVc2A==" saltValue="0EVKn+m4ApPrjHjQFNk6zw==" spinCount="100000" sheet="1" objects="1" scenarios="1"/>
  <dataValidations count="2">
    <dataValidation type="decimal" showInputMessage="1" showErrorMessage="1" errorTitle="Incorrect entry" error="Enter 1.5 or 3.0 only" sqref="C4" xr:uid="{B136AE94-9137-7B4C-BDE9-B40A4AA0624A}">
      <formula1>1.5</formula1>
      <formula2>3</formula2>
    </dataValidation>
    <dataValidation type="whole" showInputMessage="1" showErrorMessage="1" errorTitle="Incorrect number" error="Please enter quarterly consumption between 700-4000kWh" sqref="C5" xr:uid="{23EB6B3C-E505-0F43-BDD2-7A10F37F41C2}">
      <formula1>700</formula1>
      <formula2>4000</formula2>
    </dataValidation>
  </dataValidations>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06EA-4644-B342-8CCC-2B13D066E5C1}">
  <sheetPr codeName="Sheet3"/>
  <dimension ref="A1:AH112"/>
  <sheetViews>
    <sheetView topLeftCell="A9" zoomScale="96" zoomScaleNormal="96" workbookViewId="0">
      <selection activeCell="C4" sqref="C4:C5"/>
    </sheetView>
  </sheetViews>
  <sheetFormatPr baseColWidth="10" defaultColWidth="11.1640625" defaultRowHeight="13" x14ac:dyDescent="0.15"/>
  <cols>
    <col min="1" max="1" width="21.5" style="151" customWidth="1"/>
    <col min="2" max="2" width="28.6640625" style="151" customWidth="1"/>
    <col min="3" max="7" width="14.83203125" style="151" customWidth="1"/>
    <col min="8" max="8" width="12.1640625" style="151" hidden="1" customWidth="1"/>
    <col min="9" max="9" width="16.1640625" style="151" hidden="1" customWidth="1"/>
    <col min="10" max="15" width="14.83203125" style="151" customWidth="1"/>
    <col min="16" max="19" width="12.1640625" style="151" hidden="1" customWidth="1"/>
    <col min="20" max="23" width="14.83203125" style="151" customWidth="1"/>
    <col min="24" max="34" width="7.5" style="151" customWidth="1"/>
    <col min="35" max="16384" width="11.1640625" style="151"/>
  </cols>
  <sheetData>
    <row r="1" spans="1:34" ht="14" x14ac:dyDescent="0.15">
      <c r="A1" s="150" t="s">
        <v>44</v>
      </c>
      <c r="B1" s="150"/>
      <c r="C1" s="150"/>
      <c r="D1" s="150"/>
      <c r="E1" s="150"/>
      <c r="F1" s="150"/>
      <c r="G1" s="150"/>
      <c r="H1" s="150">
        <v>3</v>
      </c>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row>
    <row r="2" spans="1:34" ht="14" x14ac:dyDescent="0.15">
      <c r="A2" s="152" t="s">
        <v>6</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row>
    <row r="3" spans="1:34" ht="14" x14ac:dyDescent="0.15">
      <c r="A3" s="152"/>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row>
    <row r="4" spans="1:34" ht="14" x14ac:dyDescent="0.15">
      <c r="A4" s="94" t="s">
        <v>163</v>
      </c>
      <c r="B4" s="95"/>
      <c r="C4" s="135">
        <v>3</v>
      </c>
      <c r="D4" s="150"/>
      <c r="E4" s="96" t="s">
        <v>77</v>
      </c>
      <c r="F4" s="97">
        <f>IF(C4&lt;H1,(675),(1351))</f>
        <v>1351</v>
      </c>
      <c r="G4" s="150"/>
      <c r="H4" s="150"/>
      <c r="J4" s="98"/>
      <c r="K4" s="99" t="s">
        <v>45</v>
      </c>
      <c r="L4" s="100" t="s">
        <v>144</v>
      </c>
      <c r="M4" s="101" t="s">
        <v>145</v>
      </c>
      <c r="N4" s="150"/>
      <c r="O4" s="150"/>
      <c r="P4" s="150"/>
      <c r="Q4" s="150"/>
      <c r="R4" s="150"/>
      <c r="S4" s="150"/>
      <c r="T4" s="150"/>
      <c r="U4" s="150"/>
      <c r="V4" s="150"/>
      <c r="W4" s="150"/>
      <c r="X4" s="150"/>
      <c r="Y4" s="150"/>
      <c r="Z4" s="150"/>
      <c r="AA4" s="150"/>
      <c r="AB4" s="150"/>
      <c r="AC4" s="150"/>
      <c r="AD4" s="150"/>
      <c r="AE4" s="150"/>
      <c r="AF4" s="150"/>
      <c r="AG4" s="150"/>
      <c r="AH4" s="150"/>
    </row>
    <row r="5" spans="1:34" ht="14" x14ac:dyDescent="0.15">
      <c r="A5" s="102" t="s">
        <v>117</v>
      </c>
      <c r="B5" s="103"/>
      <c r="C5" s="136">
        <v>1500</v>
      </c>
      <c r="D5" s="150"/>
      <c r="E5" s="104" t="s">
        <v>75</v>
      </c>
      <c r="F5" s="105">
        <f>C5-(F4-F6)</f>
        <v>893.40100000000007</v>
      </c>
      <c r="G5" s="150"/>
      <c r="H5" s="150"/>
      <c r="J5" s="106" t="s">
        <v>135</v>
      </c>
      <c r="K5" s="107">
        <f>F5*70/100</f>
        <v>625.38070000000005</v>
      </c>
      <c r="L5" s="108">
        <f>F5*30/100</f>
        <v>268.02030000000002</v>
      </c>
      <c r="M5" s="109" t="s">
        <v>196</v>
      </c>
      <c r="N5" s="150"/>
      <c r="O5" s="150"/>
      <c r="P5" s="150"/>
      <c r="Q5" s="150"/>
      <c r="R5" s="150"/>
      <c r="S5" s="150"/>
      <c r="T5" s="150"/>
      <c r="U5" s="150"/>
      <c r="V5" s="150"/>
      <c r="W5" s="150"/>
      <c r="X5" s="150"/>
      <c r="Y5" s="150"/>
      <c r="Z5" s="150"/>
      <c r="AA5" s="150"/>
      <c r="AB5" s="150"/>
      <c r="AC5" s="150"/>
      <c r="AD5" s="150"/>
      <c r="AE5" s="150"/>
      <c r="AF5" s="150"/>
      <c r="AG5" s="150"/>
      <c r="AH5" s="150"/>
    </row>
    <row r="6" spans="1:34" ht="14" x14ac:dyDescent="0.15">
      <c r="D6" s="150"/>
      <c r="E6" s="104" t="s">
        <v>76</v>
      </c>
      <c r="F6" s="105">
        <f>IF(C4&lt;H1,(F4*27.3/100),(F4*55.1/100))</f>
        <v>744.40100000000007</v>
      </c>
      <c r="G6" s="150"/>
      <c r="H6" s="150"/>
      <c r="J6" s="106" t="s">
        <v>136</v>
      </c>
      <c r="K6" s="107">
        <f>F5*20/100</f>
        <v>178.68020000000001</v>
      </c>
      <c r="L6" s="108">
        <f>F5*30/100</f>
        <v>268.02030000000002</v>
      </c>
      <c r="M6" s="110">
        <f>F5*50/100</f>
        <v>446.70050000000003</v>
      </c>
      <c r="N6" s="150"/>
      <c r="O6" s="150"/>
      <c r="P6" s="150"/>
      <c r="Q6" s="150"/>
      <c r="R6" s="150"/>
      <c r="S6" s="150"/>
      <c r="T6" s="150"/>
      <c r="U6" s="150"/>
      <c r="V6" s="150"/>
      <c r="W6" s="150"/>
      <c r="X6" s="150"/>
      <c r="Y6" s="150"/>
      <c r="Z6" s="150"/>
      <c r="AA6" s="150"/>
      <c r="AB6" s="150"/>
      <c r="AC6" s="150"/>
      <c r="AD6" s="150"/>
      <c r="AE6" s="150"/>
      <c r="AF6" s="150"/>
      <c r="AG6" s="150"/>
      <c r="AH6" s="150"/>
    </row>
    <row r="7" spans="1:34" ht="15" thickBot="1" x14ac:dyDescent="0.2">
      <c r="A7" s="150"/>
      <c r="B7" s="150"/>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row>
    <row r="8" spans="1:34" ht="14" x14ac:dyDescent="0.15">
      <c r="A8" s="111" t="s">
        <v>109</v>
      </c>
      <c r="B8" s="112"/>
      <c r="C8" s="112"/>
      <c r="D8" s="112"/>
      <c r="E8" s="112"/>
      <c r="F8" s="112"/>
      <c r="G8" s="112"/>
      <c r="H8" s="112"/>
      <c r="I8" s="112"/>
      <c r="J8" s="112"/>
      <c r="K8" s="112"/>
      <c r="L8" s="112"/>
      <c r="M8" s="112"/>
      <c r="N8" s="112"/>
      <c r="O8" s="112"/>
      <c r="P8" s="112"/>
      <c r="Q8" s="112"/>
      <c r="R8" s="112"/>
      <c r="S8" s="112"/>
      <c r="T8" s="112"/>
      <c r="U8" s="112"/>
      <c r="V8" s="112"/>
      <c r="W8" s="113"/>
      <c r="X8" s="150"/>
      <c r="Y8" s="150"/>
      <c r="Z8" s="150"/>
      <c r="AA8" s="150"/>
      <c r="AB8" s="150"/>
      <c r="AC8" s="150"/>
      <c r="AD8" s="150"/>
      <c r="AE8" s="150"/>
      <c r="AF8" s="150"/>
      <c r="AG8" s="150"/>
      <c r="AH8" s="150"/>
    </row>
    <row r="9" spans="1:34" ht="90" x14ac:dyDescent="0.15">
      <c r="A9" s="266" t="s">
        <v>147</v>
      </c>
      <c r="B9" s="267" t="s">
        <v>133</v>
      </c>
      <c r="C9" s="268" t="s">
        <v>184</v>
      </c>
      <c r="D9" s="268" t="s">
        <v>16</v>
      </c>
      <c r="E9" s="269" t="s">
        <v>185</v>
      </c>
      <c r="F9" s="269" t="s">
        <v>186</v>
      </c>
      <c r="G9" s="268" t="s">
        <v>74</v>
      </c>
      <c r="H9" s="275" t="s">
        <v>34</v>
      </c>
      <c r="I9" s="276" t="s">
        <v>121</v>
      </c>
      <c r="J9" s="270" t="s">
        <v>35</v>
      </c>
      <c r="K9" s="271" t="s">
        <v>119</v>
      </c>
      <c r="L9" s="271" t="s">
        <v>63</v>
      </c>
      <c r="M9" s="271" t="s">
        <v>91</v>
      </c>
      <c r="N9" s="271" t="s">
        <v>150</v>
      </c>
      <c r="O9" s="272" t="s">
        <v>200</v>
      </c>
      <c r="P9" s="277" t="s">
        <v>102</v>
      </c>
      <c r="Q9" s="277" t="s">
        <v>29</v>
      </c>
      <c r="R9" s="277" t="s">
        <v>226</v>
      </c>
      <c r="S9" s="277" t="s">
        <v>100</v>
      </c>
      <c r="T9" s="272" t="s">
        <v>101</v>
      </c>
      <c r="U9" s="272" t="s">
        <v>174</v>
      </c>
      <c r="V9" s="271" t="s">
        <v>142</v>
      </c>
      <c r="W9" s="273" t="s">
        <v>143</v>
      </c>
      <c r="X9" s="150"/>
      <c r="Y9" s="150"/>
      <c r="Z9" s="150"/>
      <c r="AA9" s="150"/>
      <c r="AB9" s="150"/>
      <c r="AC9" s="150"/>
      <c r="AD9" s="150"/>
      <c r="AE9" s="150"/>
      <c r="AF9" s="150"/>
      <c r="AG9" s="150"/>
      <c r="AH9" s="150"/>
    </row>
    <row r="10" spans="1:34" ht="14" x14ac:dyDescent="0.15">
      <c r="A10" s="114" t="str">
        <f>'Tariffs 2019'!K2</f>
        <v>ActewAGL</v>
      </c>
      <c r="B10" s="38" t="str">
        <f>'Tariffs 2019'!L2</f>
        <v>Pay on Time</v>
      </c>
      <c r="C10" s="115">
        <f>91*'Tariffs 2019'!M2/100</f>
        <v>89.477818181818165</v>
      </c>
      <c r="D10" s="115">
        <f>$F$5*'Tariffs 2019'!N2/100</f>
        <v>205.07613863636365</v>
      </c>
      <c r="E10" s="115">
        <v>0</v>
      </c>
      <c r="F10" s="115">
        <v>0</v>
      </c>
      <c r="G10" s="115">
        <f>SUM(C10:F10)</f>
        <v>294.5539568181818</v>
      </c>
      <c r="H10" s="131">
        <f>(G10-C10)*4</f>
        <v>820.30455454545449</v>
      </c>
      <c r="I10" s="116">
        <f>G10*4</f>
        <v>1178.2158272727272</v>
      </c>
      <c r="J10" s="117">
        <f>I10*1.1</f>
        <v>1296.0374100000001</v>
      </c>
      <c r="K10" s="38">
        <f>'Tariffs 2019'!AT2</f>
        <v>0</v>
      </c>
      <c r="L10" s="38">
        <f>'Tariffs 2019'!AU2</f>
        <v>0</v>
      </c>
      <c r="M10" s="38">
        <f>'Tariffs 2019'!AV2</f>
        <v>0</v>
      </c>
      <c r="N10" s="38">
        <f>'Tariffs 2019'!AW2</f>
        <v>25</v>
      </c>
      <c r="O10" s="118">
        <f>($F$6*'Tariffs 2019'!AQ2/100)*4</f>
        <v>238.20832000000001</v>
      </c>
      <c r="P10" s="117">
        <f>I10</f>
        <v>1178.2158272727272</v>
      </c>
      <c r="Q10" s="117">
        <f>P10-(H10*N10/100)</f>
        <v>973.13968863636364</v>
      </c>
      <c r="R10" s="117">
        <f>P10-O10</f>
        <v>940.00750727272725</v>
      </c>
      <c r="S10" s="117">
        <f>Q10-O10</f>
        <v>734.93136863636369</v>
      </c>
      <c r="T10" s="119">
        <f>R10*1.1</f>
        <v>1034.0082580000001</v>
      </c>
      <c r="U10" s="119">
        <f>S10*1.1</f>
        <v>808.42450550000012</v>
      </c>
      <c r="V10" s="120">
        <f>'Tariffs 2019'!BF2</f>
        <v>0</v>
      </c>
      <c r="W10" s="121" t="str">
        <f>'Tariffs 2019'!BG2</f>
        <v>n</v>
      </c>
      <c r="X10" s="150"/>
      <c r="Y10" s="150"/>
      <c r="Z10" s="150"/>
      <c r="AA10" s="150"/>
      <c r="AB10" s="150"/>
      <c r="AC10" s="150"/>
      <c r="AD10" s="150"/>
      <c r="AE10" s="150"/>
      <c r="AF10" s="150"/>
      <c r="AG10" s="150"/>
      <c r="AH10" s="150"/>
    </row>
    <row r="11" spans="1:34" ht="14" x14ac:dyDescent="0.15">
      <c r="A11" s="114" t="str">
        <f>'Tariffs 2019'!K3</f>
        <v>EnergyAustralia</v>
      </c>
      <c r="B11" s="38" t="str">
        <f>'Tariffs 2019'!L3</f>
        <v>Total Plan Home</v>
      </c>
      <c r="C11" s="115">
        <f>91*'Tariffs 2019'!M3/100</f>
        <v>71.799000000000007</v>
      </c>
      <c r="D11" s="115">
        <f>$F$5*'Tariffs 2019'!N3/100</f>
        <v>203.15938740000001</v>
      </c>
      <c r="E11" s="115">
        <v>0</v>
      </c>
      <c r="F11" s="115">
        <v>0</v>
      </c>
      <c r="G11" s="115">
        <f t="shared" ref="G11:G12" si="0">SUM(C11:F11)</f>
        <v>274.95838739999999</v>
      </c>
      <c r="H11" s="131">
        <f t="shared" ref="H11:H12" si="1">(G11-C11)*4</f>
        <v>812.63754959999994</v>
      </c>
      <c r="I11" s="116">
        <f t="shared" ref="I11:I12" si="2">G11*4</f>
        <v>1099.8335496</v>
      </c>
      <c r="J11" s="117">
        <f t="shared" ref="J11:J12" si="3">I11*1.1</f>
        <v>1209.81690456</v>
      </c>
      <c r="K11" s="38">
        <f>'Tariffs 2019'!AT3</f>
        <v>9</v>
      </c>
      <c r="L11" s="38">
        <f>'Tariffs 2019'!AU3</f>
        <v>0</v>
      </c>
      <c r="M11" s="38">
        <f>'Tariffs 2019'!AV3</f>
        <v>0</v>
      </c>
      <c r="N11" s="38">
        <f>'Tariffs 2019'!AW3</f>
        <v>0</v>
      </c>
      <c r="O11" s="118">
        <f>($F$6*'Tariffs 2019'!AQ3/100)*4</f>
        <v>0</v>
      </c>
      <c r="P11" s="117">
        <f>I11-(I11*K11/100)</f>
        <v>1000.8485301359999</v>
      </c>
      <c r="Q11" s="117">
        <f>P11</f>
        <v>1000.8485301359999</v>
      </c>
      <c r="R11" s="117">
        <f>P11-O11</f>
        <v>1000.8485301359999</v>
      </c>
      <c r="S11" s="117">
        <f t="shared" ref="S11:S12" si="4">Q11-O11</f>
        <v>1000.8485301359999</v>
      </c>
      <c r="T11" s="119">
        <f t="shared" ref="T11:U11" si="5">R11*1.1</f>
        <v>1100.9333831495999</v>
      </c>
      <c r="U11" s="119">
        <f t="shared" si="5"/>
        <v>1100.9333831495999</v>
      </c>
      <c r="V11" s="120">
        <f>'Tariffs 2019'!BF3</f>
        <v>0</v>
      </c>
      <c r="W11" s="121" t="str">
        <f>'Tariffs 2019'!BG3</f>
        <v>n</v>
      </c>
      <c r="X11" s="150"/>
      <c r="Y11" s="150"/>
      <c r="Z11" s="150"/>
      <c r="AA11" s="150"/>
      <c r="AB11" s="150"/>
      <c r="AC11" s="150"/>
      <c r="AD11" s="150"/>
      <c r="AE11" s="150"/>
      <c r="AF11" s="150"/>
      <c r="AG11" s="150"/>
      <c r="AH11" s="150"/>
    </row>
    <row r="12" spans="1:34" ht="14" x14ac:dyDescent="0.15">
      <c r="A12" s="114" t="str">
        <f>'Tariffs 2019'!K4</f>
        <v>Origin Energy</v>
      </c>
      <c r="B12" s="38" t="str">
        <f>'Tariffs 2019'!L4</f>
        <v>Solar Boost</v>
      </c>
      <c r="C12" s="115">
        <f>91*'Tariffs 2019'!M4/100</f>
        <v>82.11509090909091</v>
      </c>
      <c r="D12" s="115">
        <f>$F$5*'Tariffs 2019'!N4/100</f>
        <v>195.73603727272729</v>
      </c>
      <c r="E12" s="115">
        <v>0</v>
      </c>
      <c r="F12" s="115">
        <v>0</v>
      </c>
      <c r="G12" s="115">
        <f t="shared" si="0"/>
        <v>277.85112818181818</v>
      </c>
      <c r="H12" s="131">
        <f t="shared" si="1"/>
        <v>782.94414909090915</v>
      </c>
      <c r="I12" s="116">
        <f t="shared" si="2"/>
        <v>1111.4045127272727</v>
      </c>
      <c r="J12" s="117">
        <f t="shared" si="3"/>
        <v>1222.5449640000002</v>
      </c>
      <c r="K12" s="38">
        <f>'Tariffs 2019'!AT4</f>
        <v>10</v>
      </c>
      <c r="L12" s="38">
        <f>'Tariffs 2019'!AU4</f>
        <v>0</v>
      </c>
      <c r="M12" s="38">
        <f>'Tariffs 2019'!AV4</f>
        <v>0</v>
      </c>
      <c r="N12" s="38">
        <f>'Tariffs 2019'!AW4</f>
        <v>0</v>
      </c>
      <c r="O12" s="118">
        <f>($F$6*'Tariffs 2019'!AQ4/100)*4</f>
        <v>446.64060000000006</v>
      </c>
      <c r="P12" s="117">
        <f>J12-(J12*K12/100)</f>
        <v>1100.2904676000001</v>
      </c>
      <c r="Q12" s="117">
        <f>P12</f>
        <v>1100.2904676000001</v>
      </c>
      <c r="R12" s="117">
        <f>P12-O12</f>
        <v>653.64986759999999</v>
      </c>
      <c r="S12" s="117">
        <f t="shared" si="4"/>
        <v>653.64986759999999</v>
      </c>
      <c r="T12" s="119">
        <f>R12</f>
        <v>653.64986759999999</v>
      </c>
      <c r="U12" s="119">
        <f>S12</f>
        <v>653.64986759999999</v>
      </c>
      <c r="V12" s="120">
        <f>'Tariffs 2019'!BF4</f>
        <v>0</v>
      </c>
      <c r="W12" s="121" t="str">
        <f>'Tariffs 2019'!BG4</f>
        <v>n</v>
      </c>
      <c r="X12" s="150"/>
      <c r="Y12" s="150"/>
      <c r="Z12" s="150"/>
      <c r="AA12" s="150"/>
      <c r="AB12" s="150"/>
      <c r="AC12" s="150"/>
      <c r="AD12" s="150"/>
      <c r="AE12" s="150"/>
      <c r="AF12" s="150"/>
      <c r="AG12" s="150"/>
      <c r="AH12" s="150"/>
    </row>
    <row r="13" spans="1:34" ht="14" x14ac:dyDescent="0.15">
      <c r="A13" s="114" t="str">
        <f>'Tariffs 2019'!K5</f>
        <v>Red Energy</v>
      </c>
      <c r="B13" s="38" t="str">
        <f>'Tariffs 2019'!L5</f>
        <v>Easy Saver</v>
      </c>
      <c r="C13" s="115">
        <f>91*'Tariffs 2019'!M5/100</f>
        <v>89.477818181818165</v>
      </c>
      <c r="D13" s="115">
        <f>$F$5*'Tariffs 2019'!N5/100</f>
        <v>205.07613863636365</v>
      </c>
      <c r="E13" s="115">
        <v>0</v>
      </c>
      <c r="F13" s="115">
        <v>0</v>
      </c>
      <c r="G13" s="115">
        <f t="shared" ref="G13:G15" si="6">SUM(C13:F13)</f>
        <v>294.5539568181818</v>
      </c>
      <c r="H13" s="131">
        <f t="shared" ref="H13:H15" si="7">(G13-C13)*4</f>
        <v>820.30455454545449</v>
      </c>
      <c r="I13" s="116">
        <f t="shared" ref="I13:I15" si="8">G13*4</f>
        <v>1178.2158272727272</v>
      </c>
      <c r="J13" s="117">
        <f t="shared" ref="J13:J15" si="9">I13*1.1</f>
        <v>1296.0374100000001</v>
      </c>
      <c r="K13" s="38">
        <f>'Tariffs 2019'!AT5</f>
        <v>0</v>
      </c>
      <c r="L13" s="38">
        <f>'Tariffs 2019'!AU5</f>
        <v>0</v>
      </c>
      <c r="M13" s="38">
        <f>'Tariffs 2019'!AV5</f>
        <v>10</v>
      </c>
      <c r="N13" s="38">
        <f>'Tariffs 2019'!AW5</f>
        <v>0</v>
      </c>
      <c r="O13" s="118">
        <f>($F$6*'Tariffs 2019'!AQ5/100)*4</f>
        <v>0</v>
      </c>
      <c r="P13" s="117">
        <f>J13</f>
        <v>1296.0374100000001</v>
      </c>
      <c r="Q13" s="117">
        <f>P13-(P13*M13/100)</f>
        <v>1166.433669</v>
      </c>
      <c r="R13" s="117">
        <f t="shared" ref="R13:R15" si="10">P13-O13</f>
        <v>1296.0374100000001</v>
      </c>
      <c r="S13" s="117">
        <f t="shared" ref="S13:S15" si="11">Q13-O13</f>
        <v>1166.433669</v>
      </c>
      <c r="T13" s="119">
        <f>R13</f>
        <v>1296.0374100000001</v>
      </c>
      <c r="U13" s="119">
        <f>S13</f>
        <v>1166.433669</v>
      </c>
      <c r="V13" s="120">
        <f>'Tariffs 2019'!BF5</f>
        <v>0</v>
      </c>
      <c r="W13" s="121" t="str">
        <f>'Tariffs 2019'!BG5</f>
        <v>n</v>
      </c>
      <c r="X13" s="150"/>
      <c r="Y13" s="150"/>
      <c r="Z13" s="150"/>
      <c r="AA13" s="150"/>
      <c r="AB13" s="150"/>
      <c r="AC13" s="150"/>
      <c r="AD13" s="150"/>
      <c r="AE13" s="150"/>
      <c r="AF13" s="150"/>
      <c r="AG13" s="150"/>
      <c r="AH13" s="150"/>
    </row>
    <row r="14" spans="1:34" ht="14" x14ac:dyDescent="0.15">
      <c r="A14" s="114" t="str">
        <f>'Tariffs 2019'!K6</f>
        <v>Energy Locals</v>
      </c>
      <c r="B14" s="38" t="str">
        <f>'Tariffs 2019'!L6</f>
        <v>Solar Promise</v>
      </c>
      <c r="C14" s="115">
        <f>(91*'Tariffs 2019'!M6/100)+'Tariffs 2019'!BJ6/4</f>
        <v>128.87727272727273</v>
      </c>
      <c r="D14" s="115">
        <f>$F$5*'Tariffs 2019'!N6/100</f>
        <v>178.68020000000001</v>
      </c>
      <c r="E14" s="115">
        <v>0</v>
      </c>
      <c r="F14" s="115">
        <v>0</v>
      </c>
      <c r="G14" s="115">
        <f t="shared" si="6"/>
        <v>307.55747272727274</v>
      </c>
      <c r="H14" s="131">
        <f t="shared" si="7"/>
        <v>714.72080000000005</v>
      </c>
      <c r="I14" s="116">
        <f t="shared" si="8"/>
        <v>1230.229890909091</v>
      </c>
      <c r="J14" s="117">
        <f t="shared" si="9"/>
        <v>1353.2528800000002</v>
      </c>
      <c r="K14" s="38">
        <f>'Tariffs 2019'!AT6</f>
        <v>0</v>
      </c>
      <c r="L14" s="38">
        <f>'Tariffs 2019'!AU6</f>
        <v>0</v>
      </c>
      <c r="M14" s="38">
        <f>'Tariffs 2019'!AV6</f>
        <v>0</v>
      </c>
      <c r="N14" s="38">
        <f>'Tariffs 2019'!AW6</f>
        <v>0</v>
      </c>
      <c r="O14" s="118">
        <f>($F$6*'Tariffs 2019'!AQ6/100)*4</f>
        <v>476.41664000000003</v>
      </c>
      <c r="P14" s="117">
        <f>I14</f>
        <v>1230.229890909091</v>
      </c>
      <c r="Q14" s="117">
        <f>P14</f>
        <v>1230.229890909091</v>
      </c>
      <c r="R14" s="117">
        <f t="shared" si="10"/>
        <v>753.81325090909093</v>
      </c>
      <c r="S14" s="117">
        <f t="shared" si="11"/>
        <v>753.81325090909093</v>
      </c>
      <c r="T14" s="119">
        <f t="shared" ref="T14:T15" si="12">R14*1.1</f>
        <v>829.1945760000001</v>
      </c>
      <c r="U14" s="119">
        <f t="shared" ref="U14:U15" si="13">S14*1.1</f>
        <v>829.1945760000001</v>
      </c>
      <c r="V14" s="120">
        <f>'Tariffs 2019'!BF6</f>
        <v>0</v>
      </c>
      <c r="W14" s="121" t="str">
        <f>'Tariffs 2019'!BG6</f>
        <v>n</v>
      </c>
      <c r="X14" s="150"/>
      <c r="Y14" s="150"/>
      <c r="Z14" s="150"/>
      <c r="AA14" s="150"/>
      <c r="AB14" s="150"/>
      <c r="AC14" s="150"/>
      <c r="AD14" s="150"/>
      <c r="AE14" s="150"/>
      <c r="AF14" s="150"/>
      <c r="AG14" s="150"/>
      <c r="AH14" s="150"/>
    </row>
    <row r="15" spans="1:34" ht="15" thickBot="1" x14ac:dyDescent="0.2">
      <c r="A15" s="122" t="str">
        <f>'Tariffs 2019'!K7</f>
        <v>Powerclub</v>
      </c>
      <c r="B15" s="123" t="str">
        <f>'Tariffs 2019'!L7</f>
        <v>Powerbank Solar</v>
      </c>
      <c r="C15" s="124">
        <f>(91*'Tariffs 2019'!M7/100)+'Tariffs 2019'!BJ7/4</f>
        <v>69.436545454545453</v>
      </c>
      <c r="D15" s="124">
        <f>$F$5*'Tariffs 2019'!N7/100</f>
        <v>178.84263654545455</v>
      </c>
      <c r="E15" s="124">
        <v>0</v>
      </c>
      <c r="F15" s="124">
        <v>0</v>
      </c>
      <c r="G15" s="124">
        <f t="shared" si="6"/>
        <v>248.27918199999999</v>
      </c>
      <c r="H15" s="132">
        <f t="shared" si="7"/>
        <v>715.3705461818181</v>
      </c>
      <c r="I15" s="125">
        <f t="shared" si="8"/>
        <v>993.11672799999997</v>
      </c>
      <c r="J15" s="126">
        <f t="shared" si="9"/>
        <v>1092.4284008</v>
      </c>
      <c r="K15" s="123">
        <f>'Tariffs 2019'!AT7</f>
        <v>0</v>
      </c>
      <c r="L15" s="123">
        <f>'Tariffs 2019'!AU7</f>
        <v>0</v>
      </c>
      <c r="M15" s="123">
        <f>'Tariffs 2019'!AV7</f>
        <v>0</v>
      </c>
      <c r="N15" s="123">
        <f>'Tariffs 2019'!AW7</f>
        <v>0</v>
      </c>
      <c r="O15" s="127">
        <f>($F$6*'Tariffs 2019'!AQ7/100)*4</f>
        <v>297.7604</v>
      </c>
      <c r="P15" s="126">
        <f>I15</f>
        <v>993.11672799999997</v>
      </c>
      <c r="Q15" s="126">
        <f>P15</f>
        <v>993.11672799999997</v>
      </c>
      <c r="R15" s="126">
        <f t="shared" si="10"/>
        <v>695.35632799999996</v>
      </c>
      <c r="S15" s="126">
        <f t="shared" si="11"/>
        <v>695.35632799999996</v>
      </c>
      <c r="T15" s="128">
        <f t="shared" si="12"/>
        <v>764.89196079999999</v>
      </c>
      <c r="U15" s="128">
        <f t="shared" si="13"/>
        <v>764.89196079999999</v>
      </c>
      <c r="V15" s="129">
        <f>'Tariffs 2019'!BF7</f>
        <v>0</v>
      </c>
      <c r="W15" s="130" t="str">
        <f>'Tariffs 2019'!BG7</f>
        <v>n</v>
      </c>
      <c r="X15" s="150"/>
      <c r="Y15" s="150"/>
      <c r="Z15" s="150"/>
      <c r="AA15" s="150"/>
      <c r="AB15" s="150"/>
      <c r="AC15" s="150"/>
      <c r="AD15" s="150"/>
      <c r="AE15" s="150"/>
      <c r="AF15" s="150"/>
      <c r="AG15" s="150"/>
      <c r="AH15" s="150"/>
    </row>
    <row r="16" spans="1:34" ht="14" x14ac:dyDescent="0.15">
      <c r="X16" s="150"/>
      <c r="Y16" s="150"/>
      <c r="Z16" s="150"/>
      <c r="AA16" s="150"/>
      <c r="AB16" s="150"/>
      <c r="AC16" s="150"/>
      <c r="AD16" s="150"/>
      <c r="AE16" s="150"/>
      <c r="AF16" s="150"/>
      <c r="AG16" s="150"/>
      <c r="AH16" s="150"/>
    </row>
    <row r="17" spans="1:34" ht="15" thickBot="1" x14ac:dyDescent="0.2">
      <c r="X17" s="150"/>
      <c r="Y17" s="150"/>
      <c r="Z17" s="150"/>
      <c r="AA17" s="150"/>
      <c r="AB17" s="150"/>
      <c r="AC17" s="150"/>
      <c r="AD17" s="150"/>
      <c r="AE17" s="150"/>
      <c r="AF17" s="150"/>
      <c r="AG17" s="150"/>
      <c r="AH17" s="150"/>
    </row>
    <row r="18" spans="1:34" ht="14" x14ac:dyDescent="0.15">
      <c r="A18" s="111" t="s">
        <v>111</v>
      </c>
      <c r="B18" s="112"/>
      <c r="C18" s="112"/>
      <c r="D18" s="112"/>
      <c r="E18" s="112"/>
      <c r="F18" s="112"/>
      <c r="G18" s="112"/>
      <c r="H18" s="112"/>
      <c r="I18" s="112"/>
      <c r="J18" s="112"/>
      <c r="K18" s="112"/>
      <c r="L18" s="112"/>
      <c r="M18" s="112"/>
      <c r="N18" s="112"/>
      <c r="O18" s="112"/>
      <c r="P18" s="112"/>
      <c r="Q18" s="112"/>
      <c r="R18" s="112"/>
      <c r="S18" s="112"/>
      <c r="T18" s="112"/>
      <c r="U18" s="112"/>
      <c r="V18" s="112"/>
      <c r="W18" s="113"/>
      <c r="X18" s="150"/>
      <c r="Y18" s="150"/>
      <c r="Z18" s="150"/>
      <c r="AA18" s="150"/>
      <c r="AB18" s="150"/>
      <c r="AC18" s="150"/>
      <c r="AD18" s="150"/>
      <c r="AE18" s="150"/>
      <c r="AF18" s="150"/>
      <c r="AG18" s="150"/>
      <c r="AH18" s="150"/>
    </row>
    <row r="19" spans="1:34" ht="90" x14ac:dyDescent="0.15">
      <c r="A19" s="266" t="s">
        <v>147</v>
      </c>
      <c r="B19" s="267" t="s">
        <v>133</v>
      </c>
      <c r="C19" s="268" t="s">
        <v>184</v>
      </c>
      <c r="D19" s="268" t="s">
        <v>16</v>
      </c>
      <c r="E19" s="269" t="s">
        <v>185</v>
      </c>
      <c r="F19" s="269" t="s">
        <v>186</v>
      </c>
      <c r="G19" s="268" t="s">
        <v>74</v>
      </c>
      <c r="H19" s="275" t="s">
        <v>34</v>
      </c>
      <c r="I19" s="276" t="s">
        <v>121</v>
      </c>
      <c r="J19" s="270" t="s">
        <v>35</v>
      </c>
      <c r="K19" s="271" t="s">
        <v>119</v>
      </c>
      <c r="L19" s="271" t="s">
        <v>63</v>
      </c>
      <c r="M19" s="271" t="s">
        <v>91</v>
      </c>
      <c r="N19" s="271" t="s">
        <v>150</v>
      </c>
      <c r="O19" s="272" t="s">
        <v>200</v>
      </c>
      <c r="P19" s="277" t="s">
        <v>102</v>
      </c>
      <c r="Q19" s="277" t="s">
        <v>29</v>
      </c>
      <c r="R19" s="277" t="s">
        <v>226</v>
      </c>
      <c r="S19" s="277" t="s">
        <v>100</v>
      </c>
      <c r="T19" s="272" t="s">
        <v>101</v>
      </c>
      <c r="U19" s="272" t="s">
        <v>174</v>
      </c>
      <c r="V19" s="271" t="s">
        <v>142</v>
      </c>
      <c r="W19" s="273" t="s">
        <v>143</v>
      </c>
      <c r="X19" s="150"/>
      <c r="Y19" s="150"/>
      <c r="Z19" s="150"/>
      <c r="AA19" s="150"/>
      <c r="AB19" s="150"/>
      <c r="AC19" s="150"/>
      <c r="AD19" s="150"/>
      <c r="AE19" s="150"/>
      <c r="AF19" s="150"/>
      <c r="AG19" s="150"/>
      <c r="AH19" s="150"/>
    </row>
    <row r="20" spans="1:34" ht="14" x14ac:dyDescent="0.15">
      <c r="A20" s="114" t="str">
        <f>'Tariffs 2019'!K8</f>
        <v>ActewAGL</v>
      </c>
      <c r="B20" s="38" t="str">
        <f>'Tariffs 2019'!L8</f>
        <v xml:space="preserve">Pay on Time </v>
      </c>
      <c r="C20" s="131">
        <f>91*'Tariffs 2019'!M8/100</f>
        <v>109.61363636363635</v>
      </c>
      <c r="D20" s="131">
        <f>IF($F$5&gt;='Tariffs 2019'!P8,('Tariffs 2019'!P8*'Tariffs 2019'!N8/100),($F$5*'Tariffs 2019'!N8/100))</f>
        <v>194.11167181818178</v>
      </c>
      <c r="E20" s="131">
        <v>0</v>
      </c>
      <c r="F20" s="131">
        <f>IF(($F$5&lt;'Tariffs 2019'!P8),(0),($F$5-'Tariffs 2019'!P8)*'Tariffs 2019'!Q8/100)</f>
        <v>0</v>
      </c>
      <c r="G20" s="131">
        <f>SUM(C20:F20)</f>
        <v>303.72530818181815</v>
      </c>
      <c r="H20" s="131">
        <f>(G20-C20)*4</f>
        <v>776.44668727272722</v>
      </c>
      <c r="I20" s="116">
        <f t="shared" ref="I20:I21" si="14">G20*4</f>
        <v>1214.9012327272726</v>
      </c>
      <c r="J20" s="117">
        <f t="shared" ref="J20:J21" si="15">I20*1.1</f>
        <v>1336.3913559999999</v>
      </c>
      <c r="K20" s="38">
        <f>'Tariffs 2019'!AT8</f>
        <v>0</v>
      </c>
      <c r="L20" s="38">
        <f>'Tariffs 2019'!AU8</f>
        <v>0</v>
      </c>
      <c r="M20" s="38">
        <f>'Tariffs 2019'!AV8</f>
        <v>0</v>
      </c>
      <c r="N20" s="38">
        <f>'Tariffs 2019'!AW8</f>
        <v>25</v>
      </c>
      <c r="O20" s="118">
        <f>($F$6*'Tariffs 2019'!AQ8/100)*4</f>
        <v>238.20832000000001</v>
      </c>
      <c r="P20" s="117">
        <f>I20</f>
        <v>1214.9012327272726</v>
      </c>
      <c r="Q20" s="117">
        <f>P20-(H20*N20/100)</f>
        <v>1020.7895609090908</v>
      </c>
      <c r="R20" s="117">
        <f>P20-O20</f>
        <v>976.69291272727264</v>
      </c>
      <c r="S20" s="117">
        <f>Q20-O20</f>
        <v>782.58124090909087</v>
      </c>
      <c r="T20" s="119">
        <f>R20*1.1</f>
        <v>1074.362204</v>
      </c>
      <c r="U20" s="119">
        <f>S20*1.1</f>
        <v>860.83936500000004</v>
      </c>
      <c r="V20" s="120">
        <f>'Tariffs 2019'!BF8</f>
        <v>0</v>
      </c>
      <c r="W20" s="121" t="str">
        <f>'Tariffs 2019'!BG8</f>
        <v>n</v>
      </c>
      <c r="X20" s="150"/>
      <c r="Y20" s="150"/>
      <c r="Z20" s="150"/>
      <c r="AA20" s="150"/>
      <c r="AB20" s="150"/>
      <c r="AC20" s="150"/>
      <c r="AD20" s="150"/>
      <c r="AE20" s="150"/>
      <c r="AF20" s="150"/>
      <c r="AG20" s="150"/>
      <c r="AH20" s="150"/>
    </row>
    <row r="21" spans="1:34" ht="15" thickBot="1" x14ac:dyDescent="0.2">
      <c r="A21" s="122" t="str">
        <f>'Tariffs 2019'!K9</f>
        <v>Origin Energy</v>
      </c>
      <c r="B21" s="123" t="str">
        <f>'Tariffs 2019'!L9</f>
        <v>Solar Boost</v>
      </c>
      <c r="C21" s="132">
        <f>91*'Tariffs 2019'!M9/100</f>
        <v>102.60663636363635</v>
      </c>
      <c r="D21" s="132">
        <f>IF($F$5&gt;='Tariffs 2019'!P9,('Tariffs 2019'!P9*'Tariffs 2019'!N9/100),($F$5*'Tariffs 2019'!N9/100))</f>
        <v>177.70558072727272</v>
      </c>
      <c r="E21" s="132">
        <v>0</v>
      </c>
      <c r="F21" s="132">
        <f>IF(($F$5&lt;'Tariffs 2019'!P9),(0),($F$5-'Tariffs 2019'!P9)*'Tariffs 2019'!Q9/100)</f>
        <v>0</v>
      </c>
      <c r="G21" s="132">
        <f>SUM(C21:F21)</f>
        <v>280.31221709090909</v>
      </c>
      <c r="H21" s="132">
        <f t="shared" ref="H21" si="16">(G21-C21)*4</f>
        <v>710.82232290909087</v>
      </c>
      <c r="I21" s="125">
        <f t="shared" si="14"/>
        <v>1121.2488683636363</v>
      </c>
      <c r="J21" s="126">
        <f t="shared" si="15"/>
        <v>1233.3737552</v>
      </c>
      <c r="K21" s="123">
        <f>'Tariffs 2019'!AT9</f>
        <v>10</v>
      </c>
      <c r="L21" s="123">
        <f>'Tariffs 2019'!AU9</f>
        <v>0</v>
      </c>
      <c r="M21" s="123">
        <f>'Tariffs 2019'!AV9</f>
        <v>0</v>
      </c>
      <c r="N21" s="123">
        <f>'Tariffs 2019'!AW9</f>
        <v>0</v>
      </c>
      <c r="O21" s="127">
        <f>($F$6*'Tariffs 2019'!AQ9/100)*4</f>
        <v>446.64060000000006</v>
      </c>
      <c r="P21" s="126">
        <f>J21-(J21*K21/100)</f>
        <v>1110.03637968</v>
      </c>
      <c r="Q21" s="126">
        <f>P21</f>
        <v>1110.03637968</v>
      </c>
      <c r="R21" s="126">
        <f>P21-O21</f>
        <v>663.39577967999992</v>
      </c>
      <c r="S21" s="126">
        <f t="shared" ref="S21" si="17">Q21-O21</f>
        <v>663.39577967999992</v>
      </c>
      <c r="T21" s="128">
        <f>R21</f>
        <v>663.39577967999992</v>
      </c>
      <c r="U21" s="128">
        <f>S21</f>
        <v>663.39577967999992</v>
      </c>
      <c r="V21" s="129">
        <f>'Tariffs 2019'!BF9</f>
        <v>0</v>
      </c>
      <c r="W21" s="130" t="str">
        <f>'Tariffs 2019'!BG9</f>
        <v>n</v>
      </c>
      <c r="X21" s="150"/>
      <c r="Y21" s="150"/>
      <c r="Z21" s="150"/>
      <c r="AA21" s="150"/>
      <c r="AB21" s="150"/>
      <c r="AC21" s="150"/>
      <c r="AD21" s="150"/>
      <c r="AE21" s="150"/>
      <c r="AF21" s="150"/>
      <c r="AG21" s="150"/>
      <c r="AH21" s="150"/>
    </row>
    <row r="22" spans="1:34" ht="14" x14ac:dyDescent="0.15">
      <c r="X22" s="150"/>
      <c r="Y22" s="150"/>
      <c r="Z22" s="150"/>
      <c r="AA22" s="150"/>
      <c r="AB22" s="150"/>
      <c r="AC22" s="150"/>
      <c r="AD22" s="150"/>
      <c r="AE22" s="150"/>
      <c r="AF22" s="150"/>
      <c r="AG22" s="150"/>
      <c r="AH22" s="150"/>
    </row>
    <row r="23" spans="1:34" ht="15" thickBot="1" x14ac:dyDescent="0.2">
      <c r="X23" s="150"/>
      <c r="Y23" s="150"/>
      <c r="Z23" s="150"/>
      <c r="AA23" s="150"/>
      <c r="AB23" s="150"/>
      <c r="AC23" s="150"/>
      <c r="AD23" s="150"/>
      <c r="AE23" s="150"/>
      <c r="AF23" s="150"/>
      <c r="AG23" s="150"/>
      <c r="AH23" s="150"/>
    </row>
    <row r="24" spans="1:34" ht="14" x14ac:dyDescent="0.15">
      <c r="A24" s="111" t="s">
        <v>30</v>
      </c>
      <c r="B24" s="112"/>
      <c r="C24" s="112"/>
      <c r="D24" s="133"/>
      <c r="E24" s="133"/>
      <c r="F24" s="133"/>
      <c r="G24" s="134"/>
      <c r="H24" s="134"/>
      <c r="I24" s="112"/>
      <c r="J24" s="112"/>
      <c r="K24" s="112"/>
      <c r="L24" s="112"/>
      <c r="M24" s="112"/>
      <c r="N24" s="112"/>
      <c r="O24" s="112"/>
      <c r="P24" s="112"/>
      <c r="Q24" s="112"/>
      <c r="R24" s="112"/>
      <c r="S24" s="112"/>
      <c r="T24" s="112"/>
      <c r="U24" s="112"/>
      <c r="V24" s="112"/>
      <c r="W24" s="113"/>
      <c r="X24" s="150"/>
      <c r="Y24" s="150"/>
      <c r="Z24" s="150"/>
      <c r="AA24" s="150"/>
      <c r="AB24" s="150"/>
      <c r="AC24" s="150"/>
      <c r="AD24" s="150"/>
      <c r="AE24" s="150"/>
      <c r="AF24" s="150"/>
      <c r="AG24" s="150"/>
      <c r="AH24" s="150"/>
    </row>
    <row r="25" spans="1:34" ht="90" x14ac:dyDescent="0.15">
      <c r="A25" s="266" t="s">
        <v>147</v>
      </c>
      <c r="B25" s="267" t="s">
        <v>133</v>
      </c>
      <c r="C25" s="268" t="s">
        <v>184</v>
      </c>
      <c r="D25" s="268" t="s">
        <v>16</v>
      </c>
      <c r="E25" s="269" t="s">
        <v>186</v>
      </c>
      <c r="F25" s="268" t="s">
        <v>113</v>
      </c>
      <c r="G25" s="268" t="s">
        <v>74</v>
      </c>
      <c r="H25" s="275" t="s">
        <v>34</v>
      </c>
      <c r="I25" s="276" t="s">
        <v>121</v>
      </c>
      <c r="J25" s="270" t="s">
        <v>35</v>
      </c>
      <c r="K25" s="271" t="s">
        <v>119</v>
      </c>
      <c r="L25" s="271" t="s">
        <v>63</v>
      </c>
      <c r="M25" s="271" t="s">
        <v>91</v>
      </c>
      <c r="N25" s="271" t="s">
        <v>150</v>
      </c>
      <c r="O25" s="272" t="s">
        <v>200</v>
      </c>
      <c r="P25" s="277" t="s">
        <v>102</v>
      </c>
      <c r="Q25" s="277" t="s">
        <v>29</v>
      </c>
      <c r="R25" s="277" t="s">
        <v>226</v>
      </c>
      <c r="S25" s="277" t="s">
        <v>100</v>
      </c>
      <c r="T25" s="272" t="s">
        <v>101</v>
      </c>
      <c r="U25" s="272" t="s">
        <v>174</v>
      </c>
      <c r="V25" s="274" t="s">
        <v>142</v>
      </c>
      <c r="W25" s="273" t="s">
        <v>143</v>
      </c>
      <c r="X25" s="150"/>
      <c r="Y25" s="150"/>
      <c r="Z25" s="150"/>
      <c r="AA25" s="150"/>
      <c r="AB25" s="150"/>
      <c r="AC25" s="150"/>
      <c r="AD25" s="150"/>
      <c r="AE25" s="150"/>
      <c r="AF25" s="150"/>
      <c r="AG25" s="150"/>
      <c r="AH25" s="150"/>
    </row>
    <row r="26" spans="1:34" ht="14" x14ac:dyDescent="0.15">
      <c r="A26" s="114" t="str">
        <f>'Tariffs 2019'!K10</f>
        <v>ActewAGL</v>
      </c>
      <c r="B26" s="38" t="str">
        <f>'Tariffs 2019'!L10</f>
        <v>Pay on Time</v>
      </c>
      <c r="C26" s="131">
        <f>91*'Tariffs 2019'!M10/100</f>
        <v>89.477818181818165</v>
      </c>
      <c r="D26" s="131">
        <f>($K$5)*'Tariffs 2019'!N10/100</f>
        <v>143.55329704545454</v>
      </c>
      <c r="E26" s="131">
        <v>0</v>
      </c>
      <c r="F26" s="131">
        <f>($L$5)*'Tariffs 2019'!AE10/100</f>
        <v>38.205075490909095</v>
      </c>
      <c r="G26" s="131">
        <f>SUM(C26:F26)</f>
        <v>271.23619071818183</v>
      </c>
      <c r="H26" s="131">
        <f>(G26-C26)*4</f>
        <v>727.03349014545461</v>
      </c>
      <c r="I26" s="116">
        <f t="shared" ref="I26:I28" si="18">G26*4</f>
        <v>1084.9447628727273</v>
      </c>
      <c r="J26" s="117">
        <f t="shared" ref="J26:J28" si="19">I26*1.1</f>
        <v>1193.4392391600002</v>
      </c>
      <c r="K26" s="38">
        <f>'Tariffs 2019'!AT10</f>
        <v>0</v>
      </c>
      <c r="L26" s="38">
        <f>'Tariffs 2019'!AU10</f>
        <v>0</v>
      </c>
      <c r="M26" s="38">
        <f>'Tariffs 2019'!AV10</f>
        <v>0</v>
      </c>
      <c r="N26" s="38">
        <f>'Tariffs 2019'!AW10</f>
        <v>25</v>
      </c>
      <c r="O26" s="118">
        <f>($F$6*'Tariffs 2019'!AQ10/100)*4</f>
        <v>238.20832000000001</v>
      </c>
      <c r="P26" s="117">
        <f>I26</f>
        <v>1084.9447628727273</v>
      </c>
      <c r="Q26" s="117">
        <f>P26-(H26*N26/100)</f>
        <v>903.18639033636373</v>
      </c>
      <c r="R26" s="117">
        <f>P26-O26</f>
        <v>846.73644287272737</v>
      </c>
      <c r="S26" s="117">
        <f>Q26-O26</f>
        <v>664.97807033636377</v>
      </c>
      <c r="T26" s="119">
        <f>R26*1.1</f>
        <v>931.41008716000022</v>
      </c>
      <c r="U26" s="119">
        <f>S26*1.1</f>
        <v>731.47587737000026</v>
      </c>
      <c r="V26" s="120">
        <f>'Tariffs 2019'!BF10</f>
        <v>0</v>
      </c>
      <c r="W26" s="121" t="str">
        <f>'Tariffs 2019'!BG10</f>
        <v>n</v>
      </c>
      <c r="X26" s="150"/>
      <c r="Y26" s="150"/>
      <c r="Z26" s="150"/>
      <c r="AA26" s="150"/>
      <c r="AB26" s="150"/>
      <c r="AC26" s="150"/>
      <c r="AD26" s="150"/>
      <c r="AE26" s="150"/>
      <c r="AF26" s="150"/>
      <c r="AG26" s="150"/>
      <c r="AH26" s="150"/>
    </row>
    <row r="27" spans="1:34" ht="14" x14ac:dyDescent="0.15">
      <c r="A27" s="114" t="str">
        <f>'Tariffs 2019'!K11</f>
        <v>EnergyAustralia</v>
      </c>
      <c r="B27" s="38" t="str">
        <f>'Tariffs 2019'!L11</f>
        <v>Total Plan Home</v>
      </c>
      <c r="C27" s="131">
        <f>91*'Tariffs 2019'!M11/100</f>
        <v>71.799000000000007</v>
      </c>
      <c r="D27" s="131">
        <f>($K$5)*'Tariffs 2019'!N11/100</f>
        <v>142.21157118000002</v>
      </c>
      <c r="E27" s="131">
        <v>0</v>
      </c>
      <c r="F27" s="131">
        <f>($L$5)*'Tariffs 2019'!AE11/100</f>
        <v>33.18578623636364</v>
      </c>
      <c r="G27" s="131">
        <f t="shared" ref="G27:G28" si="20">SUM(C27:F27)</f>
        <v>247.19635741636367</v>
      </c>
      <c r="H27" s="131">
        <f t="shared" ref="H27:H28" si="21">(G27-C27)*4</f>
        <v>701.58942966545465</v>
      </c>
      <c r="I27" s="116">
        <f t="shared" si="18"/>
        <v>988.78542966545467</v>
      </c>
      <c r="J27" s="117">
        <f t="shared" si="19"/>
        <v>1087.6639726320002</v>
      </c>
      <c r="K27" s="38">
        <f>'Tariffs 2019'!AT11</f>
        <v>9</v>
      </c>
      <c r="L27" s="38">
        <f>'Tariffs 2019'!AU11</f>
        <v>0</v>
      </c>
      <c r="M27" s="38">
        <f>'Tariffs 2019'!AV11</f>
        <v>0</v>
      </c>
      <c r="N27" s="38">
        <f>'Tariffs 2019'!AW11</f>
        <v>0</v>
      </c>
      <c r="O27" s="118">
        <f>($F$6*'Tariffs 2019'!AQ11/100)*4</f>
        <v>0</v>
      </c>
      <c r="P27" s="117">
        <f>I27-(I27*K27/100)</f>
        <v>899.79474099556376</v>
      </c>
      <c r="Q27" s="117">
        <f>P27</f>
        <v>899.79474099556376</v>
      </c>
      <c r="R27" s="117">
        <f t="shared" ref="R27" si="22">P27-O27</f>
        <v>899.79474099556376</v>
      </c>
      <c r="S27" s="117">
        <f t="shared" ref="S27:S29" si="23">Q27-O27</f>
        <v>899.79474099556376</v>
      </c>
      <c r="T27" s="119">
        <f t="shared" ref="T27:U27" si="24">R27*1.1</f>
        <v>989.77421509512021</v>
      </c>
      <c r="U27" s="119">
        <f t="shared" si="24"/>
        <v>989.77421509512021</v>
      </c>
      <c r="V27" s="120">
        <f>'Tariffs 2019'!BF11</f>
        <v>0</v>
      </c>
      <c r="W27" s="121" t="str">
        <f>'Tariffs 2019'!BG11</f>
        <v>n</v>
      </c>
      <c r="X27" s="150"/>
      <c r="Y27" s="150"/>
      <c r="Z27" s="150"/>
      <c r="AA27" s="150"/>
      <c r="AB27" s="150"/>
      <c r="AC27" s="150"/>
      <c r="AD27" s="150"/>
      <c r="AE27" s="150"/>
      <c r="AF27" s="150"/>
      <c r="AG27" s="150"/>
      <c r="AH27" s="150"/>
    </row>
    <row r="28" spans="1:34" ht="14" x14ac:dyDescent="0.15">
      <c r="A28" s="114" t="str">
        <f>'Tariffs 2019'!K12</f>
        <v>Origin Energy</v>
      </c>
      <c r="B28" s="38" t="str">
        <f>'Tariffs 2019'!L12</f>
        <v>Solar Boost</v>
      </c>
      <c r="C28" s="131">
        <f>91*'Tariffs 2019'!M12/100</f>
        <v>82.11509090909091</v>
      </c>
      <c r="D28" s="131">
        <f>($K$5)*'Tariffs 2019'!N12/100</f>
        <v>137.0152260909091</v>
      </c>
      <c r="E28" s="131">
        <v>0</v>
      </c>
      <c r="F28" s="131">
        <f>($L$5)*'Tariffs 2019'!AE12/100</f>
        <v>35.451776045454544</v>
      </c>
      <c r="G28" s="131">
        <f t="shared" si="20"/>
        <v>254.58209304545454</v>
      </c>
      <c r="H28" s="131">
        <f t="shared" si="21"/>
        <v>689.86800854545459</v>
      </c>
      <c r="I28" s="116">
        <f t="shared" si="18"/>
        <v>1018.3283721818182</v>
      </c>
      <c r="J28" s="117">
        <f t="shared" si="19"/>
        <v>1120.1612094</v>
      </c>
      <c r="K28" s="38">
        <f>'Tariffs 2019'!AT12</f>
        <v>10</v>
      </c>
      <c r="L28" s="38">
        <f>'Tariffs 2019'!AU12</f>
        <v>0</v>
      </c>
      <c r="M28" s="38">
        <f>'Tariffs 2019'!AV12</f>
        <v>0</v>
      </c>
      <c r="N28" s="38">
        <f>'Tariffs 2019'!AW12</f>
        <v>0</v>
      </c>
      <c r="O28" s="118">
        <f>($F$6*'Tariffs 2019'!AQ12/100)*4</f>
        <v>446.64060000000006</v>
      </c>
      <c r="P28" s="117">
        <f>J28-(J28*K28/100)</f>
        <v>1008.1450884599999</v>
      </c>
      <c r="Q28" s="117">
        <f>P28</f>
        <v>1008.1450884599999</v>
      </c>
      <c r="R28" s="117">
        <f>P28-O28</f>
        <v>561.50448845999983</v>
      </c>
      <c r="S28" s="117">
        <f t="shared" si="23"/>
        <v>561.50448845999983</v>
      </c>
      <c r="T28" s="119">
        <f>R28</f>
        <v>561.50448845999983</v>
      </c>
      <c r="U28" s="119">
        <f>S28</f>
        <v>561.50448845999983</v>
      </c>
      <c r="V28" s="120">
        <f>'Tariffs 2019'!BF12</f>
        <v>0</v>
      </c>
      <c r="W28" s="121" t="str">
        <f>'Tariffs 2019'!BG12</f>
        <v>n</v>
      </c>
      <c r="X28" s="150"/>
      <c r="Y28" s="150"/>
      <c r="Z28" s="150"/>
      <c r="AA28" s="150"/>
      <c r="AB28" s="150"/>
      <c r="AC28" s="150"/>
      <c r="AD28" s="150"/>
      <c r="AE28" s="150"/>
      <c r="AF28" s="150"/>
      <c r="AG28" s="150"/>
      <c r="AH28" s="150"/>
    </row>
    <row r="29" spans="1:34" ht="14" x14ac:dyDescent="0.15">
      <c r="A29" s="114" t="str">
        <f>'Tariffs 2019'!K13</f>
        <v>Red Energy</v>
      </c>
      <c r="B29" s="38" t="str">
        <f>'Tariffs 2019'!L13</f>
        <v>Easy Saver</v>
      </c>
      <c r="C29" s="131">
        <f>91*'Tariffs 2019'!M13/100</f>
        <v>89.477818181818165</v>
      </c>
      <c r="D29" s="131">
        <f>($K$5)*'Tariffs 2019'!N13/100</f>
        <v>143.55329704545454</v>
      </c>
      <c r="E29" s="131">
        <v>0</v>
      </c>
      <c r="F29" s="131">
        <f>($L$5)*'Tariffs 2019'!AE13/100</f>
        <v>38.205075490909095</v>
      </c>
      <c r="G29" s="131">
        <f t="shared" ref="G29:G30" si="25">SUM(C29:F29)</f>
        <v>271.23619071818183</v>
      </c>
      <c r="H29" s="131">
        <f t="shared" ref="H29:H30" si="26">(G29-C29)*4</f>
        <v>727.03349014545461</v>
      </c>
      <c r="I29" s="116">
        <f t="shared" ref="I29:I30" si="27">G29*4</f>
        <v>1084.9447628727273</v>
      </c>
      <c r="J29" s="117">
        <f t="shared" ref="J29:J30" si="28">I29*1.1</f>
        <v>1193.4392391600002</v>
      </c>
      <c r="K29" s="38">
        <f>'Tariffs 2019'!AT13</f>
        <v>0</v>
      </c>
      <c r="L29" s="38">
        <f>'Tariffs 2019'!AU13</f>
        <v>0</v>
      </c>
      <c r="M29" s="38">
        <f>'Tariffs 2019'!AV13</f>
        <v>10</v>
      </c>
      <c r="N29" s="38">
        <f>'Tariffs 2019'!AW13</f>
        <v>0</v>
      </c>
      <c r="O29" s="118">
        <f>($F$6*'Tariffs 2019'!AQ13/100)*4</f>
        <v>0</v>
      </c>
      <c r="P29" s="117">
        <f>J29</f>
        <v>1193.4392391600002</v>
      </c>
      <c r="Q29" s="117">
        <f>P29-(P29*M29/100)</f>
        <v>1074.0953152440002</v>
      </c>
      <c r="R29" s="117">
        <f t="shared" ref="R29" si="29">P29-O29</f>
        <v>1193.4392391600002</v>
      </c>
      <c r="S29" s="117">
        <f t="shared" si="23"/>
        <v>1074.0953152440002</v>
      </c>
      <c r="T29" s="119">
        <f>R29</f>
        <v>1193.4392391600002</v>
      </c>
      <c r="U29" s="119">
        <f>S29</f>
        <v>1074.0953152440002</v>
      </c>
      <c r="V29" s="120">
        <f>'Tariffs 2019'!BF13</f>
        <v>0</v>
      </c>
      <c r="W29" s="121" t="str">
        <f>'Tariffs 2019'!BG13</f>
        <v>n</v>
      </c>
      <c r="X29" s="150"/>
      <c r="Y29" s="150"/>
      <c r="Z29" s="150"/>
      <c r="AA29" s="150"/>
      <c r="AB29" s="150"/>
      <c r="AC29" s="150"/>
      <c r="AD29" s="150"/>
      <c r="AE29" s="150"/>
      <c r="AF29" s="150"/>
      <c r="AG29" s="150"/>
      <c r="AH29" s="150"/>
    </row>
    <row r="30" spans="1:34" ht="15" thickBot="1" x14ac:dyDescent="0.2">
      <c r="A30" s="122" t="str">
        <f>'Tariffs 2019'!K14</f>
        <v>Energy Locals</v>
      </c>
      <c r="B30" s="123" t="str">
        <f>'Tariffs 2019'!L14</f>
        <v>Solar Promise</v>
      </c>
      <c r="C30" s="132">
        <f>(91*'Tariffs 2019'!M14/100)+'Tariffs 2019'!BJ14/4</f>
        <v>128.87727272727273</v>
      </c>
      <c r="D30" s="132">
        <f>($K$5)*'Tariffs 2019'!N14/100</f>
        <v>125.07614000000001</v>
      </c>
      <c r="E30" s="132">
        <v>0</v>
      </c>
      <c r="F30" s="132">
        <f>($L$5)*'Tariffs 2019'!AE14/100</f>
        <v>37.766496818181821</v>
      </c>
      <c r="G30" s="132">
        <f t="shared" si="25"/>
        <v>291.71990954545458</v>
      </c>
      <c r="H30" s="132">
        <f t="shared" si="26"/>
        <v>651.37054727272744</v>
      </c>
      <c r="I30" s="125">
        <f t="shared" si="27"/>
        <v>1166.8796381818183</v>
      </c>
      <c r="J30" s="126">
        <f t="shared" si="28"/>
        <v>1283.5676020000003</v>
      </c>
      <c r="K30" s="123">
        <f>'Tariffs 2019'!AT14</f>
        <v>0</v>
      </c>
      <c r="L30" s="123">
        <f>'Tariffs 2019'!AU14</f>
        <v>0</v>
      </c>
      <c r="M30" s="123">
        <f>'Tariffs 2019'!AV14</f>
        <v>0</v>
      </c>
      <c r="N30" s="123">
        <f>'Tariffs 2019'!AW14</f>
        <v>0</v>
      </c>
      <c r="O30" s="127">
        <f>($F$6*'Tariffs 2019'!AQ14/100)*4</f>
        <v>476.41664000000003</v>
      </c>
      <c r="P30" s="126">
        <f>I30</f>
        <v>1166.8796381818183</v>
      </c>
      <c r="Q30" s="126">
        <f>P30</f>
        <v>1166.8796381818183</v>
      </c>
      <c r="R30" s="126">
        <f t="shared" ref="R30" si="30">P30-O30</f>
        <v>690.46299818181831</v>
      </c>
      <c r="S30" s="126">
        <f t="shared" ref="S30" si="31">Q30-O30</f>
        <v>690.46299818181831</v>
      </c>
      <c r="T30" s="128">
        <f t="shared" ref="T30" si="32">R30*1.1</f>
        <v>759.50929800000017</v>
      </c>
      <c r="U30" s="128">
        <f t="shared" ref="U30" si="33">S30*1.1</f>
        <v>759.50929800000017</v>
      </c>
      <c r="V30" s="129">
        <f>'Tariffs 2019'!BF14</f>
        <v>0</v>
      </c>
      <c r="W30" s="130" t="str">
        <f>'Tariffs 2019'!BG14</f>
        <v>n</v>
      </c>
      <c r="X30" s="150"/>
      <c r="Y30" s="150"/>
      <c r="Z30" s="150"/>
      <c r="AA30" s="150"/>
      <c r="AB30" s="150"/>
      <c r="AC30" s="150"/>
      <c r="AD30" s="150"/>
      <c r="AE30" s="150"/>
      <c r="AF30" s="150"/>
      <c r="AG30" s="150"/>
      <c r="AH30" s="150"/>
    </row>
    <row r="31" spans="1:34" ht="14" x14ac:dyDescent="0.15">
      <c r="X31" s="150"/>
      <c r="Y31" s="150"/>
      <c r="Z31" s="150"/>
      <c r="AA31" s="150"/>
      <c r="AB31" s="150"/>
      <c r="AC31" s="150"/>
      <c r="AD31" s="150"/>
      <c r="AE31" s="150"/>
      <c r="AF31" s="150"/>
      <c r="AG31" s="150"/>
      <c r="AH31" s="150"/>
    </row>
    <row r="32" spans="1:34" ht="15" thickBot="1" x14ac:dyDescent="0.2">
      <c r="X32" s="150"/>
      <c r="Y32" s="150"/>
      <c r="Z32" s="150"/>
      <c r="AA32" s="150"/>
      <c r="AB32" s="150"/>
      <c r="AC32" s="150"/>
      <c r="AD32" s="150"/>
      <c r="AE32" s="150"/>
      <c r="AF32" s="150"/>
      <c r="AG32" s="150"/>
      <c r="AH32" s="150"/>
    </row>
    <row r="33" spans="1:34" ht="14" x14ac:dyDescent="0.15">
      <c r="A33" s="111" t="s">
        <v>11</v>
      </c>
      <c r="B33" s="112"/>
      <c r="C33" s="112"/>
      <c r="D33" s="112"/>
      <c r="E33" s="112"/>
      <c r="F33" s="112"/>
      <c r="G33" s="112"/>
      <c r="H33" s="112"/>
      <c r="I33" s="112"/>
      <c r="J33" s="112"/>
      <c r="K33" s="112"/>
      <c r="L33" s="112"/>
      <c r="M33" s="112"/>
      <c r="N33" s="112"/>
      <c r="O33" s="112"/>
      <c r="P33" s="112"/>
      <c r="Q33" s="112"/>
      <c r="R33" s="112"/>
      <c r="S33" s="112"/>
      <c r="T33" s="112"/>
      <c r="U33" s="112"/>
      <c r="V33" s="112"/>
      <c r="W33" s="113"/>
      <c r="X33" s="150"/>
      <c r="Y33" s="150"/>
      <c r="Z33" s="150"/>
      <c r="AA33" s="150"/>
      <c r="AB33" s="150"/>
      <c r="AC33" s="150"/>
      <c r="AD33" s="150"/>
      <c r="AE33" s="150"/>
      <c r="AF33" s="150"/>
      <c r="AG33" s="150"/>
      <c r="AH33" s="150"/>
    </row>
    <row r="34" spans="1:34" ht="90" x14ac:dyDescent="0.15">
      <c r="A34" s="266" t="s">
        <v>147</v>
      </c>
      <c r="B34" s="267" t="s">
        <v>133</v>
      </c>
      <c r="C34" s="268" t="s">
        <v>184</v>
      </c>
      <c r="D34" s="268" t="s">
        <v>16</v>
      </c>
      <c r="E34" s="268" t="s">
        <v>32</v>
      </c>
      <c r="F34" s="268" t="s">
        <v>33</v>
      </c>
      <c r="G34" s="268" t="s">
        <v>74</v>
      </c>
      <c r="H34" s="275" t="s">
        <v>34</v>
      </c>
      <c r="I34" s="276" t="s">
        <v>121</v>
      </c>
      <c r="J34" s="270" t="s">
        <v>35</v>
      </c>
      <c r="K34" s="271" t="s">
        <v>119</v>
      </c>
      <c r="L34" s="271" t="s">
        <v>63</v>
      </c>
      <c r="M34" s="271" t="s">
        <v>91</v>
      </c>
      <c r="N34" s="271" t="s">
        <v>150</v>
      </c>
      <c r="O34" s="272" t="s">
        <v>200</v>
      </c>
      <c r="P34" s="277" t="s">
        <v>102</v>
      </c>
      <c r="Q34" s="277" t="s">
        <v>29</v>
      </c>
      <c r="R34" s="277" t="s">
        <v>226</v>
      </c>
      <c r="S34" s="277" t="s">
        <v>100</v>
      </c>
      <c r="T34" s="272" t="s">
        <v>101</v>
      </c>
      <c r="U34" s="272" t="s">
        <v>174</v>
      </c>
      <c r="V34" s="271" t="s">
        <v>142</v>
      </c>
      <c r="W34" s="273" t="s">
        <v>143</v>
      </c>
      <c r="X34" s="150"/>
      <c r="Y34" s="150"/>
      <c r="Z34" s="150"/>
      <c r="AA34" s="150"/>
      <c r="AB34" s="150"/>
      <c r="AC34" s="150"/>
      <c r="AD34" s="150"/>
      <c r="AE34" s="150"/>
      <c r="AF34" s="150"/>
      <c r="AG34" s="150"/>
      <c r="AH34" s="150"/>
    </row>
    <row r="35" spans="1:34" ht="14" x14ac:dyDescent="0.15">
      <c r="A35" s="114" t="str">
        <f>'Tariffs 2019'!K15</f>
        <v>ActewAGL</v>
      </c>
      <c r="B35" s="38" t="str">
        <f>'Tariffs 2019'!L15</f>
        <v>Pay on Time</v>
      </c>
      <c r="C35" s="131">
        <f>91*'Tariffs 2019'!M15/100</f>
        <v>89.477818181818165</v>
      </c>
      <c r="D35" s="131">
        <f>($K$6)*'Tariffs 2019'!N15/100</f>
        <v>53.262943254545455</v>
      </c>
      <c r="E35" s="131">
        <f>($M$6)*'Tariffs 2019'!AH15/100</f>
        <v>95.715734409090913</v>
      </c>
      <c r="F35" s="131">
        <f>($L$6)*'Tariffs 2019'!W15/100</f>
        <v>45.782740336363631</v>
      </c>
      <c r="G35" s="131">
        <f>SUM(C35:F35)</f>
        <v>284.23923618181817</v>
      </c>
      <c r="H35" s="131">
        <f t="shared" ref="H35:H37" si="34">(G35-C35)*4</f>
        <v>779.04567199999997</v>
      </c>
      <c r="I35" s="116">
        <f t="shared" ref="I35:I37" si="35">G35*4</f>
        <v>1136.9569447272727</v>
      </c>
      <c r="J35" s="117">
        <f t="shared" ref="J35:J37" si="36">I35*1.1</f>
        <v>1250.6526392000001</v>
      </c>
      <c r="K35" s="38">
        <f>'Tariffs 2019'!AT15</f>
        <v>0</v>
      </c>
      <c r="L35" s="38">
        <f>'Tariffs 2019'!AU15</f>
        <v>0</v>
      </c>
      <c r="M35" s="38">
        <f>'Tariffs 2019'!AV15</f>
        <v>0</v>
      </c>
      <c r="N35" s="38">
        <f>'Tariffs 2019'!AW15</f>
        <v>25</v>
      </c>
      <c r="O35" s="118">
        <f>($F$6*'Tariffs 2019'!AQ15/100)*4</f>
        <v>238.20832000000001</v>
      </c>
      <c r="P35" s="117">
        <f>I35</f>
        <v>1136.9569447272727</v>
      </c>
      <c r="Q35" s="117">
        <f>P35-(H35*N35/100)</f>
        <v>942.19552672727275</v>
      </c>
      <c r="R35" s="117">
        <f>P35-O35</f>
        <v>898.74862472727273</v>
      </c>
      <c r="S35" s="117">
        <f>Q35-O35</f>
        <v>703.98720672727268</v>
      </c>
      <c r="T35" s="119">
        <f>R35*1.1</f>
        <v>988.62348720000011</v>
      </c>
      <c r="U35" s="119">
        <f>S35*1.1</f>
        <v>774.38592740000001</v>
      </c>
      <c r="V35" s="120">
        <f>'Tariffs 2019'!BF15</f>
        <v>0</v>
      </c>
      <c r="W35" s="121" t="str">
        <f>'Tariffs 2019'!BG15</f>
        <v>n</v>
      </c>
      <c r="X35" s="150"/>
      <c r="Y35" s="150"/>
      <c r="Z35" s="150"/>
      <c r="AA35" s="150"/>
      <c r="AB35" s="150"/>
      <c r="AC35" s="150"/>
      <c r="AD35" s="150"/>
      <c r="AE35" s="150"/>
      <c r="AF35" s="150"/>
      <c r="AG35" s="150"/>
      <c r="AH35" s="150"/>
    </row>
    <row r="36" spans="1:34" ht="14" x14ac:dyDescent="0.15">
      <c r="A36" s="114" t="str">
        <f>'Tariffs 2019'!K16</f>
        <v>EnergyAustralia</v>
      </c>
      <c r="B36" s="38" t="str">
        <f>'Tariffs 2019'!L16</f>
        <v>Total Plan Home</v>
      </c>
      <c r="C36" s="131">
        <f>91*'Tariffs 2019'!M16/100</f>
        <v>66.430000000000007</v>
      </c>
      <c r="D36" s="131">
        <f>($K$6)*'Tariffs 2019'!N16/100</f>
        <v>49.047714900000003</v>
      </c>
      <c r="E36" s="131">
        <f>($M$6)*'Tariffs 2019'!AH16/100</f>
        <v>84.751267590909094</v>
      </c>
      <c r="F36" s="131">
        <f>($L$6)*'Tariffs 2019'!W16/100</f>
        <v>38.643654163636363</v>
      </c>
      <c r="G36" s="131">
        <f t="shared" ref="G36:G37" si="37">SUM(C36:F36)</f>
        <v>238.87263665454549</v>
      </c>
      <c r="H36" s="131">
        <f t="shared" si="34"/>
        <v>689.77054661818192</v>
      </c>
      <c r="I36" s="116">
        <f t="shared" si="35"/>
        <v>955.49054661818195</v>
      </c>
      <c r="J36" s="117">
        <f t="shared" si="36"/>
        <v>1051.0396012800002</v>
      </c>
      <c r="K36" s="38">
        <f>'Tariffs 2019'!AT16</f>
        <v>9</v>
      </c>
      <c r="L36" s="38">
        <f>'Tariffs 2019'!AU16</f>
        <v>0</v>
      </c>
      <c r="M36" s="38">
        <f>'Tariffs 2019'!AV16</f>
        <v>0</v>
      </c>
      <c r="N36" s="38">
        <f>'Tariffs 2019'!AW16</f>
        <v>0</v>
      </c>
      <c r="O36" s="118">
        <f>($F$6*'Tariffs 2019'!AQ16/100)*4</f>
        <v>0</v>
      </c>
      <c r="P36" s="117">
        <f>I36-(I36*K36/100)</f>
        <v>869.49639742254556</v>
      </c>
      <c r="Q36" s="117">
        <f>P36</f>
        <v>869.49639742254556</v>
      </c>
      <c r="R36" s="117">
        <f t="shared" ref="R36" si="38">P36-O36</f>
        <v>869.49639742254556</v>
      </c>
      <c r="S36" s="117">
        <f t="shared" ref="S36:S38" si="39">Q36-O36</f>
        <v>869.49639742254556</v>
      </c>
      <c r="T36" s="119">
        <f t="shared" ref="T36:U36" si="40">R36*1.1</f>
        <v>956.44603716480015</v>
      </c>
      <c r="U36" s="119">
        <f t="shared" si="40"/>
        <v>956.44603716480015</v>
      </c>
      <c r="V36" s="120">
        <f>'Tariffs 2019'!BF16</f>
        <v>0</v>
      </c>
      <c r="W36" s="121" t="str">
        <f>'Tariffs 2019'!BG16</f>
        <v>n</v>
      </c>
      <c r="X36" s="150"/>
      <c r="Y36" s="150"/>
      <c r="Z36" s="150"/>
      <c r="AA36" s="150"/>
      <c r="AB36" s="150"/>
      <c r="AC36" s="150"/>
      <c r="AD36" s="150"/>
      <c r="AE36" s="150"/>
      <c r="AF36" s="150"/>
      <c r="AG36" s="150"/>
      <c r="AH36" s="150"/>
    </row>
    <row r="37" spans="1:34" ht="14" x14ac:dyDescent="0.15">
      <c r="A37" s="114" t="str">
        <f>'Tariffs 2019'!K17</f>
        <v>Origin Energy</v>
      </c>
      <c r="B37" s="38" t="str">
        <f>'Tariffs 2019'!L17</f>
        <v>Solar Boost</v>
      </c>
      <c r="C37" s="131">
        <f>91*'Tariffs 2019'!M17/100</f>
        <v>82.11509090909091</v>
      </c>
      <c r="D37" s="131">
        <f>($K$6)*'Tariffs 2019'!N17/100</f>
        <v>50.160405236363637</v>
      </c>
      <c r="E37" s="131">
        <f>($M$6)*'Tariffs 2019'!AH17/100</f>
        <v>89.461927409090919</v>
      </c>
      <c r="F37" s="131">
        <f>($L$6)*'Tariffs 2019'!W17/100</f>
        <v>42.347207399999995</v>
      </c>
      <c r="G37" s="131">
        <f t="shared" si="37"/>
        <v>264.08463095454545</v>
      </c>
      <c r="H37" s="131">
        <f t="shared" si="34"/>
        <v>727.8781601818182</v>
      </c>
      <c r="I37" s="116">
        <f t="shared" si="35"/>
        <v>1056.3385238181818</v>
      </c>
      <c r="J37" s="117">
        <f t="shared" si="36"/>
        <v>1161.9723762000001</v>
      </c>
      <c r="K37" s="38">
        <f>'Tariffs 2019'!AT17</f>
        <v>10</v>
      </c>
      <c r="L37" s="38">
        <f>'Tariffs 2019'!AU17</f>
        <v>0</v>
      </c>
      <c r="M37" s="38">
        <f>'Tariffs 2019'!AV17</f>
        <v>0</v>
      </c>
      <c r="N37" s="38">
        <f>'Tariffs 2019'!AW17</f>
        <v>0</v>
      </c>
      <c r="O37" s="118">
        <f>($F$6*'Tariffs 2019'!AQ17/100)*4</f>
        <v>446.64060000000006</v>
      </c>
      <c r="P37" s="117">
        <f>J37-(J37*K37/100)</f>
        <v>1045.7751385800002</v>
      </c>
      <c r="Q37" s="117">
        <f>P37</f>
        <v>1045.7751385800002</v>
      </c>
      <c r="R37" s="117">
        <f>P37-O37</f>
        <v>599.13453858000014</v>
      </c>
      <c r="S37" s="117">
        <f t="shared" si="39"/>
        <v>599.13453858000014</v>
      </c>
      <c r="T37" s="119">
        <f>R37</f>
        <v>599.13453858000014</v>
      </c>
      <c r="U37" s="119">
        <f>S37</f>
        <v>599.13453858000014</v>
      </c>
      <c r="V37" s="120">
        <f>'Tariffs 2019'!BF17</f>
        <v>0</v>
      </c>
      <c r="W37" s="121" t="str">
        <f>'Tariffs 2019'!BG17</f>
        <v>n</v>
      </c>
      <c r="X37" s="150"/>
      <c r="Y37" s="150"/>
      <c r="Z37" s="150"/>
      <c r="AA37" s="150"/>
      <c r="AB37" s="150"/>
      <c r="AC37" s="150"/>
      <c r="AD37" s="150"/>
      <c r="AE37" s="150"/>
      <c r="AF37" s="150"/>
      <c r="AG37" s="150"/>
      <c r="AH37" s="150"/>
    </row>
    <row r="38" spans="1:34" ht="14" x14ac:dyDescent="0.15">
      <c r="A38" s="114" t="str">
        <f>'Tariffs 2019'!K18</f>
        <v>Red Energy</v>
      </c>
      <c r="B38" s="38" t="str">
        <f>'Tariffs 2019'!L18</f>
        <v>Easy Saver</v>
      </c>
      <c r="C38" s="131">
        <f>91*'Tariffs 2019'!M18/100</f>
        <v>89.477818181818165</v>
      </c>
      <c r="D38" s="131">
        <f>($K$6)*'Tariffs 2019'!N18/100</f>
        <v>53.262943254545455</v>
      </c>
      <c r="E38" s="131">
        <f>($M$6)*'Tariffs 2019'!AH18/100</f>
        <v>95.715734409090913</v>
      </c>
      <c r="F38" s="131">
        <f>($L$6)*'Tariffs 2019'!W18/100</f>
        <v>45.782740336363631</v>
      </c>
      <c r="G38" s="131">
        <f t="shared" ref="G38:G40" si="41">SUM(C38:F38)</f>
        <v>284.23923618181817</v>
      </c>
      <c r="H38" s="131">
        <f t="shared" ref="H38:H40" si="42">(G38-C38)*4</f>
        <v>779.04567199999997</v>
      </c>
      <c r="I38" s="116">
        <f t="shared" ref="I38:I40" si="43">G38*4</f>
        <v>1136.9569447272727</v>
      </c>
      <c r="J38" s="117">
        <f t="shared" ref="J38:J40" si="44">I38*1.1</f>
        <v>1250.6526392000001</v>
      </c>
      <c r="K38" s="38">
        <f>'Tariffs 2019'!AT18</f>
        <v>0</v>
      </c>
      <c r="L38" s="38">
        <f>'Tariffs 2019'!AU18</f>
        <v>0</v>
      </c>
      <c r="M38" s="38">
        <f>'Tariffs 2019'!AV18</f>
        <v>10</v>
      </c>
      <c r="N38" s="38">
        <f>'Tariffs 2019'!AW18</f>
        <v>0</v>
      </c>
      <c r="O38" s="118">
        <f>($F$6*'Tariffs 2019'!AQ18/100)*4</f>
        <v>0</v>
      </c>
      <c r="P38" s="117">
        <f>J38</f>
        <v>1250.6526392000001</v>
      </c>
      <c r="Q38" s="117">
        <f>P38-(P38*M38/100)</f>
        <v>1125.5873752800001</v>
      </c>
      <c r="R38" s="117">
        <f t="shared" ref="R38" si="45">P38-O38</f>
        <v>1250.6526392000001</v>
      </c>
      <c r="S38" s="117">
        <f t="shared" si="39"/>
        <v>1125.5873752800001</v>
      </c>
      <c r="T38" s="119">
        <f>R38</f>
        <v>1250.6526392000001</v>
      </c>
      <c r="U38" s="119">
        <f>S38</f>
        <v>1125.5873752800001</v>
      </c>
      <c r="V38" s="120">
        <f>'Tariffs 2019'!BF18</f>
        <v>0</v>
      </c>
      <c r="W38" s="121" t="str">
        <f>'Tariffs 2019'!BG18</f>
        <v>n</v>
      </c>
      <c r="X38" s="150"/>
      <c r="Y38" s="150"/>
      <c r="Z38" s="150"/>
      <c r="AA38" s="150"/>
      <c r="AB38" s="150"/>
      <c r="AC38" s="150"/>
      <c r="AD38" s="150"/>
      <c r="AE38" s="150"/>
      <c r="AF38" s="150"/>
      <c r="AG38" s="150"/>
      <c r="AH38" s="150"/>
    </row>
    <row r="39" spans="1:34" ht="14" x14ac:dyDescent="0.15">
      <c r="A39" s="114" t="str">
        <f>'Tariffs 2019'!K19</f>
        <v>Energy Locals</v>
      </c>
      <c r="B39" s="38" t="str">
        <f>'Tariffs 2019'!L19</f>
        <v>Solar Promise</v>
      </c>
      <c r="C39" s="131">
        <f>(91*'Tariffs 2019'!M19/100)+'Tariffs 2019'!BJ19/4</f>
        <v>128.87727272727273</v>
      </c>
      <c r="D39" s="131">
        <f>($K$6)*'Tariffs 2019'!N19/100</f>
        <v>46.294415454545451</v>
      </c>
      <c r="E39" s="131">
        <f>($M$6)*'Tariffs 2019'!AH19/100</f>
        <v>81.218272727272719</v>
      </c>
      <c r="F39" s="131">
        <f>($L$6)*'Tariffs 2019'!W19/100</f>
        <v>40.203044999999996</v>
      </c>
      <c r="G39" s="131">
        <f t="shared" si="41"/>
        <v>296.59300590909089</v>
      </c>
      <c r="H39" s="131">
        <f t="shared" si="42"/>
        <v>670.86293272727266</v>
      </c>
      <c r="I39" s="116">
        <f t="shared" si="43"/>
        <v>1186.3720236363636</v>
      </c>
      <c r="J39" s="117">
        <f t="shared" si="44"/>
        <v>1305.0092260000001</v>
      </c>
      <c r="K39" s="38">
        <f>'Tariffs 2019'!AT19</f>
        <v>0</v>
      </c>
      <c r="L39" s="38">
        <f>'Tariffs 2019'!AU19</f>
        <v>0</v>
      </c>
      <c r="M39" s="38">
        <f>'Tariffs 2019'!AV19</f>
        <v>0</v>
      </c>
      <c r="N39" s="38">
        <f>'Tariffs 2019'!AW19</f>
        <v>0</v>
      </c>
      <c r="O39" s="118">
        <f>($F$6*'Tariffs 2019'!AQ19/100)*4</f>
        <v>476.41664000000003</v>
      </c>
      <c r="P39" s="117">
        <f>I39</f>
        <v>1186.3720236363636</v>
      </c>
      <c r="Q39" s="117">
        <f>P39</f>
        <v>1186.3720236363636</v>
      </c>
      <c r="R39" s="117">
        <f t="shared" ref="R39:R40" si="46">P39-O39</f>
        <v>709.95538363636354</v>
      </c>
      <c r="S39" s="117">
        <f t="shared" ref="S39:S40" si="47">Q39-O39</f>
        <v>709.95538363636354</v>
      </c>
      <c r="T39" s="119">
        <f t="shared" ref="T39:T40" si="48">R39*1.1</f>
        <v>780.95092199999999</v>
      </c>
      <c r="U39" s="119">
        <f t="shared" ref="U39:U40" si="49">S39*1.1</f>
        <v>780.95092199999999</v>
      </c>
      <c r="V39" s="120">
        <f>'Tariffs 2019'!BF19</f>
        <v>0</v>
      </c>
      <c r="W39" s="121" t="str">
        <f>'Tariffs 2019'!BG19</f>
        <v>n</v>
      </c>
      <c r="X39" s="150"/>
      <c r="Y39" s="150"/>
      <c r="Z39" s="150"/>
      <c r="AA39" s="150"/>
      <c r="AB39" s="150"/>
      <c r="AC39" s="150"/>
      <c r="AD39" s="150"/>
      <c r="AE39" s="150"/>
      <c r="AF39" s="150"/>
      <c r="AG39" s="150"/>
      <c r="AH39" s="150"/>
    </row>
    <row r="40" spans="1:34" ht="15" thickBot="1" x14ac:dyDescent="0.2">
      <c r="A40" s="122" t="str">
        <f>'Tariffs 2019'!K20</f>
        <v>Powerclub</v>
      </c>
      <c r="B40" s="123" t="str">
        <f>'Tariffs 2019'!L20</f>
        <v>Powerbank Solar</v>
      </c>
      <c r="C40" s="132">
        <f>(91*'Tariffs 2019'!M20/100)+'Tariffs 2019'!BJ20/4</f>
        <v>69.436545454545453</v>
      </c>
      <c r="D40" s="132">
        <f>($K$6)*'Tariffs 2019'!N20/100</f>
        <v>46.911674327272721</v>
      </c>
      <c r="E40" s="132">
        <f>($M$6)*'Tariffs 2019'!AH20/100</f>
        <v>82.923856454545458</v>
      </c>
      <c r="F40" s="132">
        <f>($L$6)*'Tariffs 2019'!W20/100</f>
        <v>40.958374936363633</v>
      </c>
      <c r="G40" s="132">
        <f t="shared" si="41"/>
        <v>240.23045117272727</v>
      </c>
      <c r="H40" s="132">
        <f t="shared" si="42"/>
        <v>683.17562287272722</v>
      </c>
      <c r="I40" s="125">
        <f t="shared" si="43"/>
        <v>960.92180469090908</v>
      </c>
      <c r="J40" s="126">
        <f t="shared" si="44"/>
        <v>1057.0139851600002</v>
      </c>
      <c r="K40" s="123">
        <f>'Tariffs 2019'!AT20</f>
        <v>0</v>
      </c>
      <c r="L40" s="123">
        <f>'Tariffs 2019'!AU20</f>
        <v>0</v>
      </c>
      <c r="M40" s="123">
        <f>'Tariffs 2019'!AV20</f>
        <v>0</v>
      </c>
      <c r="N40" s="123">
        <f>'Tariffs 2019'!AW20</f>
        <v>0</v>
      </c>
      <c r="O40" s="127">
        <f>($F$6*'Tariffs 2019'!AQ20/100)*4</f>
        <v>297.7604</v>
      </c>
      <c r="P40" s="126">
        <f>I40</f>
        <v>960.92180469090908</v>
      </c>
      <c r="Q40" s="126">
        <f>P40</f>
        <v>960.92180469090908</v>
      </c>
      <c r="R40" s="126">
        <f t="shared" si="46"/>
        <v>663.16140469090908</v>
      </c>
      <c r="S40" s="126">
        <f t="shared" si="47"/>
        <v>663.16140469090908</v>
      </c>
      <c r="T40" s="128">
        <f t="shared" si="48"/>
        <v>729.47754516000009</v>
      </c>
      <c r="U40" s="128">
        <f t="shared" si="49"/>
        <v>729.47754516000009</v>
      </c>
      <c r="V40" s="129">
        <f>'Tariffs 2019'!BF20</f>
        <v>0</v>
      </c>
      <c r="W40" s="130" t="str">
        <f>'Tariffs 2019'!BG20</f>
        <v>n</v>
      </c>
      <c r="X40" s="150"/>
      <c r="Y40" s="150"/>
      <c r="Z40" s="150"/>
      <c r="AA40" s="150"/>
      <c r="AB40" s="150"/>
      <c r="AC40" s="150"/>
      <c r="AD40" s="150"/>
      <c r="AE40" s="150"/>
      <c r="AF40" s="150"/>
      <c r="AG40" s="150"/>
      <c r="AH40" s="150"/>
    </row>
    <row r="41" spans="1:34" ht="14" x14ac:dyDescent="0.15">
      <c r="X41" s="150"/>
      <c r="Y41" s="150"/>
      <c r="Z41" s="150"/>
      <c r="AA41" s="150"/>
      <c r="AB41" s="150"/>
      <c r="AC41" s="150"/>
      <c r="AD41" s="150"/>
      <c r="AE41" s="150"/>
      <c r="AF41" s="150"/>
      <c r="AG41" s="150"/>
      <c r="AH41" s="150"/>
    </row>
    <row r="42" spans="1:34" ht="14" x14ac:dyDescent="0.15">
      <c r="X42" s="150"/>
      <c r="Y42" s="150"/>
      <c r="Z42" s="150"/>
      <c r="AA42" s="150"/>
      <c r="AB42" s="150"/>
      <c r="AC42" s="150"/>
      <c r="AD42" s="150"/>
      <c r="AE42" s="150"/>
      <c r="AF42" s="150"/>
      <c r="AG42" s="150"/>
      <c r="AH42" s="150"/>
    </row>
    <row r="43" spans="1:34" ht="14" x14ac:dyDescent="0.15">
      <c r="X43" s="150"/>
      <c r="Y43" s="150"/>
      <c r="Z43" s="150"/>
      <c r="AA43" s="150"/>
      <c r="AB43" s="150"/>
      <c r="AC43" s="150"/>
      <c r="AD43" s="150"/>
      <c r="AE43" s="150"/>
      <c r="AF43" s="150"/>
      <c r="AG43" s="150"/>
      <c r="AH43" s="150"/>
    </row>
    <row r="44" spans="1:34" ht="14" x14ac:dyDescent="0.15">
      <c r="X44" s="150"/>
      <c r="Y44" s="150"/>
      <c r="Z44" s="150"/>
      <c r="AA44" s="150"/>
      <c r="AB44" s="150"/>
      <c r="AC44" s="150"/>
      <c r="AD44" s="150"/>
      <c r="AE44" s="150"/>
      <c r="AF44" s="150"/>
      <c r="AG44" s="150"/>
      <c r="AH44" s="150"/>
    </row>
    <row r="45" spans="1:34" ht="14" x14ac:dyDescent="0.15">
      <c r="X45" s="150"/>
      <c r="Y45" s="150"/>
      <c r="Z45" s="150"/>
      <c r="AA45" s="150"/>
      <c r="AB45" s="150"/>
      <c r="AC45" s="150"/>
      <c r="AD45" s="150"/>
      <c r="AE45" s="150"/>
      <c r="AF45" s="150"/>
      <c r="AG45" s="150"/>
      <c r="AH45" s="150"/>
    </row>
    <row r="46" spans="1:34" ht="14" x14ac:dyDescent="0.15">
      <c r="X46" s="150"/>
      <c r="Y46" s="150"/>
      <c r="Z46" s="150"/>
      <c r="AA46" s="150"/>
      <c r="AB46" s="150"/>
      <c r="AC46" s="150"/>
      <c r="AD46" s="150"/>
      <c r="AE46" s="150"/>
      <c r="AF46" s="150"/>
      <c r="AG46" s="150"/>
      <c r="AH46" s="150"/>
    </row>
    <row r="47" spans="1:34" ht="14" x14ac:dyDescent="0.15">
      <c r="X47" s="150"/>
      <c r="Y47" s="150"/>
      <c r="Z47" s="150"/>
      <c r="AA47" s="150"/>
      <c r="AB47" s="150"/>
      <c r="AC47" s="150"/>
      <c r="AD47" s="150"/>
      <c r="AE47" s="150"/>
      <c r="AF47" s="150"/>
      <c r="AG47" s="150"/>
      <c r="AH47" s="150"/>
    </row>
    <row r="48" spans="1:34" ht="14" x14ac:dyDescent="0.15">
      <c r="X48" s="150"/>
      <c r="Y48" s="150"/>
      <c r="Z48" s="150"/>
      <c r="AA48" s="150"/>
      <c r="AB48" s="150"/>
      <c r="AC48" s="150"/>
      <c r="AD48" s="150"/>
      <c r="AE48" s="150"/>
      <c r="AF48" s="150"/>
      <c r="AG48" s="150"/>
      <c r="AH48" s="150"/>
    </row>
    <row r="49" spans="24:34" ht="14" x14ac:dyDescent="0.15">
      <c r="X49" s="150"/>
      <c r="Y49" s="150"/>
      <c r="Z49" s="150"/>
      <c r="AA49" s="150"/>
      <c r="AB49" s="150"/>
      <c r="AC49" s="150"/>
      <c r="AD49" s="150"/>
      <c r="AE49" s="150"/>
      <c r="AF49" s="150"/>
      <c r="AG49" s="150"/>
      <c r="AH49" s="150"/>
    </row>
    <row r="50" spans="24:34" ht="14" x14ac:dyDescent="0.15">
      <c r="X50" s="150"/>
      <c r="Y50" s="150"/>
      <c r="Z50" s="150"/>
      <c r="AA50" s="150"/>
      <c r="AB50" s="150"/>
      <c r="AC50" s="150"/>
      <c r="AD50" s="150"/>
      <c r="AE50" s="150"/>
      <c r="AF50" s="150"/>
      <c r="AG50" s="150"/>
      <c r="AH50" s="150"/>
    </row>
    <row r="51" spans="24:34" ht="14" x14ac:dyDescent="0.15">
      <c r="X51" s="150"/>
      <c r="Y51" s="150"/>
      <c r="Z51" s="150"/>
      <c r="AA51" s="150"/>
      <c r="AB51" s="150"/>
      <c r="AC51" s="150"/>
      <c r="AD51" s="150"/>
      <c r="AE51" s="150"/>
      <c r="AF51" s="150"/>
      <c r="AG51" s="150"/>
      <c r="AH51" s="150"/>
    </row>
    <row r="52" spans="24:34" ht="14" x14ac:dyDescent="0.15">
      <c r="X52" s="150"/>
      <c r="Y52" s="150"/>
      <c r="Z52" s="150"/>
      <c r="AA52" s="150"/>
      <c r="AB52" s="150"/>
      <c r="AC52" s="150"/>
      <c r="AD52" s="150"/>
      <c r="AE52" s="150"/>
      <c r="AF52" s="150"/>
      <c r="AG52" s="150"/>
      <c r="AH52" s="150"/>
    </row>
    <row r="53" spans="24:34" ht="14" x14ac:dyDescent="0.15">
      <c r="X53" s="150"/>
      <c r="Y53" s="150"/>
      <c r="Z53" s="150"/>
      <c r="AA53" s="150"/>
      <c r="AB53" s="150"/>
      <c r="AC53" s="150"/>
      <c r="AD53" s="150"/>
      <c r="AE53" s="150"/>
      <c r="AF53" s="150"/>
      <c r="AG53" s="150"/>
      <c r="AH53" s="150"/>
    </row>
    <row r="54" spans="24:34" ht="14" x14ac:dyDescent="0.15">
      <c r="X54" s="150"/>
      <c r="Y54" s="150"/>
      <c r="Z54" s="150"/>
      <c r="AA54" s="150"/>
      <c r="AB54" s="150"/>
      <c r="AC54" s="150"/>
      <c r="AD54" s="150"/>
      <c r="AE54" s="150"/>
      <c r="AF54" s="150"/>
      <c r="AG54" s="150"/>
      <c r="AH54" s="150"/>
    </row>
    <row r="55" spans="24:34" ht="14" x14ac:dyDescent="0.15">
      <c r="X55" s="150"/>
      <c r="Y55" s="150"/>
      <c r="Z55" s="150"/>
      <c r="AA55" s="150"/>
      <c r="AB55" s="150"/>
      <c r="AC55" s="150"/>
      <c r="AD55" s="150"/>
      <c r="AE55" s="150"/>
      <c r="AF55" s="150"/>
      <c r="AG55" s="150"/>
      <c r="AH55" s="150"/>
    </row>
    <row r="56" spans="24:34" ht="14" x14ac:dyDescent="0.15">
      <c r="X56" s="150"/>
      <c r="Y56" s="150"/>
      <c r="Z56" s="150"/>
      <c r="AA56" s="150"/>
      <c r="AB56" s="150"/>
      <c r="AC56" s="150"/>
      <c r="AD56" s="150"/>
      <c r="AE56" s="150"/>
      <c r="AF56" s="150"/>
      <c r="AG56" s="150"/>
      <c r="AH56" s="150"/>
    </row>
    <row r="57" spans="24:34" ht="14" x14ac:dyDescent="0.15">
      <c r="X57" s="150"/>
      <c r="Y57" s="150"/>
      <c r="Z57" s="150"/>
      <c r="AA57" s="150"/>
      <c r="AB57" s="150"/>
      <c r="AC57" s="150"/>
      <c r="AD57" s="150"/>
      <c r="AE57" s="150"/>
      <c r="AF57" s="150"/>
      <c r="AG57" s="150"/>
      <c r="AH57" s="150"/>
    </row>
    <row r="58" spans="24:34" ht="14" x14ac:dyDescent="0.15">
      <c r="X58" s="150"/>
      <c r="Y58" s="150"/>
      <c r="Z58" s="150"/>
      <c r="AA58" s="150"/>
      <c r="AB58" s="150"/>
      <c r="AC58" s="150"/>
      <c r="AD58" s="150"/>
      <c r="AE58" s="150"/>
      <c r="AF58" s="150"/>
      <c r="AG58" s="150"/>
      <c r="AH58" s="150"/>
    </row>
    <row r="59" spans="24:34" ht="14" x14ac:dyDescent="0.15">
      <c r="X59" s="150"/>
      <c r="Y59" s="150"/>
      <c r="Z59" s="150"/>
      <c r="AA59" s="150"/>
      <c r="AB59" s="150"/>
      <c r="AC59" s="150"/>
      <c r="AD59" s="150"/>
      <c r="AE59" s="150"/>
      <c r="AF59" s="150"/>
      <c r="AG59" s="150"/>
      <c r="AH59" s="150"/>
    </row>
    <row r="60" spans="24:34" ht="14" x14ac:dyDescent="0.15">
      <c r="X60" s="150"/>
      <c r="Y60" s="150"/>
      <c r="Z60" s="150"/>
      <c r="AA60" s="150"/>
      <c r="AB60" s="150"/>
      <c r="AC60" s="150"/>
      <c r="AD60" s="150"/>
      <c r="AE60" s="150"/>
      <c r="AF60" s="150"/>
      <c r="AG60" s="150"/>
      <c r="AH60" s="150"/>
    </row>
    <row r="61" spans="24:34" ht="14" x14ac:dyDescent="0.15">
      <c r="X61" s="150"/>
      <c r="Y61" s="150"/>
      <c r="Z61" s="150"/>
      <c r="AA61" s="150"/>
      <c r="AB61" s="150"/>
      <c r="AC61" s="150"/>
      <c r="AD61" s="150"/>
      <c r="AE61" s="150"/>
      <c r="AF61" s="150"/>
      <c r="AG61" s="150"/>
      <c r="AH61" s="150"/>
    </row>
    <row r="62" spans="24:34" ht="14" x14ac:dyDescent="0.15">
      <c r="X62" s="150"/>
      <c r="Y62" s="150"/>
      <c r="Z62" s="150"/>
      <c r="AA62" s="150"/>
      <c r="AB62" s="150"/>
      <c r="AC62" s="150"/>
      <c r="AD62" s="150"/>
      <c r="AE62" s="150"/>
      <c r="AF62" s="150"/>
      <c r="AG62" s="150"/>
      <c r="AH62" s="150"/>
    </row>
    <row r="63" spans="24:34" ht="14" x14ac:dyDescent="0.15">
      <c r="X63" s="150"/>
      <c r="Y63" s="150"/>
      <c r="Z63" s="150"/>
      <c r="AA63" s="150"/>
      <c r="AB63" s="150"/>
      <c r="AC63" s="150"/>
      <c r="AD63" s="150"/>
      <c r="AE63" s="150"/>
      <c r="AF63" s="150"/>
      <c r="AG63" s="150"/>
      <c r="AH63" s="150"/>
    </row>
    <row r="64" spans="24:34" ht="14" x14ac:dyDescent="0.15">
      <c r="X64" s="150"/>
      <c r="Y64" s="150"/>
      <c r="Z64" s="150"/>
      <c r="AA64" s="150"/>
      <c r="AB64" s="150"/>
      <c r="AC64" s="150"/>
      <c r="AD64" s="150"/>
      <c r="AE64" s="150"/>
      <c r="AF64" s="150"/>
      <c r="AG64" s="150"/>
      <c r="AH64" s="150"/>
    </row>
    <row r="65" spans="24:34" ht="14" x14ac:dyDescent="0.15">
      <c r="X65" s="150"/>
      <c r="Y65" s="150"/>
      <c r="Z65" s="150"/>
      <c r="AA65" s="150"/>
      <c r="AB65" s="150"/>
      <c r="AC65" s="150"/>
      <c r="AD65" s="150"/>
      <c r="AE65" s="150"/>
      <c r="AF65" s="150"/>
      <c r="AG65" s="150"/>
      <c r="AH65" s="150"/>
    </row>
    <row r="66" spans="24:34" ht="14" x14ac:dyDescent="0.15">
      <c r="X66" s="150"/>
      <c r="Y66" s="150"/>
      <c r="Z66" s="150"/>
      <c r="AA66" s="150"/>
      <c r="AB66" s="150"/>
      <c r="AC66" s="150"/>
      <c r="AD66" s="150"/>
      <c r="AE66" s="150"/>
      <c r="AF66" s="150"/>
      <c r="AG66" s="150"/>
      <c r="AH66" s="150"/>
    </row>
    <row r="67" spans="24:34" ht="14" x14ac:dyDescent="0.15">
      <c r="X67" s="150"/>
      <c r="Y67" s="150"/>
      <c r="Z67" s="150"/>
      <c r="AA67" s="150"/>
      <c r="AB67" s="150"/>
      <c r="AC67" s="150"/>
      <c r="AD67" s="150"/>
      <c r="AE67" s="150"/>
      <c r="AF67" s="150"/>
      <c r="AG67" s="150"/>
      <c r="AH67" s="150"/>
    </row>
    <row r="68" spans="24:34" ht="14" x14ac:dyDescent="0.15">
      <c r="X68" s="150"/>
      <c r="Y68" s="150"/>
      <c r="Z68" s="150"/>
      <c r="AA68" s="150"/>
      <c r="AB68" s="150"/>
      <c r="AC68" s="150"/>
      <c r="AD68" s="150"/>
      <c r="AE68" s="150"/>
      <c r="AF68" s="150"/>
      <c r="AG68" s="150"/>
      <c r="AH68" s="150"/>
    </row>
    <row r="69" spans="24:34" ht="14" x14ac:dyDescent="0.15">
      <c r="X69" s="150"/>
      <c r="Y69" s="150"/>
      <c r="Z69" s="150"/>
      <c r="AA69" s="150"/>
      <c r="AB69" s="150"/>
      <c r="AC69" s="150"/>
      <c r="AD69" s="150"/>
      <c r="AE69" s="150"/>
      <c r="AF69" s="150"/>
      <c r="AG69" s="150"/>
      <c r="AH69" s="150"/>
    </row>
    <row r="70" spans="24:34" ht="14" x14ac:dyDescent="0.15">
      <c r="X70" s="150"/>
      <c r="Y70" s="150"/>
      <c r="Z70" s="150"/>
      <c r="AA70" s="150"/>
      <c r="AB70" s="150"/>
      <c r="AC70" s="150"/>
      <c r="AD70" s="150"/>
      <c r="AE70" s="150"/>
      <c r="AF70" s="150"/>
      <c r="AG70" s="150"/>
      <c r="AH70" s="150"/>
    </row>
    <row r="71" spans="24:34" ht="14" x14ac:dyDescent="0.15">
      <c r="X71" s="150"/>
      <c r="Y71" s="150"/>
      <c r="Z71" s="150"/>
      <c r="AA71" s="150"/>
      <c r="AB71" s="150"/>
      <c r="AC71" s="150"/>
      <c r="AD71" s="150"/>
      <c r="AE71" s="150"/>
      <c r="AF71" s="150"/>
      <c r="AG71" s="150"/>
      <c r="AH71" s="150"/>
    </row>
    <row r="72" spans="24:34" ht="14" x14ac:dyDescent="0.15">
      <c r="X72" s="150"/>
      <c r="Y72" s="150"/>
      <c r="Z72" s="150"/>
      <c r="AA72" s="150"/>
      <c r="AB72" s="150"/>
      <c r="AC72" s="150"/>
      <c r="AD72" s="150"/>
      <c r="AE72" s="150"/>
      <c r="AF72" s="150"/>
      <c r="AG72" s="150"/>
      <c r="AH72" s="150"/>
    </row>
    <row r="73" spans="24:34" ht="14" x14ac:dyDescent="0.15">
      <c r="X73" s="150"/>
      <c r="Y73" s="150"/>
      <c r="Z73" s="150"/>
      <c r="AA73" s="150"/>
      <c r="AB73" s="150"/>
      <c r="AC73" s="150"/>
      <c r="AD73" s="150"/>
      <c r="AE73" s="150"/>
      <c r="AF73" s="150"/>
      <c r="AG73" s="150"/>
      <c r="AH73" s="150"/>
    </row>
    <row r="74" spans="24:34" ht="14" x14ac:dyDescent="0.15">
      <c r="X74" s="150"/>
      <c r="Y74" s="150"/>
      <c r="Z74" s="150"/>
      <c r="AA74" s="150"/>
      <c r="AB74" s="150"/>
      <c r="AC74" s="150"/>
      <c r="AD74" s="150"/>
      <c r="AE74" s="150"/>
      <c r="AF74" s="150"/>
      <c r="AG74" s="150"/>
      <c r="AH74" s="150"/>
    </row>
    <row r="75" spans="24:34" ht="14" x14ac:dyDescent="0.15">
      <c r="X75" s="150"/>
      <c r="Y75" s="150"/>
      <c r="Z75" s="150"/>
      <c r="AA75" s="150"/>
      <c r="AB75" s="150"/>
      <c r="AC75" s="150"/>
      <c r="AD75" s="150"/>
      <c r="AE75" s="150"/>
      <c r="AF75" s="150"/>
      <c r="AG75" s="150"/>
      <c r="AH75" s="150"/>
    </row>
    <row r="76" spans="24:34" ht="14" x14ac:dyDescent="0.15">
      <c r="X76" s="150"/>
      <c r="Y76" s="150"/>
      <c r="Z76" s="150"/>
      <c r="AA76" s="150"/>
      <c r="AB76" s="150"/>
      <c r="AC76" s="150"/>
      <c r="AD76" s="150"/>
      <c r="AE76" s="150"/>
      <c r="AF76" s="150"/>
      <c r="AG76" s="150"/>
      <c r="AH76" s="150"/>
    </row>
    <row r="77" spans="24:34" ht="14" x14ac:dyDescent="0.15">
      <c r="X77" s="150"/>
      <c r="Y77" s="150"/>
      <c r="Z77" s="150"/>
      <c r="AA77" s="150"/>
      <c r="AB77" s="150"/>
      <c r="AC77" s="150"/>
      <c r="AD77" s="150"/>
      <c r="AE77" s="150"/>
      <c r="AF77" s="150"/>
      <c r="AG77" s="150"/>
      <c r="AH77" s="150"/>
    </row>
    <row r="78" spans="24:34" ht="14" x14ac:dyDescent="0.15">
      <c r="X78" s="150"/>
      <c r="Y78" s="150"/>
      <c r="Z78" s="150"/>
      <c r="AA78" s="150"/>
      <c r="AB78" s="150"/>
      <c r="AC78" s="150"/>
      <c r="AD78" s="150"/>
      <c r="AE78" s="150"/>
      <c r="AF78" s="150"/>
      <c r="AG78" s="150"/>
      <c r="AH78" s="150"/>
    </row>
    <row r="79" spans="24:34" ht="14" x14ac:dyDescent="0.15">
      <c r="X79" s="150"/>
      <c r="Y79" s="150"/>
      <c r="Z79" s="150"/>
      <c r="AA79" s="150"/>
      <c r="AB79" s="150"/>
      <c r="AC79" s="150"/>
      <c r="AD79" s="150"/>
      <c r="AE79" s="150"/>
      <c r="AF79" s="150"/>
      <c r="AG79" s="150"/>
      <c r="AH79" s="150"/>
    </row>
    <row r="80" spans="24:34" ht="14" x14ac:dyDescent="0.15">
      <c r="X80" s="150"/>
      <c r="Y80" s="150"/>
      <c r="Z80" s="150"/>
      <c r="AA80" s="150"/>
      <c r="AB80" s="150"/>
      <c r="AC80" s="150"/>
      <c r="AD80" s="150"/>
      <c r="AE80" s="150"/>
      <c r="AF80" s="150"/>
      <c r="AG80" s="150"/>
      <c r="AH80" s="150"/>
    </row>
    <row r="81" spans="24:34" ht="14" x14ac:dyDescent="0.15">
      <c r="X81" s="150"/>
      <c r="Y81" s="150"/>
      <c r="Z81" s="150"/>
      <c r="AA81" s="150"/>
      <c r="AB81" s="150"/>
      <c r="AC81" s="150"/>
      <c r="AD81" s="150"/>
      <c r="AE81" s="150"/>
      <c r="AF81" s="150"/>
      <c r="AG81" s="150"/>
      <c r="AH81" s="150"/>
    </row>
    <row r="82" spans="24:34" ht="14" x14ac:dyDescent="0.15">
      <c r="X82" s="150"/>
      <c r="Y82" s="150"/>
      <c r="Z82" s="150"/>
      <c r="AA82" s="150"/>
      <c r="AB82" s="150"/>
      <c r="AC82" s="150"/>
      <c r="AD82" s="150"/>
      <c r="AE82" s="150"/>
      <c r="AF82" s="150"/>
      <c r="AG82" s="150"/>
      <c r="AH82" s="150"/>
    </row>
    <row r="83" spans="24:34" ht="14" x14ac:dyDescent="0.15">
      <c r="X83" s="150"/>
      <c r="Y83" s="150"/>
      <c r="Z83" s="150"/>
      <c r="AA83" s="150"/>
      <c r="AB83" s="150"/>
      <c r="AC83" s="150"/>
      <c r="AD83" s="150"/>
      <c r="AE83" s="150"/>
      <c r="AF83" s="150"/>
      <c r="AG83" s="150"/>
      <c r="AH83" s="150"/>
    </row>
    <row r="84" spans="24:34" ht="14" x14ac:dyDescent="0.15">
      <c r="X84" s="150"/>
      <c r="Y84" s="150"/>
      <c r="Z84" s="150"/>
      <c r="AA84" s="150"/>
      <c r="AB84" s="150"/>
      <c r="AC84" s="150"/>
      <c r="AD84" s="150"/>
      <c r="AE84" s="150"/>
      <c r="AF84" s="150"/>
      <c r="AG84" s="150"/>
      <c r="AH84" s="150"/>
    </row>
    <row r="85" spans="24:34" ht="14" x14ac:dyDescent="0.15">
      <c r="X85" s="150"/>
      <c r="Y85" s="150"/>
      <c r="Z85" s="150"/>
      <c r="AA85" s="150"/>
      <c r="AB85" s="150"/>
      <c r="AC85" s="150"/>
      <c r="AD85" s="150"/>
      <c r="AE85" s="150"/>
      <c r="AF85" s="150"/>
      <c r="AG85" s="150"/>
      <c r="AH85" s="150"/>
    </row>
    <row r="86" spans="24:34" ht="14" x14ac:dyDescent="0.15">
      <c r="X86" s="150"/>
      <c r="Y86" s="150"/>
      <c r="Z86" s="150"/>
      <c r="AA86" s="150"/>
      <c r="AB86" s="150"/>
      <c r="AC86" s="150"/>
      <c r="AD86" s="150"/>
      <c r="AE86" s="150"/>
      <c r="AF86" s="150"/>
      <c r="AG86" s="150"/>
      <c r="AH86" s="150"/>
    </row>
    <row r="87" spans="24:34" ht="14" x14ac:dyDescent="0.15">
      <c r="X87" s="150"/>
      <c r="Y87" s="150"/>
      <c r="Z87" s="150"/>
      <c r="AA87" s="150"/>
      <c r="AB87" s="150"/>
      <c r="AC87" s="150"/>
      <c r="AD87" s="150"/>
      <c r="AE87" s="150"/>
      <c r="AF87" s="150"/>
      <c r="AG87" s="150"/>
      <c r="AH87" s="150"/>
    </row>
    <row r="88" spans="24:34" ht="14" x14ac:dyDescent="0.15">
      <c r="X88" s="150"/>
      <c r="Y88" s="150"/>
      <c r="Z88" s="150"/>
      <c r="AA88" s="150"/>
      <c r="AB88" s="150"/>
      <c r="AC88" s="150"/>
      <c r="AD88" s="150"/>
      <c r="AE88" s="150"/>
      <c r="AF88" s="150"/>
      <c r="AG88" s="150"/>
      <c r="AH88" s="150"/>
    </row>
    <row r="89" spans="24:34" ht="14" x14ac:dyDescent="0.15">
      <c r="X89" s="150"/>
      <c r="Y89" s="150"/>
      <c r="Z89" s="150"/>
      <c r="AA89" s="150"/>
      <c r="AB89" s="150"/>
      <c r="AC89" s="150"/>
      <c r="AD89" s="150"/>
      <c r="AE89" s="150"/>
      <c r="AF89" s="150"/>
      <c r="AG89" s="150"/>
      <c r="AH89" s="150"/>
    </row>
    <row r="90" spans="24:34" ht="14" x14ac:dyDescent="0.15">
      <c r="X90" s="150"/>
      <c r="Y90" s="150"/>
      <c r="Z90" s="150"/>
      <c r="AA90" s="150"/>
      <c r="AB90" s="150"/>
      <c r="AC90" s="150"/>
      <c r="AD90" s="150"/>
      <c r="AE90" s="150"/>
      <c r="AF90" s="150"/>
      <c r="AG90" s="150"/>
      <c r="AH90" s="150"/>
    </row>
    <row r="91" spans="24:34" ht="14" x14ac:dyDescent="0.15">
      <c r="X91" s="150"/>
      <c r="Y91" s="150"/>
      <c r="Z91" s="150"/>
      <c r="AA91" s="150"/>
      <c r="AB91" s="150"/>
      <c r="AC91" s="150"/>
      <c r="AD91" s="150"/>
      <c r="AE91" s="150"/>
      <c r="AF91" s="150"/>
      <c r="AG91" s="150"/>
      <c r="AH91" s="150"/>
    </row>
    <row r="92" spans="24:34" ht="14" x14ac:dyDescent="0.15">
      <c r="X92" s="150"/>
      <c r="Y92" s="150"/>
      <c r="Z92" s="150"/>
      <c r="AA92" s="150"/>
      <c r="AB92" s="150"/>
      <c r="AC92" s="150"/>
      <c r="AD92" s="150"/>
      <c r="AE92" s="150"/>
      <c r="AF92" s="150"/>
      <c r="AG92" s="150"/>
      <c r="AH92" s="150"/>
    </row>
    <row r="93" spans="24:34" ht="14" x14ac:dyDescent="0.15">
      <c r="X93" s="150"/>
      <c r="Y93" s="150"/>
      <c r="Z93" s="150"/>
      <c r="AA93" s="150"/>
      <c r="AB93" s="150"/>
      <c r="AC93" s="150"/>
      <c r="AD93" s="150"/>
      <c r="AE93" s="150"/>
      <c r="AF93" s="150"/>
      <c r="AG93" s="150"/>
      <c r="AH93" s="150"/>
    </row>
    <row r="94" spans="24:34" ht="14" x14ac:dyDescent="0.15">
      <c r="X94" s="150"/>
      <c r="Y94" s="150"/>
      <c r="Z94" s="150"/>
      <c r="AA94" s="150"/>
      <c r="AB94" s="150"/>
      <c r="AC94" s="150"/>
      <c r="AD94" s="150"/>
      <c r="AE94" s="150"/>
      <c r="AF94" s="150"/>
      <c r="AG94" s="150"/>
      <c r="AH94" s="150"/>
    </row>
    <row r="95" spans="24:34" ht="14" x14ac:dyDescent="0.15">
      <c r="X95" s="150"/>
      <c r="Y95" s="150"/>
      <c r="Z95" s="150"/>
      <c r="AA95" s="150"/>
      <c r="AB95" s="150"/>
      <c r="AC95" s="150"/>
      <c r="AD95" s="150"/>
      <c r="AE95" s="150"/>
      <c r="AF95" s="150"/>
      <c r="AG95" s="150"/>
      <c r="AH95" s="150"/>
    </row>
    <row r="96" spans="24:34" ht="14" x14ac:dyDescent="0.15">
      <c r="X96" s="150"/>
      <c r="Y96" s="150"/>
      <c r="Z96" s="150"/>
      <c r="AA96" s="150"/>
      <c r="AB96" s="150"/>
      <c r="AC96" s="150"/>
      <c r="AD96" s="150"/>
      <c r="AE96" s="150"/>
      <c r="AF96" s="150"/>
      <c r="AG96" s="150"/>
      <c r="AH96" s="150"/>
    </row>
    <row r="97" spans="24:34" ht="14" x14ac:dyDescent="0.15">
      <c r="X97" s="150"/>
      <c r="Y97" s="150"/>
      <c r="Z97" s="150"/>
      <c r="AA97" s="150"/>
      <c r="AB97" s="150"/>
      <c r="AC97" s="150"/>
      <c r="AD97" s="150"/>
      <c r="AE97" s="150"/>
      <c r="AF97" s="150"/>
      <c r="AG97" s="150"/>
      <c r="AH97" s="150"/>
    </row>
    <row r="98" spans="24:34" ht="14" x14ac:dyDescent="0.15">
      <c r="X98" s="150"/>
      <c r="Y98" s="150"/>
      <c r="Z98" s="150"/>
      <c r="AA98" s="150"/>
      <c r="AB98" s="150"/>
      <c r="AC98" s="150"/>
      <c r="AD98" s="150"/>
      <c r="AE98" s="150"/>
      <c r="AF98" s="150"/>
      <c r="AG98" s="150"/>
      <c r="AH98" s="150"/>
    </row>
    <row r="99" spans="24:34" ht="14" x14ac:dyDescent="0.15">
      <c r="X99" s="150"/>
      <c r="Y99" s="150"/>
      <c r="Z99" s="150"/>
      <c r="AA99" s="150"/>
      <c r="AB99" s="150"/>
      <c r="AC99" s="150"/>
      <c r="AD99" s="150"/>
      <c r="AE99" s="150"/>
      <c r="AF99" s="150"/>
      <c r="AG99" s="150"/>
      <c r="AH99" s="150"/>
    </row>
    <row r="100" spans="24:34" ht="14" x14ac:dyDescent="0.15">
      <c r="X100" s="150"/>
      <c r="Y100" s="150"/>
      <c r="Z100" s="150"/>
      <c r="AA100" s="150"/>
      <c r="AB100" s="150"/>
      <c r="AC100" s="150"/>
      <c r="AD100" s="150"/>
      <c r="AE100" s="150"/>
      <c r="AF100" s="150"/>
      <c r="AG100" s="150"/>
      <c r="AH100" s="150"/>
    </row>
    <row r="101" spans="24:34" ht="14" x14ac:dyDescent="0.15">
      <c r="X101" s="150"/>
      <c r="Y101" s="150"/>
      <c r="Z101" s="150"/>
      <c r="AA101" s="150"/>
      <c r="AB101" s="150"/>
      <c r="AC101" s="150"/>
      <c r="AD101" s="150"/>
      <c r="AE101" s="150"/>
      <c r="AF101" s="150"/>
      <c r="AG101" s="150"/>
      <c r="AH101" s="150"/>
    </row>
    <row r="102" spans="24:34" ht="14" x14ac:dyDescent="0.15">
      <c r="X102" s="150"/>
      <c r="Y102" s="150"/>
      <c r="Z102" s="150"/>
      <c r="AA102" s="150"/>
      <c r="AB102" s="150"/>
      <c r="AC102" s="150"/>
      <c r="AD102" s="150"/>
      <c r="AE102" s="150"/>
      <c r="AF102" s="150"/>
      <c r="AG102" s="150"/>
      <c r="AH102" s="150"/>
    </row>
    <row r="103" spans="24:34" ht="14" x14ac:dyDescent="0.15">
      <c r="X103" s="150"/>
      <c r="Y103" s="150"/>
      <c r="Z103" s="150"/>
      <c r="AA103" s="150"/>
      <c r="AB103" s="150"/>
      <c r="AC103" s="150"/>
      <c r="AD103" s="150"/>
      <c r="AE103" s="150"/>
      <c r="AF103" s="150"/>
      <c r="AG103" s="150"/>
      <c r="AH103" s="150"/>
    </row>
    <row r="104" spans="24:34" ht="14" x14ac:dyDescent="0.15">
      <c r="X104" s="150"/>
      <c r="Y104" s="150"/>
      <c r="Z104" s="150"/>
      <c r="AA104" s="150"/>
      <c r="AB104" s="150"/>
      <c r="AC104" s="150"/>
      <c r="AD104" s="150"/>
      <c r="AE104" s="150"/>
      <c r="AF104" s="150"/>
      <c r="AG104" s="150"/>
      <c r="AH104" s="150"/>
    </row>
    <row r="105" spans="24:34" ht="14" x14ac:dyDescent="0.15">
      <c r="X105" s="150"/>
      <c r="Y105" s="150"/>
      <c r="Z105" s="150"/>
      <c r="AA105" s="150"/>
      <c r="AB105" s="150"/>
      <c r="AC105" s="150"/>
      <c r="AD105" s="150"/>
      <c r="AE105" s="150"/>
      <c r="AF105" s="150"/>
      <c r="AG105" s="150"/>
      <c r="AH105" s="150"/>
    </row>
    <row r="106" spans="24:34" ht="14" x14ac:dyDescent="0.15">
      <c r="X106" s="150"/>
      <c r="Y106" s="150"/>
      <c r="Z106" s="150"/>
      <c r="AA106" s="150"/>
      <c r="AB106" s="150"/>
      <c r="AC106" s="150"/>
      <c r="AD106" s="150"/>
      <c r="AE106" s="150"/>
      <c r="AF106" s="150"/>
      <c r="AG106" s="150"/>
      <c r="AH106" s="150"/>
    </row>
    <row r="107" spans="24:34" ht="14" x14ac:dyDescent="0.15">
      <c r="X107" s="150"/>
      <c r="Y107" s="150"/>
      <c r="Z107" s="150"/>
      <c r="AA107" s="150"/>
      <c r="AB107" s="150"/>
      <c r="AC107" s="150"/>
      <c r="AD107" s="150"/>
      <c r="AE107" s="150"/>
      <c r="AF107" s="150"/>
      <c r="AG107" s="150"/>
      <c r="AH107" s="150"/>
    </row>
    <row r="108" spans="24:34" ht="14" x14ac:dyDescent="0.15">
      <c r="X108" s="150"/>
      <c r="Y108" s="150"/>
      <c r="Z108" s="150"/>
      <c r="AA108" s="150"/>
      <c r="AB108" s="150"/>
      <c r="AC108" s="150"/>
      <c r="AD108" s="150"/>
      <c r="AE108" s="150"/>
      <c r="AF108" s="150"/>
      <c r="AG108" s="150"/>
      <c r="AH108" s="150"/>
    </row>
    <row r="109" spans="24:34" ht="14" x14ac:dyDescent="0.15">
      <c r="X109" s="150"/>
      <c r="Y109" s="150"/>
      <c r="Z109" s="150"/>
      <c r="AA109" s="150"/>
      <c r="AB109" s="150"/>
      <c r="AC109" s="150"/>
      <c r="AD109" s="150"/>
      <c r="AE109" s="150"/>
      <c r="AF109" s="150"/>
      <c r="AG109" s="150"/>
      <c r="AH109" s="150"/>
    </row>
    <row r="110" spans="24:34" ht="14" x14ac:dyDescent="0.15">
      <c r="X110" s="150"/>
      <c r="Y110" s="150"/>
      <c r="Z110" s="150"/>
      <c r="AA110" s="150"/>
      <c r="AB110" s="150"/>
      <c r="AC110" s="150"/>
      <c r="AD110" s="150"/>
      <c r="AE110" s="150"/>
      <c r="AF110" s="150"/>
      <c r="AG110" s="150"/>
      <c r="AH110" s="150"/>
    </row>
    <row r="111" spans="24:34" ht="14" x14ac:dyDescent="0.15">
      <c r="X111" s="150"/>
      <c r="Y111" s="150"/>
      <c r="Z111" s="150"/>
      <c r="AA111" s="150"/>
      <c r="AB111" s="150"/>
      <c r="AC111" s="150"/>
      <c r="AD111" s="150"/>
      <c r="AE111" s="150"/>
      <c r="AF111" s="150"/>
      <c r="AG111" s="150"/>
      <c r="AH111" s="150"/>
    </row>
    <row r="112" spans="24:34" ht="14" x14ac:dyDescent="0.15">
      <c r="X112" s="150"/>
      <c r="Y112" s="150"/>
      <c r="Z112" s="150"/>
      <c r="AA112" s="150"/>
      <c r="AB112" s="150"/>
      <c r="AC112" s="150"/>
      <c r="AD112" s="150"/>
      <c r="AE112" s="150"/>
      <c r="AF112" s="150"/>
      <c r="AG112" s="150"/>
      <c r="AH112" s="150"/>
    </row>
  </sheetData>
  <sheetProtection algorithmName="SHA-512" hashValue="ZBAU5e+WDvJue9w+thwGhEsqjuPBYNTTZoxh3UMj4M2gBN+YOMu7zwA+zTZqQotPP3jw7tJ8ulTKZD0jvzfZZg==" saltValue="1jpo4IIT1JkKo96/03MZkQ==" spinCount="100000" sheet="1" objects="1" scenarios="1"/>
  <dataValidations count="2">
    <dataValidation type="whole" showInputMessage="1" showErrorMessage="1" errorTitle="Incorrect number" error="Please enter quarterly consumption between 700-4000kWh" sqref="C5" xr:uid="{41619C37-692F-D943-B0F0-13EEA382A492}">
      <formula1>700</formula1>
      <formula2>4000</formula2>
    </dataValidation>
    <dataValidation type="decimal" showInputMessage="1" showErrorMessage="1" errorTitle="Incorrect entry" error="Enter 1.5 or 3.0 only" sqref="C4" xr:uid="{867AF902-5C2A-7E44-B64E-97A6159FEB42}">
      <formula1>1.5</formula1>
      <formula2>3</formula2>
    </dataValidation>
  </dataValidations>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B3C9-F28D-A04F-AB58-1EBF947CE1E3}">
  <sheetPr codeName="Sheet4"/>
  <dimension ref="A1:CT217"/>
  <sheetViews>
    <sheetView zoomScale="96" zoomScaleNormal="96" workbookViewId="0">
      <selection activeCell="T22" sqref="T22"/>
    </sheetView>
  </sheetViews>
  <sheetFormatPr baseColWidth="10" defaultColWidth="11.1640625" defaultRowHeight="13" x14ac:dyDescent="0.15"/>
  <cols>
    <col min="1" max="1" width="21.5" style="38" customWidth="1"/>
    <col min="2" max="2" width="30.5" style="38" bestFit="1" customWidth="1"/>
    <col min="3" max="7" width="14.83203125" style="38" customWidth="1"/>
    <col min="8" max="9" width="11.83203125" style="38" hidden="1" customWidth="1"/>
    <col min="10" max="15" width="14.83203125" style="38" customWidth="1"/>
    <col min="16" max="19" width="12.1640625" style="38" hidden="1" customWidth="1"/>
    <col min="20" max="23" width="14.83203125" style="38" customWidth="1"/>
    <col min="24" max="34" width="7.5" style="143" customWidth="1"/>
    <col min="35" max="98" width="11.1640625" style="143"/>
    <col min="99" max="16384" width="11.1640625" style="38"/>
  </cols>
  <sheetData>
    <row r="1" spans="1:34" s="143" customFormat="1" ht="14" x14ac:dyDescent="0.15">
      <c r="A1" s="142" t="s">
        <v>44</v>
      </c>
      <c r="B1" s="142"/>
      <c r="C1" s="142"/>
      <c r="D1" s="142"/>
      <c r="E1" s="142"/>
      <c r="F1" s="142"/>
      <c r="G1" s="142"/>
      <c r="H1" s="142">
        <v>3</v>
      </c>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row>
    <row r="2" spans="1:34" s="143" customFormat="1" ht="14" x14ac:dyDescent="0.15">
      <c r="A2" s="144" t="s">
        <v>6</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row>
    <row r="3" spans="1:34" s="143" customFormat="1" ht="14" x14ac:dyDescent="0.15">
      <c r="A3" s="144"/>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row>
    <row r="4" spans="1:34" ht="14" x14ac:dyDescent="0.15">
      <c r="A4" s="94" t="s">
        <v>163</v>
      </c>
      <c r="B4" s="95"/>
      <c r="C4" s="135">
        <v>3</v>
      </c>
      <c r="D4" s="142"/>
      <c r="E4" s="96" t="s">
        <v>77</v>
      </c>
      <c r="F4" s="97">
        <f>IF(C4&lt;H1,(675),(1351))</f>
        <v>1351</v>
      </c>
      <c r="G4" s="142"/>
      <c r="H4" s="142"/>
      <c r="I4" s="142"/>
      <c r="J4" s="98"/>
      <c r="K4" s="99" t="s">
        <v>45</v>
      </c>
      <c r="L4" s="100" t="s">
        <v>144</v>
      </c>
      <c r="M4" s="101" t="s">
        <v>145</v>
      </c>
      <c r="N4" s="142"/>
      <c r="O4" s="142"/>
      <c r="P4" s="142"/>
      <c r="Q4" s="142"/>
      <c r="R4" s="142"/>
      <c r="S4" s="142"/>
      <c r="T4" s="142"/>
      <c r="U4" s="142"/>
      <c r="V4" s="142"/>
      <c r="W4" s="142"/>
      <c r="X4" s="142"/>
      <c r="Y4" s="142"/>
      <c r="Z4" s="142"/>
      <c r="AA4" s="142"/>
      <c r="AB4" s="142"/>
      <c r="AC4" s="142"/>
      <c r="AD4" s="142"/>
      <c r="AE4" s="142"/>
      <c r="AF4" s="142"/>
      <c r="AG4" s="142"/>
      <c r="AH4" s="142"/>
    </row>
    <row r="5" spans="1:34" ht="14" x14ac:dyDescent="0.15">
      <c r="A5" s="102" t="s">
        <v>117</v>
      </c>
      <c r="B5" s="103"/>
      <c r="C5" s="136">
        <v>1500</v>
      </c>
      <c r="D5" s="142"/>
      <c r="E5" s="104" t="s">
        <v>75</v>
      </c>
      <c r="F5" s="105">
        <f>C5-(F4-F6)</f>
        <v>893.40100000000007</v>
      </c>
      <c r="G5" s="142"/>
      <c r="H5" s="142"/>
      <c r="I5" s="142"/>
      <c r="J5" s="106" t="s">
        <v>135</v>
      </c>
      <c r="K5" s="107">
        <f>F5*70/100</f>
        <v>625.38070000000005</v>
      </c>
      <c r="L5" s="108">
        <f>F5*30/100</f>
        <v>268.02030000000002</v>
      </c>
      <c r="M5" s="109" t="s">
        <v>196</v>
      </c>
      <c r="N5" s="142"/>
      <c r="O5" s="142"/>
      <c r="P5" s="142"/>
      <c r="Q5" s="142"/>
      <c r="R5" s="142"/>
      <c r="S5" s="142"/>
      <c r="T5" s="142"/>
      <c r="U5" s="142"/>
      <c r="V5" s="142"/>
      <c r="W5" s="142"/>
      <c r="X5" s="142"/>
      <c r="Y5" s="142"/>
      <c r="Z5" s="142"/>
      <c r="AA5" s="142"/>
      <c r="AB5" s="142"/>
      <c r="AC5" s="142"/>
      <c r="AD5" s="142"/>
      <c r="AE5" s="142"/>
      <c r="AF5" s="142"/>
      <c r="AG5" s="142"/>
      <c r="AH5" s="142"/>
    </row>
    <row r="6" spans="1:34" ht="14" x14ac:dyDescent="0.15">
      <c r="A6" s="143"/>
      <c r="B6" s="143"/>
      <c r="C6" s="143"/>
      <c r="D6" s="142"/>
      <c r="E6" s="104" t="s">
        <v>76</v>
      </c>
      <c r="F6" s="105">
        <f>IF(C4&lt;H1,(F4*27.3/100),(F4*55.1/100))</f>
        <v>744.40100000000007</v>
      </c>
      <c r="G6" s="142"/>
      <c r="H6" s="142"/>
      <c r="I6" s="142"/>
      <c r="J6" s="106" t="s">
        <v>136</v>
      </c>
      <c r="K6" s="107">
        <f>F5*20/100</f>
        <v>178.68020000000001</v>
      </c>
      <c r="L6" s="108">
        <f>F5*30/100</f>
        <v>268.02030000000002</v>
      </c>
      <c r="M6" s="110">
        <f>F5*50/100</f>
        <v>446.70050000000003</v>
      </c>
      <c r="N6" s="142"/>
      <c r="O6" s="142"/>
      <c r="P6" s="142"/>
      <c r="Q6" s="142"/>
      <c r="R6" s="142"/>
      <c r="S6" s="142"/>
      <c r="T6" s="142"/>
      <c r="U6" s="142"/>
      <c r="V6" s="142"/>
      <c r="W6" s="142"/>
      <c r="X6" s="142"/>
      <c r="Y6" s="142"/>
      <c r="Z6" s="142"/>
      <c r="AA6" s="142"/>
      <c r="AB6" s="142"/>
      <c r="AC6" s="142"/>
      <c r="AD6" s="142"/>
      <c r="AE6" s="142"/>
      <c r="AF6" s="142"/>
      <c r="AG6" s="142"/>
      <c r="AH6" s="142"/>
    </row>
    <row r="7" spans="1:34" s="143" customFormat="1" ht="15" thickBot="1" x14ac:dyDescent="0.2">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row>
    <row r="8" spans="1:34" ht="14" x14ac:dyDescent="0.15">
      <c r="A8" s="111" t="s">
        <v>109</v>
      </c>
      <c r="B8" s="112"/>
      <c r="C8" s="112"/>
      <c r="D8" s="112"/>
      <c r="E8" s="112"/>
      <c r="F8" s="112"/>
      <c r="G8" s="112"/>
      <c r="H8" s="112"/>
      <c r="I8" s="112"/>
      <c r="J8" s="112"/>
      <c r="K8" s="112"/>
      <c r="L8" s="112"/>
      <c r="M8" s="112"/>
      <c r="N8" s="112"/>
      <c r="O8" s="112"/>
      <c r="P8" s="112"/>
      <c r="Q8" s="112"/>
      <c r="R8" s="112"/>
      <c r="S8" s="112"/>
      <c r="T8" s="112"/>
      <c r="U8" s="112"/>
      <c r="V8" s="112"/>
      <c r="W8" s="113"/>
      <c r="X8" s="142"/>
      <c r="Y8" s="142"/>
      <c r="Z8" s="142"/>
      <c r="AA8" s="142"/>
      <c r="AB8" s="142"/>
      <c r="AC8" s="142"/>
      <c r="AD8" s="142"/>
      <c r="AE8" s="142"/>
      <c r="AF8" s="142"/>
      <c r="AG8" s="142"/>
      <c r="AH8" s="142"/>
    </row>
    <row r="9" spans="1:34" ht="90" x14ac:dyDescent="0.15">
      <c r="A9" s="266" t="s">
        <v>147</v>
      </c>
      <c r="B9" s="267" t="s">
        <v>133</v>
      </c>
      <c r="C9" s="268" t="s">
        <v>184</v>
      </c>
      <c r="D9" s="268" t="s">
        <v>16</v>
      </c>
      <c r="E9" s="269" t="s">
        <v>185</v>
      </c>
      <c r="F9" s="269" t="s">
        <v>186</v>
      </c>
      <c r="G9" s="268" t="s">
        <v>74</v>
      </c>
      <c r="H9" s="275" t="s">
        <v>34</v>
      </c>
      <c r="I9" s="276" t="s">
        <v>121</v>
      </c>
      <c r="J9" s="270" t="s">
        <v>35</v>
      </c>
      <c r="K9" s="271" t="s">
        <v>119</v>
      </c>
      <c r="L9" s="271" t="s">
        <v>63</v>
      </c>
      <c r="M9" s="271" t="s">
        <v>91</v>
      </c>
      <c r="N9" s="271" t="s">
        <v>150</v>
      </c>
      <c r="O9" s="272" t="s">
        <v>200</v>
      </c>
      <c r="P9" s="277" t="s">
        <v>102</v>
      </c>
      <c r="Q9" s="277" t="s">
        <v>29</v>
      </c>
      <c r="R9" s="277" t="s">
        <v>226</v>
      </c>
      <c r="S9" s="277" t="s">
        <v>100</v>
      </c>
      <c r="T9" s="272" t="s">
        <v>101</v>
      </c>
      <c r="U9" s="272" t="s">
        <v>174</v>
      </c>
      <c r="V9" s="271" t="s">
        <v>142</v>
      </c>
      <c r="W9" s="273" t="s">
        <v>143</v>
      </c>
      <c r="X9" s="142"/>
      <c r="Y9" s="142"/>
      <c r="Z9" s="142"/>
      <c r="AA9" s="142"/>
      <c r="AB9" s="142"/>
      <c r="AC9" s="142"/>
      <c r="AD9" s="142"/>
      <c r="AE9" s="142"/>
      <c r="AF9" s="142"/>
      <c r="AG9" s="142"/>
      <c r="AH9" s="142"/>
    </row>
    <row r="10" spans="1:34" ht="14" x14ac:dyDescent="0.15">
      <c r="A10" s="114" t="str">
        <f>'Tariffs 2018'!K2</f>
        <v>ActewAGL</v>
      </c>
      <c r="B10" s="38" t="str">
        <f>'Tariffs 2018'!L2</f>
        <v>Home Plan Reward No Exit Fee</v>
      </c>
      <c r="C10" s="115">
        <f>91*'Tariffs 2018'!M2/100</f>
        <v>88.724999999999994</v>
      </c>
      <c r="D10" s="115">
        <f>$F$5*'Tariffs 2018'!N2/100</f>
        <v>203.33806760000004</v>
      </c>
      <c r="E10" s="115">
        <v>0</v>
      </c>
      <c r="F10" s="115">
        <v>0</v>
      </c>
      <c r="G10" s="115">
        <f>SUM(C10:F10)</f>
        <v>292.06306760000007</v>
      </c>
      <c r="H10" s="131">
        <f>(G10-C10)*4</f>
        <v>813.35227040000029</v>
      </c>
      <c r="I10" s="116">
        <f>G10*4</f>
        <v>1168.2522704000003</v>
      </c>
      <c r="J10" s="117">
        <f>I10*1.1</f>
        <v>1285.0774974400003</v>
      </c>
      <c r="K10" s="38">
        <f>'Tariffs 2018'!AT2</f>
        <v>0</v>
      </c>
      <c r="L10" s="38">
        <f>'Tariffs 2018'!AU2</f>
        <v>12</v>
      </c>
      <c r="M10" s="38">
        <f>'Tariffs 2018'!AV2</f>
        <v>0</v>
      </c>
      <c r="N10" s="38">
        <f>'Tariffs 2018'!AW2</f>
        <v>0</v>
      </c>
      <c r="O10" s="118">
        <f>($F$6*'Tariffs 2018'!AQ2/100)*4</f>
        <v>238.20832000000001</v>
      </c>
      <c r="P10" s="117">
        <f>I10-(H10*L10/100)</f>
        <v>1070.6499979520001</v>
      </c>
      <c r="Q10" s="117">
        <f>P10</f>
        <v>1070.6499979520001</v>
      </c>
      <c r="R10" s="117">
        <f>P10-O10</f>
        <v>832.44167795200019</v>
      </c>
      <c r="S10" s="117">
        <f>Q10-O10</f>
        <v>832.44167795200019</v>
      </c>
      <c r="T10" s="119">
        <f>R10*1.1</f>
        <v>915.68584574720023</v>
      </c>
      <c r="U10" s="119">
        <f>S10*1.1</f>
        <v>915.68584574720023</v>
      </c>
      <c r="V10" s="120">
        <f>'Tariffs 2018'!BD2</f>
        <v>0</v>
      </c>
      <c r="W10" s="121" t="str">
        <f>'Tariffs 2018'!BE2</f>
        <v>n</v>
      </c>
      <c r="X10" s="142"/>
      <c r="Y10" s="142"/>
      <c r="Z10" s="142"/>
      <c r="AA10" s="142"/>
      <c r="AB10" s="142"/>
      <c r="AC10" s="142"/>
      <c r="AD10" s="142"/>
      <c r="AE10" s="142"/>
      <c r="AF10" s="142"/>
      <c r="AG10" s="142"/>
      <c r="AH10" s="142"/>
    </row>
    <row r="11" spans="1:34" ht="14" x14ac:dyDescent="0.15">
      <c r="A11" s="114" t="str">
        <f>'Tariffs 2018'!K3</f>
        <v>EnergyAustralia</v>
      </c>
      <c r="B11" s="38" t="str">
        <f>'Tariffs 2018'!L3</f>
        <v xml:space="preserve">Flexi Saver </v>
      </c>
      <c r="C11" s="115">
        <f>91*'Tariffs 2018'!M3/100</f>
        <v>67.704000000000008</v>
      </c>
      <c r="D11" s="115">
        <f>$F$5*'Tariffs 2018'!N3/100</f>
        <v>191.63451449999999</v>
      </c>
      <c r="E11" s="115">
        <v>0</v>
      </c>
      <c r="F11" s="115">
        <v>0</v>
      </c>
      <c r="G11" s="115">
        <f t="shared" ref="G11:G12" si="0">SUM(C11:F11)</f>
        <v>259.33851449999997</v>
      </c>
      <c r="H11" s="131">
        <f t="shared" ref="H11:H12" si="1">(G11-C11)*4</f>
        <v>766.53805799999986</v>
      </c>
      <c r="I11" s="116">
        <f t="shared" ref="I11:I12" si="2">G11*4</f>
        <v>1037.3540579999999</v>
      </c>
      <c r="J11" s="117">
        <f t="shared" ref="J11:J12" si="3">I11*1.1</f>
        <v>1141.0894638</v>
      </c>
      <c r="K11" s="38">
        <f>'Tariffs 2018'!AT3</f>
        <v>0</v>
      </c>
      <c r="L11" s="38">
        <f>'Tariffs 2018'!AU3</f>
        <v>0</v>
      </c>
      <c r="M11" s="38">
        <f>'Tariffs 2018'!AV3</f>
        <v>0</v>
      </c>
      <c r="N11" s="38">
        <f>'Tariffs 2018'!AW3</f>
        <v>11</v>
      </c>
      <c r="O11" s="118">
        <f>($F$6*'Tariffs 2018'!AQ3/100)*4</f>
        <v>372.20050000000003</v>
      </c>
      <c r="P11" s="117">
        <f>I11</f>
        <v>1037.3540579999999</v>
      </c>
      <c r="Q11" s="117">
        <f>P11-(H11*N11/100)</f>
        <v>953.03487161999988</v>
      </c>
      <c r="R11" s="117">
        <f>P11-O11</f>
        <v>665.15355799999986</v>
      </c>
      <c r="S11" s="117">
        <f t="shared" ref="S11:S12" si="4">Q11-O11</f>
        <v>580.83437161999984</v>
      </c>
      <c r="T11" s="119">
        <f t="shared" ref="T11:U12" si="5">R11*1.1</f>
        <v>731.66891379999993</v>
      </c>
      <c r="U11" s="119">
        <f t="shared" si="5"/>
        <v>638.91780878199984</v>
      </c>
      <c r="V11" s="120">
        <f>'Tariffs 2018'!BD3</f>
        <v>0</v>
      </c>
      <c r="W11" s="121" t="str">
        <f>'Tariffs 2018'!BE3</f>
        <v>n</v>
      </c>
      <c r="X11" s="142"/>
      <c r="Y11" s="142"/>
      <c r="Z11" s="142"/>
      <c r="AA11" s="142"/>
      <c r="AB11" s="142"/>
      <c r="AC11" s="142"/>
      <c r="AD11" s="142"/>
      <c r="AE11" s="142"/>
      <c r="AF11" s="142"/>
      <c r="AG11" s="142"/>
      <c r="AH11" s="142"/>
    </row>
    <row r="12" spans="1:34" ht="15" thickBot="1" x14ac:dyDescent="0.2">
      <c r="A12" s="122" t="str">
        <f>'Tariffs 2018'!K4</f>
        <v>Origin Energy</v>
      </c>
      <c r="B12" s="123" t="str">
        <f>'Tariffs 2018'!L4</f>
        <v>Solar Boost Plus</v>
      </c>
      <c r="C12" s="124">
        <f>91*'Tariffs 2018'!M4/100</f>
        <v>78.660399999999996</v>
      </c>
      <c r="D12" s="124">
        <f>$F$5*'Tariffs 2018'!N4/100</f>
        <v>187.5248699</v>
      </c>
      <c r="E12" s="124">
        <v>0</v>
      </c>
      <c r="F12" s="124">
        <v>0</v>
      </c>
      <c r="G12" s="124">
        <f t="shared" si="0"/>
        <v>266.18526989999998</v>
      </c>
      <c r="H12" s="132">
        <f t="shared" si="1"/>
        <v>750.0994796</v>
      </c>
      <c r="I12" s="125">
        <f t="shared" si="2"/>
        <v>1064.7410795999999</v>
      </c>
      <c r="J12" s="126">
        <f t="shared" si="3"/>
        <v>1171.21518756</v>
      </c>
      <c r="K12" s="123">
        <f>'Tariffs 2018'!AT4</f>
        <v>0</v>
      </c>
      <c r="L12" s="123">
        <f>'Tariffs 2018'!AU4</f>
        <v>12</v>
      </c>
      <c r="M12" s="123">
        <f>'Tariffs 2018'!AV4</f>
        <v>0</v>
      </c>
      <c r="N12" s="123">
        <f>'Tariffs 2018'!AW4</f>
        <v>0</v>
      </c>
      <c r="O12" s="127">
        <f>($F$6*'Tariffs 2018'!AQ4/100)*4</f>
        <v>506.19268000000005</v>
      </c>
      <c r="P12" s="126">
        <f>I12-(H12*L12/100)</f>
        <v>974.72914204799986</v>
      </c>
      <c r="Q12" s="126">
        <f>P12-(H12*N12/100)</f>
        <v>974.72914204799986</v>
      </c>
      <c r="R12" s="126">
        <f>P12-O12</f>
        <v>468.53646204799981</v>
      </c>
      <c r="S12" s="126">
        <f t="shared" si="4"/>
        <v>468.53646204799981</v>
      </c>
      <c r="T12" s="128">
        <f t="shared" si="5"/>
        <v>515.39010825279979</v>
      </c>
      <c r="U12" s="128">
        <f t="shared" si="5"/>
        <v>515.39010825279979</v>
      </c>
      <c r="V12" s="129">
        <f>'Tariffs 2018'!BD4</f>
        <v>0</v>
      </c>
      <c r="W12" s="130" t="str">
        <f>'Tariffs 2018'!BE4</f>
        <v>n</v>
      </c>
      <c r="X12" s="142"/>
      <c r="Y12" s="142"/>
      <c r="Z12" s="142"/>
      <c r="AA12" s="142"/>
      <c r="AB12" s="142"/>
      <c r="AC12" s="142"/>
      <c r="AD12" s="142"/>
      <c r="AE12" s="142"/>
      <c r="AF12" s="142"/>
      <c r="AG12" s="142"/>
      <c r="AH12" s="142"/>
    </row>
    <row r="13" spans="1:34" s="143" customFormat="1" ht="14" x14ac:dyDescent="0.15">
      <c r="X13" s="142"/>
      <c r="Y13" s="142"/>
      <c r="Z13" s="142"/>
      <c r="AA13" s="142"/>
      <c r="AB13" s="142"/>
      <c r="AC13" s="142"/>
      <c r="AD13" s="142"/>
      <c r="AE13" s="142"/>
      <c r="AF13" s="142"/>
      <c r="AG13" s="142"/>
      <c r="AH13" s="142"/>
    </row>
    <row r="14" spans="1:34" s="143" customFormat="1" ht="15" thickBot="1" x14ac:dyDescent="0.2">
      <c r="X14" s="142"/>
      <c r="Y14" s="142"/>
      <c r="Z14" s="142"/>
      <c r="AA14" s="142"/>
      <c r="AB14" s="142"/>
      <c r="AC14" s="142"/>
      <c r="AD14" s="142"/>
      <c r="AE14" s="142"/>
      <c r="AF14" s="142"/>
      <c r="AG14" s="142"/>
      <c r="AH14" s="142"/>
    </row>
    <row r="15" spans="1:34" ht="14" x14ac:dyDescent="0.15">
      <c r="A15" s="111" t="s">
        <v>111</v>
      </c>
      <c r="B15" s="112"/>
      <c r="C15" s="112"/>
      <c r="D15" s="112"/>
      <c r="E15" s="112"/>
      <c r="F15" s="112"/>
      <c r="G15" s="112"/>
      <c r="H15" s="112"/>
      <c r="I15" s="112"/>
      <c r="J15" s="112"/>
      <c r="K15" s="112"/>
      <c r="L15" s="112"/>
      <c r="M15" s="112"/>
      <c r="N15" s="112"/>
      <c r="O15" s="112"/>
      <c r="P15" s="112"/>
      <c r="Q15" s="112"/>
      <c r="R15" s="112"/>
      <c r="S15" s="112"/>
      <c r="T15" s="112"/>
      <c r="U15" s="112"/>
      <c r="V15" s="112"/>
      <c r="W15" s="113"/>
      <c r="X15" s="142"/>
      <c r="Y15" s="142"/>
      <c r="Z15" s="142"/>
      <c r="AA15" s="142"/>
      <c r="AB15" s="142"/>
      <c r="AC15" s="142"/>
      <c r="AD15" s="142"/>
      <c r="AE15" s="142"/>
      <c r="AF15" s="142"/>
      <c r="AG15" s="142"/>
      <c r="AH15" s="142"/>
    </row>
    <row r="16" spans="1:34" ht="90" x14ac:dyDescent="0.15">
      <c r="A16" s="266" t="s">
        <v>147</v>
      </c>
      <c r="B16" s="267" t="s">
        <v>133</v>
      </c>
      <c r="C16" s="268" t="s">
        <v>184</v>
      </c>
      <c r="D16" s="268" t="s">
        <v>16</v>
      </c>
      <c r="E16" s="269" t="s">
        <v>185</v>
      </c>
      <c r="F16" s="269" t="s">
        <v>186</v>
      </c>
      <c r="G16" s="268" t="s">
        <v>74</v>
      </c>
      <c r="H16" s="275" t="s">
        <v>34</v>
      </c>
      <c r="I16" s="276" t="s">
        <v>121</v>
      </c>
      <c r="J16" s="270" t="s">
        <v>35</v>
      </c>
      <c r="K16" s="271" t="s">
        <v>119</v>
      </c>
      <c r="L16" s="271" t="s">
        <v>63</v>
      </c>
      <c r="M16" s="271" t="s">
        <v>91</v>
      </c>
      <c r="N16" s="271" t="s">
        <v>150</v>
      </c>
      <c r="O16" s="272" t="s">
        <v>200</v>
      </c>
      <c r="P16" s="277" t="s">
        <v>102</v>
      </c>
      <c r="Q16" s="277" t="s">
        <v>29</v>
      </c>
      <c r="R16" s="277" t="s">
        <v>226</v>
      </c>
      <c r="S16" s="277" t="s">
        <v>100</v>
      </c>
      <c r="T16" s="272" t="s">
        <v>101</v>
      </c>
      <c r="U16" s="272" t="s">
        <v>174</v>
      </c>
      <c r="V16" s="271" t="s">
        <v>142</v>
      </c>
      <c r="W16" s="273" t="s">
        <v>143</v>
      </c>
      <c r="X16" s="142"/>
      <c r="Y16" s="142"/>
      <c r="Z16" s="142"/>
      <c r="AA16" s="142"/>
      <c r="AB16" s="142"/>
      <c r="AC16" s="142"/>
      <c r="AD16" s="142"/>
      <c r="AE16" s="142"/>
      <c r="AF16" s="142"/>
      <c r="AG16" s="142"/>
      <c r="AH16" s="142"/>
    </row>
    <row r="17" spans="1:34" ht="14" x14ac:dyDescent="0.15">
      <c r="A17" s="114" t="str">
        <f>'Tariffs 2018'!K5</f>
        <v>ActewAGL</v>
      </c>
      <c r="B17" s="38" t="str">
        <f>'Tariffs 2018'!L5</f>
        <v>Home Saver Reward No Exit Fee</v>
      </c>
      <c r="C17" s="131">
        <f>91*'Tariffs 2018'!M5/100</f>
        <v>108.56299999999999</v>
      </c>
      <c r="D17" s="131">
        <f>IF($F$5&gt;='Tariffs 2018'!P5,('Tariffs 2018'!P5*'Tariffs 2018'!N5/100),($F$5*'Tariffs 2018'!N5/100))</f>
        <v>192.52791550000001</v>
      </c>
      <c r="E17" s="131">
        <v>0</v>
      </c>
      <c r="F17" s="131">
        <f>IF(($F$5&lt;'Tariffs 2018'!P5),(0),($F$5-'Tariffs 2018'!P5)*'Tariffs 2018'!Q5/100)</f>
        <v>0</v>
      </c>
      <c r="G17" s="131">
        <f>SUM(C17:F17)</f>
        <v>301.09091549999999</v>
      </c>
      <c r="H17" s="131">
        <f>(G17-C17)*4</f>
        <v>770.11166200000002</v>
      </c>
      <c r="I17" s="116">
        <f t="shared" ref="I17:I18" si="6">G17*4</f>
        <v>1204.363662</v>
      </c>
      <c r="J17" s="117">
        <f t="shared" ref="J17:J18" si="7">I17*1.1</f>
        <v>1324.8000282</v>
      </c>
      <c r="K17" s="38">
        <f>'Tariffs 2018'!AT5</f>
        <v>0</v>
      </c>
      <c r="L17" s="38">
        <f>'Tariffs 2018'!AU5</f>
        <v>12</v>
      </c>
      <c r="M17" s="38">
        <f>'Tariffs 2018'!AV5</f>
        <v>0</v>
      </c>
      <c r="N17" s="38">
        <f>'Tariffs 2018'!AW5</f>
        <v>0</v>
      </c>
      <c r="O17" s="118">
        <f>($F$6*'Tariffs 2018'!AQ5/100)*4</f>
        <v>238.20832000000001</v>
      </c>
      <c r="P17" s="117">
        <f>I17-(H17*L17/100)</f>
        <v>1111.9502625600001</v>
      </c>
      <c r="Q17" s="117">
        <f>P17</f>
        <v>1111.9502625600001</v>
      </c>
      <c r="R17" s="117">
        <f>P17-O17</f>
        <v>873.7419425600001</v>
      </c>
      <c r="S17" s="117">
        <f>Q17-O17</f>
        <v>873.7419425600001</v>
      </c>
      <c r="T17" s="119">
        <f>R17*1.1</f>
        <v>961.11613681600022</v>
      </c>
      <c r="U17" s="119">
        <f>S17*1.1</f>
        <v>961.11613681600022</v>
      </c>
      <c r="V17" s="120">
        <f>'Tariffs 2018'!BD5</f>
        <v>0</v>
      </c>
      <c r="W17" s="121" t="str">
        <f>'Tariffs 2018'!BE5</f>
        <v>n</v>
      </c>
      <c r="X17" s="142"/>
      <c r="Y17" s="142"/>
      <c r="Z17" s="142"/>
      <c r="AA17" s="142"/>
      <c r="AB17" s="142"/>
      <c r="AC17" s="142"/>
      <c r="AD17" s="142"/>
      <c r="AE17" s="142"/>
      <c r="AF17" s="142"/>
      <c r="AG17" s="142"/>
      <c r="AH17" s="142"/>
    </row>
    <row r="18" spans="1:34" ht="15" thickBot="1" x14ac:dyDescent="0.2">
      <c r="A18" s="122" t="str">
        <f>'Tariffs 2018'!K6</f>
        <v>Origin Energy</v>
      </c>
      <c r="B18" s="123" t="str">
        <f>'Tariffs 2018'!L6</f>
        <v>Solar Boost Plus</v>
      </c>
      <c r="C18" s="132">
        <f>91*'Tariffs 2018'!M6/100</f>
        <v>98.28</v>
      </c>
      <c r="D18" s="132">
        <f>IF($F$5&gt;='Tariffs 2018'!P6,('Tariffs 2018'!P6*'Tariffs 2018'!N6/100),($F$5*'Tariffs 2018'!N6/100))</f>
        <v>170.19289050000003</v>
      </c>
      <c r="E18" s="132">
        <v>0</v>
      </c>
      <c r="F18" s="132">
        <f>IF(($F$5&lt;'Tariffs 2018'!P6),(0),($F$5-'Tariffs 2018'!P6)*'Tariffs 2018'!Q6/100)</f>
        <v>0</v>
      </c>
      <c r="G18" s="132">
        <f>SUM(C18:F18)</f>
        <v>268.47289050000006</v>
      </c>
      <c r="H18" s="132">
        <f t="shared" ref="H18" si="8">(G18-C18)*4</f>
        <v>680.77156200000024</v>
      </c>
      <c r="I18" s="125">
        <f t="shared" si="6"/>
        <v>1073.8915620000002</v>
      </c>
      <c r="J18" s="126">
        <f t="shared" si="7"/>
        <v>1181.2807182000004</v>
      </c>
      <c r="K18" s="123">
        <f>'Tariffs 2018'!AT6</f>
        <v>0</v>
      </c>
      <c r="L18" s="123">
        <f>'Tariffs 2018'!AU6</f>
        <v>12</v>
      </c>
      <c r="M18" s="123">
        <f>'Tariffs 2018'!AV6</f>
        <v>0</v>
      </c>
      <c r="N18" s="123">
        <f>'Tariffs 2018'!AW6</f>
        <v>0</v>
      </c>
      <c r="O18" s="127">
        <f>($F$6*'Tariffs 2018'!AQ6/100)*4</f>
        <v>506.19268000000005</v>
      </c>
      <c r="P18" s="117">
        <f>I18-(H18*L18/100)</f>
        <v>992.19897456000024</v>
      </c>
      <c r="Q18" s="126">
        <f>P18-(H18*N18/100)</f>
        <v>992.19897456000024</v>
      </c>
      <c r="R18" s="126">
        <f>P18-O18</f>
        <v>486.00629456000019</v>
      </c>
      <c r="S18" s="126">
        <f>Q18-O18</f>
        <v>486.00629456000019</v>
      </c>
      <c r="T18" s="128">
        <f t="shared" ref="T18:U18" si="9">R18*1.1</f>
        <v>534.60692401600022</v>
      </c>
      <c r="U18" s="128">
        <f t="shared" si="9"/>
        <v>534.60692401600022</v>
      </c>
      <c r="V18" s="129">
        <f>'Tariffs 2018'!BD6</f>
        <v>0</v>
      </c>
      <c r="W18" s="130" t="str">
        <f>'Tariffs 2018'!BE6</f>
        <v>n</v>
      </c>
      <c r="X18" s="142"/>
      <c r="Y18" s="142"/>
      <c r="Z18" s="142"/>
      <c r="AA18" s="142"/>
      <c r="AB18" s="142"/>
      <c r="AC18" s="142"/>
      <c r="AD18" s="142"/>
      <c r="AE18" s="142"/>
      <c r="AF18" s="142"/>
      <c r="AG18" s="142"/>
      <c r="AH18" s="142"/>
    </row>
    <row r="19" spans="1:34" s="143" customFormat="1" ht="14" x14ac:dyDescent="0.15">
      <c r="X19" s="142"/>
      <c r="Y19" s="142"/>
      <c r="Z19" s="142"/>
      <c r="AA19" s="142"/>
      <c r="AB19" s="142"/>
      <c r="AC19" s="142"/>
      <c r="AD19" s="142"/>
      <c r="AE19" s="142"/>
      <c r="AF19" s="142"/>
      <c r="AG19" s="142"/>
      <c r="AH19" s="142"/>
    </row>
    <row r="20" spans="1:34" s="143" customFormat="1" ht="15" thickBot="1" x14ac:dyDescent="0.2">
      <c r="X20" s="142"/>
      <c r="Y20" s="142"/>
      <c r="Z20" s="142"/>
      <c r="AA20" s="142"/>
      <c r="AB20" s="142"/>
      <c r="AC20" s="142"/>
      <c r="AD20" s="142"/>
      <c r="AE20" s="142"/>
      <c r="AF20" s="142"/>
      <c r="AG20" s="142"/>
      <c r="AH20" s="142"/>
    </row>
    <row r="21" spans="1:34" ht="14" x14ac:dyDescent="0.15">
      <c r="A21" s="111" t="s">
        <v>30</v>
      </c>
      <c r="B21" s="112"/>
      <c r="C21" s="112"/>
      <c r="D21" s="133"/>
      <c r="E21" s="133"/>
      <c r="F21" s="133"/>
      <c r="G21" s="134"/>
      <c r="H21" s="134"/>
      <c r="I21" s="112"/>
      <c r="J21" s="112"/>
      <c r="K21" s="112"/>
      <c r="L21" s="112"/>
      <c r="M21" s="112"/>
      <c r="N21" s="112"/>
      <c r="O21" s="112"/>
      <c r="P21" s="112"/>
      <c r="Q21" s="112"/>
      <c r="R21" s="112"/>
      <c r="S21" s="112"/>
      <c r="T21" s="112"/>
      <c r="U21" s="112"/>
      <c r="V21" s="112"/>
      <c r="W21" s="113"/>
      <c r="X21" s="142"/>
      <c r="Y21" s="142"/>
      <c r="Z21" s="142"/>
      <c r="AA21" s="142"/>
      <c r="AB21" s="142"/>
      <c r="AC21" s="142"/>
      <c r="AD21" s="142"/>
      <c r="AE21" s="142"/>
      <c r="AF21" s="142"/>
      <c r="AG21" s="142"/>
      <c r="AH21" s="142"/>
    </row>
    <row r="22" spans="1:34" ht="90" x14ac:dyDescent="0.15">
      <c r="A22" s="266" t="s">
        <v>147</v>
      </c>
      <c r="B22" s="267" t="s">
        <v>133</v>
      </c>
      <c r="C22" s="268" t="s">
        <v>184</v>
      </c>
      <c r="D22" s="268" t="s">
        <v>16</v>
      </c>
      <c r="E22" s="269" t="s">
        <v>186</v>
      </c>
      <c r="F22" s="268" t="s">
        <v>113</v>
      </c>
      <c r="G22" s="268" t="s">
        <v>74</v>
      </c>
      <c r="H22" s="275" t="s">
        <v>34</v>
      </c>
      <c r="I22" s="276" t="s">
        <v>121</v>
      </c>
      <c r="J22" s="270" t="s">
        <v>35</v>
      </c>
      <c r="K22" s="271" t="s">
        <v>119</v>
      </c>
      <c r="L22" s="271" t="s">
        <v>63</v>
      </c>
      <c r="M22" s="271" t="s">
        <v>91</v>
      </c>
      <c r="N22" s="271" t="s">
        <v>150</v>
      </c>
      <c r="O22" s="272" t="s">
        <v>200</v>
      </c>
      <c r="P22" s="277" t="s">
        <v>102</v>
      </c>
      <c r="Q22" s="277" t="s">
        <v>29</v>
      </c>
      <c r="R22" s="277" t="s">
        <v>226</v>
      </c>
      <c r="S22" s="277" t="s">
        <v>100</v>
      </c>
      <c r="T22" s="272" t="s">
        <v>101</v>
      </c>
      <c r="U22" s="272" t="s">
        <v>174</v>
      </c>
      <c r="V22" s="274" t="s">
        <v>142</v>
      </c>
      <c r="W22" s="273" t="s">
        <v>143</v>
      </c>
      <c r="X22" s="142"/>
      <c r="Y22" s="142"/>
      <c r="Z22" s="142"/>
      <c r="AA22" s="142"/>
      <c r="AB22" s="142"/>
      <c r="AC22" s="142"/>
      <c r="AD22" s="142"/>
      <c r="AE22" s="142"/>
      <c r="AF22" s="142"/>
      <c r="AG22" s="142"/>
      <c r="AH22" s="142"/>
    </row>
    <row r="23" spans="1:34" ht="14" x14ac:dyDescent="0.15">
      <c r="A23" s="114" t="str">
        <f>'Tariffs 2018'!K7</f>
        <v>ActewAGL</v>
      </c>
      <c r="B23" s="38" t="str">
        <f>'Tariffs 2018'!L7</f>
        <v>Home plan Reward No Exit Fee</v>
      </c>
      <c r="C23" s="131">
        <f>91*'Tariffs 2018'!M7/100</f>
        <v>88.724999999999994</v>
      </c>
      <c r="D23" s="131">
        <f>($K$5)*'Tariffs 2018'!N7/100</f>
        <v>142.33664732000003</v>
      </c>
      <c r="E23" s="131">
        <v>0</v>
      </c>
      <c r="F23" s="131">
        <f>($L$5)*'Tariffs 2018'!AE7/100</f>
        <v>37.871268390000004</v>
      </c>
      <c r="G23" s="131">
        <f>SUM(C23:F23)</f>
        <v>268.93291571000003</v>
      </c>
      <c r="H23" s="131">
        <f>(G23-C23)*4</f>
        <v>720.83166284000015</v>
      </c>
      <c r="I23" s="116">
        <f t="shared" ref="I23:I25" si="10">G23*4</f>
        <v>1075.7316628400001</v>
      </c>
      <c r="J23" s="117">
        <f t="shared" ref="J23:J25" si="11">I23*1.1</f>
        <v>1183.3048291240002</v>
      </c>
      <c r="K23" s="38">
        <f>'Tariffs 2018'!AT7</f>
        <v>0</v>
      </c>
      <c r="L23" s="38">
        <f>'Tariffs 2018'!AU7</f>
        <v>12</v>
      </c>
      <c r="M23" s="38">
        <f>'Tariffs 2018'!AV7</f>
        <v>0</v>
      </c>
      <c r="N23" s="38">
        <f>'Tariffs 2018'!AW7</f>
        <v>0</v>
      </c>
      <c r="O23" s="118">
        <f>($F$6*'Tariffs 2018'!AQ7/100)*4</f>
        <v>238.20832000000001</v>
      </c>
      <c r="P23" s="117">
        <f>I23-(H23*L23/100)</f>
        <v>989.23186329920009</v>
      </c>
      <c r="Q23" s="117">
        <f>P23</f>
        <v>989.23186329920009</v>
      </c>
      <c r="R23" s="117">
        <f>P23-O23</f>
        <v>751.02354329920013</v>
      </c>
      <c r="S23" s="117">
        <f>Q23-O23</f>
        <v>751.02354329920013</v>
      </c>
      <c r="T23" s="119">
        <f>R23*1.1</f>
        <v>826.12589762912023</v>
      </c>
      <c r="U23" s="119">
        <f>S23*1.1</f>
        <v>826.12589762912023</v>
      </c>
      <c r="V23" s="120">
        <f>'Tariffs 2018'!BD7</f>
        <v>0</v>
      </c>
      <c r="W23" s="121" t="str">
        <f>'Tariffs 2018'!BE7</f>
        <v>n</v>
      </c>
      <c r="X23" s="142"/>
      <c r="Y23" s="142"/>
      <c r="Z23" s="142"/>
      <c r="AA23" s="142"/>
      <c r="AB23" s="142"/>
      <c r="AC23" s="142"/>
      <c r="AD23" s="142"/>
      <c r="AE23" s="142"/>
      <c r="AF23" s="142"/>
      <c r="AG23" s="142"/>
      <c r="AH23" s="142"/>
    </row>
    <row r="24" spans="1:34" ht="14" x14ac:dyDescent="0.15">
      <c r="A24" s="114" t="str">
        <f>'Tariffs 2018'!K8</f>
        <v>EnergyAustralia</v>
      </c>
      <c r="B24" s="38" t="str">
        <f>'Tariffs 2018'!L8</f>
        <v xml:space="preserve">Flexi Saver </v>
      </c>
      <c r="C24" s="131">
        <f>91*'Tariffs 2018'!M8/100</f>
        <v>67.704000000000008</v>
      </c>
      <c r="D24" s="131">
        <f>($K$5)*'Tariffs 2018'!N8/100</f>
        <v>134.14416015</v>
      </c>
      <c r="E24" s="131">
        <v>0</v>
      </c>
      <c r="F24" s="131">
        <f>($L$5)*'Tariffs 2018'!AE8/100</f>
        <v>31.304771040000002</v>
      </c>
      <c r="G24" s="131">
        <f t="shared" ref="G24:G25" si="12">SUM(C24:F24)</f>
        <v>233.15293119</v>
      </c>
      <c r="H24" s="131">
        <f t="shared" ref="H24:H25" si="13">(G24-C24)*4</f>
        <v>661.79572475999998</v>
      </c>
      <c r="I24" s="116">
        <f t="shared" si="10"/>
        <v>932.61172476000002</v>
      </c>
      <c r="J24" s="117">
        <f t="shared" si="11"/>
        <v>1025.8728972360002</v>
      </c>
      <c r="K24" s="38">
        <f>'Tariffs 2018'!AT8</f>
        <v>0</v>
      </c>
      <c r="L24" s="38">
        <f>'Tariffs 2018'!AU8</f>
        <v>0</v>
      </c>
      <c r="M24" s="38">
        <f>'Tariffs 2018'!AV8</f>
        <v>0</v>
      </c>
      <c r="N24" s="38">
        <f>'Tariffs 2018'!AW8</f>
        <v>11</v>
      </c>
      <c r="O24" s="118">
        <f>($F$6*'Tariffs 2018'!AQ8/100)*4</f>
        <v>372.20050000000003</v>
      </c>
      <c r="P24" s="117">
        <f>I24</f>
        <v>932.61172476000002</v>
      </c>
      <c r="Q24" s="117">
        <f>P24-(H24*N24/100)</f>
        <v>859.81419503639995</v>
      </c>
      <c r="R24" s="117">
        <f t="shared" ref="R24:R25" si="14">P24-O24</f>
        <v>560.41122475999998</v>
      </c>
      <c r="S24" s="117">
        <f t="shared" ref="S24:S25" si="15">Q24-O24</f>
        <v>487.61369503639992</v>
      </c>
      <c r="T24" s="119">
        <f t="shared" ref="T24:U25" si="16">R24*1.1</f>
        <v>616.45234723600004</v>
      </c>
      <c r="U24" s="119">
        <f t="shared" si="16"/>
        <v>536.37506454003994</v>
      </c>
      <c r="V24" s="120">
        <f>'Tariffs 2018'!BD8</f>
        <v>0</v>
      </c>
      <c r="W24" s="121" t="str">
        <f>'Tariffs 2018'!BE8</f>
        <v>n</v>
      </c>
      <c r="X24" s="142"/>
      <c r="Y24" s="142"/>
      <c r="Z24" s="142"/>
      <c r="AA24" s="142"/>
      <c r="AB24" s="142"/>
      <c r="AC24" s="142"/>
      <c r="AD24" s="142"/>
      <c r="AE24" s="142"/>
      <c r="AF24" s="142"/>
      <c r="AG24" s="142"/>
      <c r="AH24" s="142"/>
    </row>
    <row r="25" spans="1:34" ht="15" thickBot="1" x14ac:dyDescent="0.2">
      <c r="A25" s="122" t="str">
        <f>'Tariffs 2018'!K9</f>
        <v>Origin Energy</v>
      </c>
      <c r="B25" s="123" t="str">
        <f>'Tariffs 2018'!L9</f>
        <v>Solar Boost Plus</v>
      </c>
      <c r="C25" s="132">
        <f>91*'Tariffs 2018'!M9/100</f>
        <v>78.660399999999996</v>
      </c>
      <c r="D25" s="132">
        <f>($K$5)*'Tariffs 2018'!N9/100</f>
        <v>131.26740892999999</v>
      </c>
      <c r="E25" s="132">
        <v>0</v>
      </c>
      <c r="F25" s="132">
        <f>($L$5)*'Tariffs 2018'!AE9/100</f>
        <v>33.958172010000006</v>
      </c>
      <c r="G25" s="132">
        <f t="shared" si="12"/>
        <v>243.88598093999997</v>
      </c>
      <c r="H25" s="132">
        <f t="shared" si="13"/>
        <v>660.90232375999994</v>
      </c>
      <c r="I25" s="125">
        <f t="shared" si="10"/>
        <v>975.54392375999987</v>
      </c>
      <c r="J25" s="126">
        <f t="shared" si="11"/>
        <v>1073.098316136</v>
      </c>
      <c r="K25" s="123">
        <f>'Tariffs 2018'!AT9</f>
        <v>0</v>
      </c>
      <c r="L25" s="123">
        <f>'Tariffs 2018'!AU9</f>
        <v>12</v>
      </c>
      <c r="M25" s="123">
        <f>'Tariffs 2018'!AV9</f>
        <v>0</v>
      </c>
      <c r="N25" s="123">
        <f>'Tariffs 2018'!AW9</f>
        <v>0</v>
      </c>
      <c r="O25" s="127">
        <f>($F$6*'Tariffs 2018'!AQ9/100)*4</f>
        <v>506.19268000000005</v>
      </c>
      <c r="P25" s="117">
        <f>I25-(H25*L25/100)</f>
        <v>896.23564490879994</v>
      </c>
      <c r="Q25" s="126">
        <f>P25-(H25*N25/100)</f>
        <v>896.23564490879994</v>
      </c>
      <c r="R25" s="126">
        <f t="shared" si="14"/>
        <v>390.04296490879989</v>
      </c>
      <c r="S25" s="126">
        <f t="shared" si="15"/>
        <v>390.04296490879989</v>
      </c>
      <c r="T25" s="128">
        <f t="shared" si="16"/>
        <v>429.04726139967994</v>
      </c>
      <c r="U25" s="128">
        <f t="shared" si="16"/>
        <v>429.04726139967994</v>
      </c>
      <c r="V25" s="129">
        <f>'Tariffs 2018'!BD9</f>
        <v>0</v>
      </c>
      <c r="W25" s="130" t="str">
        <f>'Tariffs 2018'!BE9</f>
        <v>n</v>
      </c>
      <c r="X25" s="142"/>
      <c r="Y25" s="142"/>
      <c r="Z25" s="142"/>
      <c r="AA25" s="142"/>
      <c r="AB25" s="142"/>
      <c r="AC25" s="142"/>
      <c r="AD25" s="142"/>
      <c r="AE25" s="142"/>
      <c r="AF25" s="142"/>
      <c r="AG25" s="142"/>
      <c r="AH25" s="142"/>
    </row>
    <row r="26" spans="1:34" s="143" customFormat="1" ht="14" x14ac:dyDescent="0.15">
      <c r="X26" s="142"/>
      <c r="Y26" s="142"/>
      <c r="Z26" s="142"/>
      <c r="AA26" s="142"/>
      <c r="AB26" s="142"/>
      <c r="AC26" s="142"/>
      <c r="AD26" s="142"/>
      <c r="AE26" s="142"/>
      <c r="AF26" s="142"/>
      <c r="AG26" s="142"/>
      <c r="AH26" s="142"/>
    </row>
    <row r="27" spans="1:34" s="143" customFormat="1" ht="15" thickBot="1" x14ac:dyDescent="0.2">
      <c r="X27" s="142"/>
      <c r="Y27" s="142"/>
      <c r="Z27" s="142"/>
      <c r="AA27" s="142"/>
      <c r="AB27" s="142"/>
      <c r="AC27" s="142"/>
      <c r="AD27" s="142"/>
      <c r="AE27" s="142"/>
      <c r="AF27" s="142"/>
      <c r="AG27" s="142"/>
      <c r="AH27" s="142"/>
    </row>
    <row r="28" spans="1:34" ht="14" x14ac:dyDescent="0.15">
      <c r="A28" s="111" t="s">
        <v>11</v>
      </c>
      <c r="B28" s="112"/>
      <c r="C28" s="112"/>
      <c r="D28" s="112"/>
      <c r="E28" s="112"/>
      <c r="F28" s="112"/>
      <c r="G28" s="112"/>
      <c r="H28" s="112"/>
      <c r="I28" s="112"/>
      <c r="J28" s="112"/>
      <c r="K28" s="112"/>
      <c r="L28" s="112"/>
      <c r="M28" s="112"/>
      <c r="N28" s="112"/>
      <c r="O28" s="112"/>
      <c r="P28" s="112"/>
      <c r="Q28" s="112"/>
      <c r="R28" s="112"/>
      <c r="S28" s="112"/>
      <c r="T28" s="112"/>
      <c r="U28" s="112"/>
      <c r="V28" s="112"/>
      <c r="W28" s="113"/>
      <c r="X28" s="142"/>
      <c r="Y28" s="142"/>
      <c r="Z28" s="142"/>
      <c r="AA28" s="142"/>
      <c r="AB28" s="142"/>
      <c r="AC28" s="142"/>
      <c r="AD28" s="142"/>
      <c r="AE28" s="142"/>
      <c r="AF28" s="142"/>
      <c r="AG28" s="142"/>
      <c r="AH28" s="142"/>
    </row>
    <row r="29" spans="1:34" ht="90" x14ac:dyDescent="0.15">
      <c r="A29" s="266" t="s">
        <v>147</v>
      </c>
      <c r="B29" s="267" t="s">
        <v>133</v>
      </c>
      <c r="C29" s="268" t="s">
        <v>184</v>
      </c>
      <c r="D29" s="268" t="s">
        <v>16</v>
      </c>
      <c r="E29" s="268" t="s">
        <v>32</v>
      </c>
      <c r="F29" s="268" t="s">
        <v>33</v>
      </c>
      <c r="G29" s="268" t="s">
        <v>74</v>
      </c>
      <c r="H29" s="275" t="s">
        <v>34</v>
      </c>
      <c r="I29" s="276" t="s">
        <v>121</v>
      </c>
      <c r="J29" s="270" t="s">
        <v>35</v>
      </c>
      <c r="K29" s="271" t="s">
        <v>119</v>
      </c>
      <c r="L29" s="271" t="s">
        <v>63</v>
      </c>
      <c r="M29" s="271" t="s">
        <v>91</v>
      </c>
      <c r="N29" s="271" t="s">
        <v>150</v>
      </c>
      <c r="O29" s="272" t="s">
        <v>200</v>
      </c>
      <c r="P29" s="277" t="s">
        <v>102</v>
      </c>
      <c r="Q29" s="277" t="s">
        <v>29</v>
      </c>
      <c r="R29" s="277" t="s">
        <v>226</v>
      </c>
      <c r="S29" s="277" t="s">
        <v>100</v>
      </c>
      <c r="T29" s="272" t="s">
        <v>101</v>
      </c>
      <c r="U29" s="272" t="s">
        <v>174</v>
      </c>
      <c r="V29" s="271" t="s">
        <v>142</v>
      </c>
      <c r="W29" s="273" t="s">
        <v>143</v>
      </c>
      <c r="X29" s="142"/>
      <c r="Y29" s="142"/>
      <c r="Z29" s="142"/>
      <c r="AA29" s="142"/>
      <c r="AB29" s="142"/>
      <c r="AC29" s="142"/>
      <c r="AD29" s="142"/>
      <c r="AE29" s="142"/>
      <c r="AF29" s="142"/>
      <c r="AG29" s="142"/>
      <c r="AH29" s="142"/>
    </row>
    <row r="30" spans="1:34" ht="14" x14ac:dyDescent="0.15">
      <c r="A30" s="114" t="str">
        <f>'Tariffs 2018'!K10</f>
        <v>ActewAGL</v>
      </c>
      <c r="B30" s="38" t="str">
        <f>'Tariffs 2018'!L10</f>
        <v>Home plan Reward No Exit Fee</v>
      </c>
      <c r="C30" s="131">
        <f>91*'Tariffs 2018'!M10/100</f>
        <v>88.724999999999994</v>
      </c>
      <c r="D30" s="131">
        <f>($K$6)*'Tariffs 2018'!N10/100</f>
        <v>52.817867120000003</v>
      </c>
      <c r="E30" s="131">
        <f>($M$6)*'Tariffs 2018'!AH10/100</f>
        <v>94.923856250000014</v>
      </c>
      <c r="F30" s="131">
        <f>($L$6)*'Tariffs 2018'!W10/100</f>
        <v>45.402638820000014</v>
      </c>
      <c r="G30" s="131">
        <f>SUM(C30:F30)</f>
        <v>281.86936219</v>
      </c>
      <c r="H30" s="131">
        <f t="shared" ref="H30:H32" si="17">(G30-C30)*4</f>
        <v>772.57744876000004</v>
      </c>
      <c r="I30" s="116">
        <f t="shared" ref="I30:I32" si="18">G30*4</f>
        <v>1127.47744876</v>
      </c>
      <c r="J30" s="117">
        <f t="shared" ref="J30:J32" si="19">I30*1.1</f>
        <v>1240.2251936360001</v>
      </c>
      <c r="K30" s="38">
        <f>'Tariffs 2018'!AT10</f>
        <v>0</v>
      </c>
      <c r="L30" s="38">
        <f>'Tariffs 2018'!AU10</f>
        <v>12</v>
      </c>
      <c r="M30" s="38">
        <f>'Tariffs 2018'!AV10</f>
        <v>0</v>
      </c>
      <c r="N30" s="38">
        <f>'Tariffs 2018'!AW10</f>
        <v>0</v>
      </c>
      <c r="O30" s="118">
        <f>($F$6*'Tariffs 2018'!AQ10/100)*4</f>
        <v>238.20832000000001</v>
      </c>
      <c r="P30" s="117">
        <f>I30-(H30*L30/100)</f>
        <v>1034.7681549087999</v>
      </c>
      <c r="Q30" s="117">
        <f>P30</f>
        <v>1034.7681549087999</v>
      </c>
      <c r="R30" s="117">
        <f>P30-O30</f>
        <v>796.55983490879998</v>
      </c>
      <c r="S30" s="117">
        <f>Q30-O30</f>
        <v>796.55983490879998</v>
      </c>
      <c r="T30" s="119">
        <f>R30*1.1</f>
        <v>876.21581839968007</v>
      </c>
      <c r="U30" s="119">
        <f>S30*1.1</f>
        <v>876.21581839968007</v>
      </c>
      <c r="V30" s="120">
        <f>'Tariffs 2018'!BD10</f>
        <v>0</v>
      </c>
      <c r="W30" s="121" t="str">
        <f>'Tariffs 2018'!BE10</f>
        <v>n</v>
      </c>
      <c r="X30" s="142"/>
      <c r="Y30" s="142"/>
      <c r="Z30" s="142"/>
      <c r="AA30" s="142"/>
      <c r="AB30" s="142"/>
      <c r="AC30" s="142"/>
      <c r="AD30" s="142"/>
      <c r="AE30" s="142"/>
      <c r="AF30" s="142"/>
      <c r="AG30" s="142"/>
      <c r="AH30" s="142"/>
    </row>
    <row r="31" spans="1:34" ht="14" x14ac:dyDescent="0.15">
      <c r="A31" s="114" t="str">
        <f>'Tariffs 2018'!K11</f>
        <v>EnergyAustralia</v>
      </c>
      <c r="B31" s="38" t="str">
        <f>'Tariffs 2018'!L11</f>
        <v xml:space="preserve">Flexi Saver </v>
      </c>
      <c r="C31" s="131">
        <f>91*'Tariffs 2018'!M11/100</f>
        <v>66.430000000000007</v>
      </c>
      <c r="D31" s="131">
        <f>($K$6)*'Tariffs 2018'!N11/100</f>
        <v>49.047714900000003</v>
      </c>
      <c r="E31" s="131">
        <f>($M$6)*'Tariffs 2018'!AH11/100</f>
        <v>84.739084849999998</v>
      </c>
      <c r="F31" s="131">
        <f>($L$6)*'Tariffs 2018'!W11/100</f>
        <v>38.648527260000002</v>
      </c>
      <c r="G31" s="131">
        <f t="shared" ref="G31:G32" si="20">SUM(C31:F31)</f>
        <v>238.86532701000002</v>
      </c>
      <c r="H31" s="131">
        <f t="shared" si="17"/>
        <v>689.74130804000004</v>
      </c>
      <c r="I31" s="116">
        <f t="shared" si="18"/>
        <v>955.46130804000006</v>
      </c>
      <c r="J31" s="117">
        <f t="shared" si="19"/>
        <v>1051.0074388440003</v>
      </c>
      <c r="K31" s="38">
        <f>'Tariffs 2018'!AT11</f>
        <v>0</v>
      </c>
      <c r="L31" s="38">
        <f>'Tariffs 2018'!AU11</f>
        <v>0</v>
      </c>
      <c r="M31" s="38">
        <f>'Tariffs 2018'!AV11</f>
        <v>0</v>
      </c>
      <c r="N31" s="38">
        <f>'Tariffs 2018'!AW11</f>
        <v>11</v>
      </c>
      <c r="O31" s="118">
        <f>($F$6*'Tariffs 2018'!AQ11/100)*4</f>
        <v>372.20050000000003</v>
      </c>
      <c r="P31" s="117">
        <f>I31</f>
        <v>955.46130804000006</v>
      </c>
      <c r="Q31" s="117">
        <f>P31-(H31*N31/100)</f>
        <v>879.58976415560005</v>
      </c>
      <c r="R31" s="117">
        <f t="shared" ref="R31:R32" si="21">P31-O31</f>
        <v>583.26080804000003</v>
      </c>
      <c r="S31" s="117">
        <f t="shared" ref="S31:S32" si="22">Q31-O31</f>
        <v>507.38926415560002</v>
      </c>
      <c r="T31" s="119">
        <f t="shared" ref="T31:U32" si="23">R31*1.1</f>
        <v>641.5868888440001</v>
      </c>
      <c r="U31" s="119">
        <f t="shared" si="23"/>
        <v>558.12819057116008</v>
      </c>
      <c r="V31" s="120">
        <f>'Tariffs 2018'!BD11</f>
        <v>0</v>
      </c>
      <c r="W31" s="121" t="str">
        <f>'Tariffs 2018'!BE11</f>
        <v>n</v>
      </c>
      <c r="X31" s="142"/>
      <c r="Y31" s="142"/>
      <c r="Z31" s="142"/>
      <c r="AA31" s="142"/>
      <c r="AB31" s="142"/>
      <c r="AC31" s="142"/>
      <c r="AD31" s="142"/>
      <c r="AE31" s="142"/>
      <c r="AF31" s="142"/>
      <c r="AG31" s="142"/>
      <c r="AH31" s="142"/>
    </row>
    <row r="32" spans="1:34" ht="15" thickBot="1" x14ac:dyDescent="0.2">
      <c r="A32" s="122" t="str">
        <f>'Tariffs 2018'!K12</f>
        <v>Origin Energy</v>
      </c>
      <c r="B32" s="123" t="str">
        <f>'Tariffs 2018'!L12</f>
        <v>Solar Boost Plus</v>
      </c>
      <c r="C32" s="132">
        <f>91*'Tariffs 2018'!M12/100</f>
        <v>78.660399999999996</v>
      </c>
      <c r="D32" s="132">
        <f>($K$6)*'Tariffs 2018'!N12/100</f>
        <v>48.047105780000003</v>
      </c>
      <c r="E32" s="132">
        <f>($M$6)*'Tariffs 2018'!AH12/100</f>
        <v>85.721825950000024</v>
      </c>
      <c r="F32" s="132">
        <f>($L$6)*'Tariffs 2018'!W12/100</f>
        <v>40.551471390000003</v>
      </c>
      <c r="G32" s="132">
        <f t="shared" si="20"/>
        <v>252.98080312000002</v>
      </c>
      <c r="H32" s="132">
        <f t="shared" si="17"/>
        <v>697.28161248000015</v>
      </c>
      <c r="I32" s="125">
        <f t="shared" si="18"/>
        <v>1011.9232124800001</v>
      </c>
      <c r="J32" s="126">
        <f t="shared" si="19"/>
        <v>1113.1155337280002</v>
      </c>
      <c r="K32" s="123">
        <f>'Tariffs 2018'!AT12</f>
        <v>0</v>
      </c>
      <c r="L32" s="123">
        <f>'Tariffs 2018'!AU12</f>
        <v>12</v>
      </c>
      <c r="M32" s="123">
        <f>'Tariffs 2018'!AV12</f>
        <v>0</v>
      </c>
      <c r="N32" s="123">
        <f>'Tariffs 2018'!AW12</f>
        <v>0</v>
      </c>
      <c r="O32" s="127">
        <f>($F$6*'Tariffs 2018'!AQ12/100)*4</f>
        <v>506.19268000000005</v>
      </c>
      <c r="P32" s="117">
        <f>I32-(H32*L32/100)</f>
        <v>928.24941898240002</v>
      </c>
      <c r="Q32" s="126">
        <f>P32-(H32*N32/100)</f>
        <v>928.24941898240002</v>
      </c>
      <c r="R32" s="126">
        <f t="shared" si="21"/>
        <v>422.05673898239996</v>
      </c>
      <c r="S32" s="126">
        <f t="shared" si="22"/>
        <v>422.05673898239996</v>
      </c>
      <c r="T32" s="128">
        <f t="shared" si="23"/>
        <v>464.26241288064</v>
      </c>
      <c r="U32" s="128">
        <f t="shared" si="23"/>
        <v>464.26241288064</v>
      </c>
      <c r="V32" s="129">
        <f>'Tariffs 2018'!BD12</f>
        <v>0</v>
      </c>
      <c r="W32" s="130" t="str">
        <f>'Tariffs 2018'!BE12</f>
        <v>n</v>
      </c>
      <c r="X32" s="142"/>
      <c r="Y32" s="142"/>
      <c r="Z32" s="142"/>
      <c r="AA32" s="142"/>
      <c r="AB32" s="142"/>
      <c r="AC32" s="142"/>
      <c r="AD32" s="142"/>
      <c r="AE32" s="142"/>
      <c r="AF32" s="142"/>
      <c r="AG32" s="142"/>
      <c r="AH32" s="142"/>
    </row>
    <row r="33" spans="24:34" s="143" customFormat="1" ht="14" x14ac:dyDescent="0.15">
      <c r="X33" s="142"/>
      <c r="Y33" s="142"/>
      <c r="Z33" s="142"/>
      <c r="AA33" s="142"/>
      <c r="AB33" s="142"/>
      <c r="AC33" s="142"/>
      <c r="AD33" s="142"/>
      <c r="AE33" s="142"/>
      <c r="AF33" s="142"/>
      <c r="AG33" s="142"/>
      <c r="AH33" s="142"/>
    </row>
    <row r="34" spans="24:34" s="143" customFormat="1" ht="14" x14ac:dyDescent="0.15">
      <c r="X34" s="142"/>
      <c r="Y34" s="142"/>
      <c r="Z34" s="142"/>
      <c r="AA34" s="142"/>
      <c r="AB34" s="142"/>
      <c r="AC34" s="142"/>
      <c r="AD34" s="142"/>
      <c r="AE34" s="142"/>
      <c r="AF34" s="142"/>
      <c r="AG34" s="142"/>
      <c r="AH34" s="142"/>
    </row>
    <row r="35" spans="24:34" s="143" customFormat="1" ht="14" x14ac:dyDescent="0.15">
      <c r="X35" s="142"/>
      <c r="Y35" s="142"/>
      <c r="Z35" s="142"/>
      <c r="AA35" s="142"/>
      <c r="AB35" s="142"/>
      <c r="AC35" s="142"/>
      <c r="AD35" s="142"/>
      <c r="AE35" s="142"/>
      <c r="AF35" s="142"/>
      <c r="AG35" s="142"/>
      <c r="AH35" s="142"/>
    </row>
    <row r="36" spans="24:34" s="143" customFormat="1" ht="14" x14ac:dyDescent="0.15">
      <c r="X36" s="142"/>
      <c r="Y36" s="142"/>
      <c r="Z36" s="142"/>
      <c r="AA36" s="142"/>
      <c r="AB36" s="142"/>
      <c r="AC36" s="142"/>
      <c r="AD36" s="142"/>
      <c r="AE36" s="142"/>
      <c r="AF36" s="142"/>
      <c r="AG36" s="142"/>
      <c r="AH36" s="142"/>
    </row>
    <row r="37" spans="24:34" s="143" customFormat="1" ht="14" x14ac:dyDescent="0.15">
      <c r="X37" s="142"/>
      <c r="Y37" s="142"/>
      <c r="Z37" s="142"/>
      <c r="AA37" s="142"/>
      <c r="AB37" s="142"/>
      <c r="AC37" s="142"/>
      <c r="AD37" s="142"/>
      <c r="AE37" s="142"/>
      <c r="AF37" s="142"/>
      <c r="AG37" s="142"/>
      <c r="AH37" s="142"/>
    </row>
    <row r="38" spans="24:34" s="143" customFormat="1" ht="14" x14ac:dyDescent="0.15">
      <c r="X38" s="142"/>
      <c r="Y38" s="142"/>
      <c r="Z38" s="142"/>
      <c r="AA38" s="142"/>
      <c r="AB38" s="142"/>
      <c r="AC38" s="142"/>
      <c r="AD38" s="142"/>
      <c r="AE38" s="142"/>
      <c r="AF38" s="142"/>
      <c r="AG38" s="142"/>
      <c r="AH38" s="142"/>
    </row>
    <row r="39" spans="24:34" s="143" customFormat="1" ht="14" x14ac:dyDescent="0.15">
      <c r="X39" s="142"/>
      <c r="Y39" s="142"/>
      <c r="Z39" s="142"/>
      <c r="AA39" s="142"/>
      <c r="AB39" s="142"/>
      <c r="AC39" s="142"/>
      <c r="AD39" s="142"/>
      <c r="AE39" s="142"/>
      <c r="AF39" s="142"/>
      <c r="AG39" s="142"/>
      <c r="AH39" s="142"/>
    </row>
    <row r="40" spans="24:34" s="143" customFormat="1" ht="14" x14ac:dyDescent="0.15">
      <c r="X40" s="142"/>
      <c r="Y40" s="142"/>
      <c r="Z40" s="142"/>
      <c r="AA40" s="142"/>
      <c r="AB40" s="142"/>
      <c r="AC40" s="142"/>
      <c r="AD40" s="142"/>
      <c r="AE40" s="142"/>
      <c r="AF40" s="142"/>
      <c r="AG40" s="142"/>
      <c r="AH40" s="142"/>
    </row>
    <row r="41" spans="24:34" s="143" customFormat="1" ht="14" x14ac:dyDescent="0.15">
      <c r="X41" s="142"/>
      <c r="Y41" s="142"/>
      <c r="Z41" s="142"/>
      <c r="AA41" s="142"/>
      <c r="AB41" s="142"/>
      <c r="AC41" s="142"/>
      <c r="AD41" s="142"/>
      <c r="AE41" s="142"/>
      <c r="AF41" s="142"/>
      <c r="AG41" s="142"/>
      <c r="AH41" s="142"/>
    </row>
    <row r="42" spans="24:34" s="143" customFormat="1" ht="14" x14ac:dyDescent="0.15">
      <c r="X42" s="142"/>
      <c r="Y42" s="142"/>
      <c r="Z42" s="142"/>
      <c r="AA42" s="142"/>
      <c r="AB42" s="142"/>
      <c r="AC42" s="142"/>
      <c r="AD42" s="142"/>
      <c r="AE42" s="142"/>
      <c r="AF42" s="142"/>
      <c r="AG42" s="142"/>
      <c r="AH42" s="142"/>
    </row>
    <row r="43" spans="24:34" s="143" customFormat="1" ht="14" x14ac:dyDescent="0.15">
      <c r="X43" s="142"/>
      <c r="Y43" s="142"/>
      <c r="Z43" s="142"/>
      <c r="AA43" s="142"/>
      <c r="AB43" s="142"/>
      <c r="AC43" s="142"/>
      <c r="AD43" s="142"/>
      <c r="AE43" s="142"/>
      <c r="AF43" s="142"/>
      <c r="AG43" s="142"/>
      <c r="AH43" s="142"/>
    </row>
    <row r="44" spans="24:34" s="143" customFormat="1" ht="14" x14ac:dyDescent="0.15">
      <c r="X44" s="142"/>
      <c r="Y44" s="142"/>
      <c r="Z44" s="142"/>
      <c r="AA44" s="142"/>
      <c r="AB44" s="142"/>
      <c r="AC44" s="142"/>
      <c r="AD44" s="142"/>
      <c r="AE44" s="142"/>
      <c r="AF44" s="142"/>
      <c r="AG44" s="142"/>
      <c r="AH44" s="142"/>
    </row>
    <row r="45" spans="24:34" s="143" customFormat="1" ht="14" x14ac:dyDescent="0.15">
      <c r="X45" s="142"/>
      <c r="Y45" s="142"/>
      <c r="Z45" s="142"/>
      <c r="AA45" s="142"/>
      <c r="AB45" s="142"/>
      <c r="AC45" s="142"/>
      <c r="AD45" s="142"/>
      <c r="AE45" s="142"/>
      <c r="AF45" s="142"/>
      <c r="AG45" s="142"/>
      <c r="AH45" s="142"/>
    </row>
    <row r="46" spans="24:34" s="143" customFormat="1" ht="14" x14ac:dyDescent="0.15">
      <c r="X46" s="142"/>
      <c r="Y46" s="142"/>
      <c r="Z46" s="142"/>
      <c r="AA46" s="142"/>
      <c r="AB46" s="142"/>
      <c r="AC46" s="142"/>
      <c r="AD46" s="142"/>
      <c r="AE46" s="142"/>
      <c r="AF46" s="142"/>
      <c r="AG46" s="142"/>
      <c r="AH46" s="142"/>
    </row>
    <row r="47" spans="24:34" s="143" customFormat="1" ht="14" x14ac:dyDescent="0.15">
      <c r="X47" s="142"/>
      <c r="Y47" s="142"/>
      <c r="Z47" s="142"/>
      <c r="AA47" s="142"/>
      <c r="AB47" s="142"/>
      <c r="AC47" s="142"/>
      <c r="AD47" s="142"/>
      <c r="AE47" s="142"/>
      <c r="AF47" s="142"/>
      <c r="AG47" s="142"/>
      <c r="AH47" s="142"/>
    </row>
    <row r="48" spans="24:34" s="143" customFormat="1" ht="14" x14ac:dyDescent="0.15">
      <c r="X48" s="142"/>
      <c r="Y48" s="142"/>
      <c r="Z48" s="142"/>
      <c r="AA48" s="142"/>
      <c r="AB48" s="142"/>
      <c r="AC48" s="142"/>
      <c r="AD48" s="142"/>
      <c r="AE48" s="142"/>
      <c r="AF48" s="142"/>
      <c r="AG48" s="142"/>
      <c r="AH48" s="142"/>
    </row>
    <row r="49" spans="24:34" s="143" customFormat="1" ht="14" x14ac:dyDescent="0.15">
      <c r="X49" s="142"/>
      <c r="Y49" s="142"/>
      <c r="Z49" s="142"/>
      <c r="AA49" s="142"/>
      <c r="AB49" s="142"/>
      <c r="AC49" s="142"/>
      <c r="AD49" s="142"/>
      <c r="AE49" s="142"/>
      <c r="AF49" s="142"/>
      <c r="AG49" s="142"/>
      <c r="AH49" s="142"/>
    </row>
    <row r="50" spans="24:34" s="143" customFormat="1" ht="14" x14ac:dyDescent="0.15">
      <c r="X50" s="142"/>
      <c r="Y50" s="142"/>
      <c r="Z50" s="142"/>
      <c r="AA50" s="142"/>
      <c r="AB50" s="142"/>
      <c r="AC50" s="142"/>
      <c r="AD50" s="142"/>
      <c r="AE50" s="142"/>
      <c r="AF50" s="142"/>
      <c r="AG50" s="142"/>
      <c r="AH50" s="142"/>
    </row>
    <row r="51" spans="24:34" s="143" customFormat="1" ht="14" x14ac:dyDescent="0.15">
      <c r="X51" s="142"/>
      <c r="Y51" s="142"/>
      <c r="Z51" s="142"/>
      <c r="AA51" s="142"/>
      <c r="AB51" s="142"/>
      <c r="AC51" s="142"/>
      <c r="AD51" s="142"/>
      <c r="AE51" s="142"/>
      <c r="AF51" s="142"/>
      <c r="AG51" s="142"/>
      <c r="AH51" s="142"/>
    </row>
    <row r="52" spans="24:34" s="143" customFormat="1" ht="14" x14ac:dyDescent="0.15">
      <c r="X52" s="142"/>
      <c r="Y52" s="142"/>
      <c r="Z52" s="142"/>
      <c r="AA52" s="142"/>
      <c r="AB52" s="142"/>
      <c r="AC52" s="142"/>
      <c r="AD52" s="142"/>
      <c r="AE52" s="142"/>
      <c r="AF52" s="142"/>
      <c r="AG52" s="142"/>
      <c r="AH52" s="142"/>
    </row>
    <row r="53" spans="24:34" s="143" customFormat="1" ht="14" x14ac:dyDescent="0.15">
      <c r="X53" s="142"/>
      <c r="Y53" s="142"/>
      <c r="Z53" s="142"/>
      <c r="AA53" s="142"/>
      <c r="AB53" s="142"/>
      <c r="AC53" s="142"/>
      <c r="AD53" s="142"/>
      <c r="AE53" s="142"/>
      <c r="AF53" s="142"/>
      <c r="AG53" s="142"/>
      <c r="AH53" s="142"/>
    </row>
    <row r="54" spans="24:34" s="143" customFormat="1" ht="14" x14ac:dyDescent="0.15">
      <c r="X54" s="142"/>
      <c r="Y54" s="142"/>
      <c r="Z54" s="142"/>
      <c r="AA54" s="142"/>
      <c r="AB54" s="142"/>
      <c r="AC54" s="142"/>
      <c r="AD54" s="142"/>
      <c r="AE54" s="142"/>
      <c r="AF54" s="142"/>
      <c r="AG54" s="142"/>
      <c r="AH54" s="142"/>
    </row>
    <row r="55" spans="24:34" s="143" customFormat="1" ht="14" x14ac:dyDescent="0.15">
      <c r="X55" s="142"/>
      <c r="Y55" s="142"/>
      <c r="Z55" s="142"/>
      <c r="AA55" s="142"/>
      <c r="AB55" s="142"/>
      <c r="AC55" s="142"/>
      <c r="AD55" s="142"/>
      <c r="AE55" s="142"/>
      <c r="AF55" s="142"/>
      <c r="AG55" s="142"/>
      <c r="AH55" s="142"/>
    </row>
    <row r="56" spans="24:34" s="143" customFormat="1" ht="14" x14ac:dyDescent="0.15">
      <c r="X56" s="142"/>
      <c r="Y56" s="142"/>
      <c r="Z56" s="142"/>
      <c r="AA56" s="142"/>
      <c r="AB56" s="142"/>
      <c r="AC56" s="142"/>
      <c r="AD56" s="142"/>
      <c r="AE56" s="142"/>
      <c r="AF56" s="142"/>
      <c r="AG56" s="142"/>
      <c r="AH56" s="142"/>
    </row>
    <row r="57" spans="24:34" s="143" customFormat="1" ht="14" x14ac:dyDescent="0.15">
      <c r="X57" s="142"/>
      <c r="Y57" s="142"/>
      <c r="Z57" s="142"/>
      <c r="AA57" s="142"/>
      <c r="AB57" s="142"/>
      <c r="AC57" s="142"/>
      <c r="AD57" s="142"/>
      <c r="AE57" s="142"/>
      <c r="AF57" s="142"/>
      <c r="AG57" s="142"/>
      <c r="AH57" s="142"/>
    </row>
    <row r="58" spans="24:34" s="143" customFormat="1" ht="14" x14ac:dyDescent="0.15">
      <c r="X58" s="142"/>
      <c r="Y58" s="142"/>
      <c r="Z58" s="142"/>
      <c r="AA58" s="142"/>
      <c r="AB58" s="142"/>
      <c r="AC58" s="142"/>
      <c r="AD58" s="142"/>
      <c r="AE58" s="142"/>
      <c r="AF58" s="142"/>
      <c r="AG58" s="142"/>
      <c r="AH58" s="142"/>
    </row>
    <row r="59" spans="24:34" s="143" customFormat="1" ht="14" x14ac:dyDescent="0.15">
      <c r="X59" s="142"/>
      <c r="Y59" s="142"/>
      <c r="Z59" s="142"/>
      <c r="AA59" s="142"/>
      <c r="AB59" s="142"/>
      <c r="AC59" s="142"/>
      <c r="AD59" s="142"/>
      <c r="AE59" s="142"/>
      <c r="AF59" s="142"/>
      <c r="AG59" s="142"/>
      <c r="AH59" s="142"/>
    </row>
    <row r="60" spans="24:34" s="143" customFormat="1" ht="14" x14ac:dyDescent="0.15">
      <c r="X60" s="142"/>
      <c r="Y60" s="142"/>
      <c r="Z60" s="142"/>
      <c r="AA60" s="142"/>
      <c r="AB60" s="142"/>
      <c r="AC60" s="142"/>
      <c r="AD60" s="142"/>
      <c r="AE60" s="142"/>
      <c r="AF60" s="142"/>
      <c r="AG60" s="142"/>
      <c r="AH60" s="142"/>
    </row>
    <row r="61" spans="24:34" s="143" customFormat="1" ht="14" x14ac:dyDescent="0.15">
      <c r="X61" s="142"/>
      <c r="Y61" s="142"/>
      <c r="Z61" s="142"/>
      <c r="AA61" s="142"/>
      <c r="AB61" s="142"/>
      <c r="AC61" s="142"/>
      <c r="AD61" s="142"/>
      <c r="AE61" s="142"/>
      <c r="AF61" s="142"/>
      <c r="AG61" s="142"/>
      <c r="AH61" s="142"/>
    </row>
    <row r="62" spans="24:34" s="143" customFormat="1" ht="14" x14ac:dyDescent="0.15">
      <c r="X62" s="142"/>
      <c r="Y62" s="142"/>
      <c r="Z62" s="142"/>
      <c r="AA62" s="142"/>
      <c r="AB62" s="142"/>
      <c r="AC62" s="142"/>
      <c r="AD62" s="142"/>
      <c r="AE62" s="142"/>
      <c r="AF62" s="142"/>
      <c r="AG62" s="142"/>
      <c r="AH62" s="142"/>
    </row>
    <row r="63" spans="24:34" s="143" customFormat="1" ht="14" x14ac:dyDescent="0.15">
      <c r="X63" s="142"/>
      <c r="Y63" s="142"/>
      <c r="Z63" s="142"/>
      <c r="AA63" s="142"/>
      <c r="AB63" s="142"/>
      <c r="AC63" s="142"/>
      <c r="AD63" s="142"/>
      <c r="AE63" s="142"/>
      <c r="AF63" s="142"/>
      <c r="AG63" s="142"/>
      <c r="AH63" s="142"/>
    </row>
    <row r="64" spans="24:34" s="143" customFormat="1" ht="14" x14ac:dyDescent="0.15">
      <c r="X64" s="142"/>
      <c r="Y64" s="142"/>
      <c r="Z64" s="142"/>
      <c r="AA64" s="142"/>
      <c r="AB64" s="142"/>
      <c r="AC64" s="142"/>
      <c r="AD64" s="142"/>
      <c r="AE64" s="142"/>
      <c r="AF64" s="142"/>
      <c r="AG64" s="142"/>
      <c r="AH64" s="142"/>
    </row>
    <row r="65" spans="24:34" s="143" customFormat="1" ht="14" x14ac:dyDescent="0.15">
      <c r="X65" s="142"/>
      <c r="Y65" s="142"/>
      <c r="Z65" s="142"/>
      <c r="AA65" s="142"/>
      <c r="AB65" s="142"/>
      <c r="AC65" s="142"/>
      <c r="AD65" s="142"/>
      <c r="AE65" s="142"/>
      <c r="AF65" s="142"/>
      <c r="AG65" s="142"/>
      <c r="AH65" s="142"/>
    </row>
    <row r="66" spans="24:34" s="143" customFormat="1" ht="14" x14ac:dyDescent="0.15">
      <c r="X66" s="142"/>
      <c r="Y66" s="142"/>
      <c r="Z66" s="142"/>
      <c r="AA66" s="142"/>
      <c r="AB66" s="142"/>
      <c r="AC66" s="142"/>
      <c r="AD66" s="142"/>
      <c r="AE66" s="142"/>
      <c r="AF66" s="142"/>
      <c r="AG66" s="142"/>
      <c r="AH66" s="142"/>
    </row>
    <row r="67" spans="24:34" s="143" customFormat="1" ht="14" x14ac:dyDescent="0.15">
      <c r="X67" s="142"/>
      <c r="Y67" s="142"/>
      <c r="Z67" s="142"/>
      <c r="AA67" s="142"/>
      <c r="AB67" s="142"/>
      <c r="AC67" s="142"/>
      <c r="AD67" s="142"/>
      <c r="AE67" s="142"/>
      <c r="AF67" s="142"/>
      <c r="AG67" s="142"/>
      <c r="AH67" s="142"/>
    </row>
    <row r="68" spans="24:34" s="143" customFormat="1" ht="14" x14ac:dyDescent="0.15">
      <c r="X68" s="142"/>
      <c r="Y68" s="142"/>
      <c r="Z68" s="142"/>
      <c r="AA68" s="142"/>
      <c r="AB68" s="142"/>
      <c r="AC68" s="142"/>
      <c r="AD68" s="142"/>
      <c r="AE68" s="142"/>
      <c r="AF68" s="142"/>
      <c r="AG68" s="142"/>
      <c r="AH68" s="142"/>
    </row>
    <row r="69" spans="24:34" s="143" customFormat="1" ht="14" x14ac:dyDescent="0.15">
      <c r="X69" s="142"/>
      <c r="Y69" s="142"/>
      <c r="Z69" s="142"/>
      <c r="AA69" s="142"/>
      <c r="AB69" s="142"/>
      <c r="AC69" s="142"/>
      <c r="AD69" s="142"/>
      <c r="AE69" s="142"/>
      <c r="AF69" s="142"/>
      <c r="AG69" s="142"/>
      <c r="AH69" s="142"/>
    </row>
    <row r="70" spans="24:34" s="143" customFormat="1" ht="14" x14ac:dyDescent="0.15">
      <c r="X70" s="142"/>
      <c r="Y70" s="142"/>
      <c r="Z70" s="142"/>
      <c r="AA70" s="142"/>
      <c r="AB70" s="142"/>
      <c r="AC70" s="142"/>
      <c r="AD70" s="142"/>
      <c r="AE70" s="142"/>
      <c r="AF70" s="142"/>
      <c r="AG70" s="142"/>
      <c r="AH70" s="142"/>
    </row>
    <row r="71" spans="24:34" s="143" customFormat="1" ht="14" x14ac:dyDescent="0.15">
      <c r="X71" s="142"/>
      <c r="Y71" s="142"/>
      <c r="Z71" s="142"/>
      <c r="AA71" s="142"/>
      <c r="AB71" s="142"/>
      <c r="AC71" s="142"/>
      <c r="AD71" s="142"/>
      <c r="AE71" s="142"/>
      <c r="AF71" s="142"/>
      <c r="AG71" s="142"/>
      <c r="AH71" s="142"/>
    </row>
    <row r="72" spans="24:34" s="143" customFormat="1" ht="14" x14ac:dyDescent="0.15">
      <c r="X72" s="142"/>
      <c r="Y72" s="142"/>
      <c r="Z72" s="142"/>
      <c r="AA72" s="142"/>
      <c r="AB72" s="142"/>
      <c r="AC72" s="142"/>
      <c r="AD72" s="142"/>
      <c r="AE72" s="142"/>
      <c r="AF72" s="142"/>
      <c r="AG72" s="142"/>
      <c r="AH72" s="142"/>
    </row>
    <row r="73" spans="24:34" s="143" customFormat="1" ht="14" x14ac:dyDescent="0.15">
      <c r="X73" s="142"/>
      <c r="Y73" s="142"/>
      <c r="Z73" s="142"/>
      <c r="AA73" s="142"/>
      <c r="AB73" s="142"/>
      <c r="AC73" s="142"/>
      <c r="AD73" s="142"/>
      <c r="AE73" s="142"/>
      <c r="AF73" s="142"/>
      <c r="AG73" s="142"/>
      <c r="AH73" s="142"/>
    </row>
    <row r="74" spans="24:34" s="143" customFormat="1" ht="14" x14ac:dyDescent="0.15">
      <c r="X74" s="142"/>
      <c r="Y74" s="142"/>
      <c r="Z74" s="142"/>
      <c r="AA74" s="142"/>
      <c r="AB74" s="142"/>
      <c r="AC74" s="142"/>
      <c r="AD74" s="142"/>
      <c r="AE74" s="142"/>
      <c r="AF74" s="142"/>
      <c r="AG74" s="142"/>
      <c r="AH74" s="142"/>
    </row>
    <row r="75" spans="24:34" s="143" customFormat="1" ht="14" x14ac:dyDescent="0.15">
      <c r="X75" s="142"/>
      <c r="Y75" s="142"/>
      <c r="Z75" s="142"/>
      <c r="AA75" s="142"/>
      <c r="AB75" s="142"/>
      <c r="AC75" s="142"/>
      <c r="AD75" s="142"/>
      <c r="AE75" s="142"/>
      <c r="AF75" s="142"/>
      <c r="AG75" s="142"/>
      <c r="AH75" s="142"/>
    </row>
    <row r="76" spans="24:34" s="143" customFormat="1" ht="14" x14ac:dyDescent="0.15">
      <c r="X76" s="142"/>
      <c r="Y76" s="142"/>
      <c r="Z76" s="142"/>
      <c r="AA76" s="142"/>
      <c r="AB76" s="142"/>
      <c r="AC76" s="142"/>
      <c r="AD76" s="142"/>
      <c r="AE76" s="142"/>
      <c r="AF76" s="142"/>
      <c r="AG76" s="142"/>
      <c r="AH76" s="142"/>
    </row>
    <row r="77" spans="24:34" s="143" customFormat="1" ht="14" x14ac:dyDescent="0.15">
      <c r="X77" s="142"/>
      <c r="Y77" s="142"/>
      <c r="Z77" s="142"/>
      <c r="AA77" s="142"/>
      <c r="AB77" s="142"/>
      <c r="AC77" s="142"/>
      <c r="AD77" s="142"/>
      <c r="AE77" s="142"/>
      <c r="AF77" s="142"/>
      <c r="AG77" s="142"/>
      <c r="AH77" s="142"/>
    </row>
    <row r="78" spans="24:34" s="143" customFormat="1" ht="14" x14ac:dyDescent="0.15">
      <c r="X78" s="142"/>
      <c r="Y78" s="142"/>
      <c r="Z78" s="142"/>
      <c r="AA78" s="142"/>
      <c r="AB78" s="142"/>
      <c r="AC78" s="142"/>
      <c r="AD78" s="142"/>
      <c r="AE78" s="142"/>
      <c r="AF78" s="142"/>
      <c r="AG78" s="142"/>
      <c r="AH78" s="142"/>
    </row>
    <row r="79" spans="24:34" s="143" customFormat="1" ht="14" x14ac:dyDescent="0.15">
      <c r="X79" s="142"/>
      <c r="Y79" s="142"/>
      <c r="Z79" s="142"/>
      <c r="AA79" s="142"/>
      <c r="AB79" s="142"/>
      <c r="AC79" s="142"/>
      <c r="AD79" s="142"/>
      <c r="AE79" s="142"/>
      <c r="AF79" s="142"/>
      <c r="AG79" s="142"/>
      <c r="AH79" s="142"/>
    </row>
    <row r="80" spans="24:34" s="143" customFormat="1" ht="14" x14ac:dyDescent="0.15">
      <c r="X80" s="142"/>
      <c r="Y80" s="142"/>
      <c r="Z80" s="142"/>
      <c r="AA80" s="142"/>
      <c r="AB80" s="142"/>
      <c r="AC80" s="142"/>
      <c r="AD80" s="142"/>
      <c r="AE80" s="142"/>
      <c r="AF80" s="142"/>
      <c r="AG80" s="142"/>
      <c r="AH80" s="142"/>
    </row>
    <row r="81" spans="24:34" s="143" customFormat="1" ht="14" x14ac:dyDescent="0.15">
      <c r="X81" s="142"/>
      <c r="Y81" s="142"/>
      <c r="Z81" s="142"/>
      <c r="AA81" s="142"/>
      <c r="AB81" s="142"/>
      <c r="AC81" s="142"/>
      <c r="AD81" s="142"/>
      <c r="AE81" s="142"/>
      <c r="AF81" s="142"/>
      <c r="AG81" s="142"/>
      <c r="AH81" s="142"/>
    </row>
    <row r="82" spans="24:34" s="143" customFormat="1" ht="14" x14ac:dyDescent="0.15">
      <c r="X82" s="142"/>
      <c r="Y82" s="142"/>
      <c r="Z82" s="142"/>
      <c r="AA82" s="142"/>
      <c r="AB82" s="142"/>
      <c r="AC82" s="142"/>
      <c r="AD82" s="142"/>
      <c r="AE82" s="142"/>
      <c r="AF82" s="142"/>
      <c r="AG82" s="142"/>
      <c r="AH82" s="142"/>
    </row>
    <row r="83" spans="24:34" s="143" customFormat="1" ht="14" x14ac:dyDescent="0.15">
      <c r="X83" s="142"/>
      <c r="Y83" s="142"/>
      <c r="Z83" s="142"/>
      <c r="AA83" s="142"/>
      <c r="AB83" s="142"/>
      <c r="AC83" s="142"/>
      <c r="AD83" s="142"/>
      <c r="AE83" s="142"/>
      <c r="AF83" s="142"/>
      <c r="AG83" s="142"/>
      <c r="AH83" s="142"/>
    </row>
    <row r="84" spans="24:34" s="143" customFormat="1" ht="14" x14ac:dyDescent="0.15">
      <c r="X84" s="142"/>
      <c r="Y84" s="142"/>
      <c r="Z84" s="142"/>
      <c r="AA84" s="142"/>
      <c r="AB84" s="142"/>
      <c r="AC84" s="142"/>
      <c r="AD84" s="142"/>
      <c r="AE84" s="142"/>
      <c r="AF84" s="142"/>
      <c r="AG84" s="142"/>
      <c r="AH84" s="142"/>
    </row>
    <row r="85" spans="24:34" s="143" customFormat="1" ht="14" x14ac:dyDescent="0.15">
      <c r="X85" s="142"/>
      <c r="Y85" s="142"/>
      <c r="Z85" s="142"/>
      <c r="AA85" s="142"/>
      <c r="AB85" s="142"/>
      <c r="AC85" s="142"/>
      <c r="AD85" s="142"/>
      <c r="AE85" s="142"/>
      <c r="AF85" s="142"/>
      <c r="AG85" s="142"/>
      <c r="AH85" s="142"/>
    </row>
    <row r="86" spans="24:34" s="143" customFormat="1" ht="14" x14ac:dyDescent="0.15">
      <c r="X86" s="142"/>
      <c r="Y86" s="142"/>
      <c r="Z86" s="142"/>
      <c r="AA86" s="142"/>
      <c r="AB86" s="142"/>
      <c r="AC86" s="142"/>
      <c r="AD86" s="142"/>
      <c r="AE86" s="142"/>
      <c r="AF86" s="142"/>
      <c r="AG86" s="142"/>
      <c r="AH86" s="142"/>
    </row>
    <row r="87" spans="24:34" s="143" customFormat="1" ht="14" x14ac:dyDescent="0.15">
      <c r="X87" s="142"/>
      <c r="Y87" s="142"/>
      <c r="Z87" s="142"/>
      <c r="AA87" s="142"/>
      <c r="AB87" s="142"/>
      <c r="AC87" s="142"/>
      <c r="AD87" s="142"/>
      <c r="AE87" s="142"/>
      <c r="AF87" s="142"/>
      <c r="AG87" s="142"/>
      <c r="AH87" s="142"/>
    </row>
    <row r="88" spans="24:34" s="143" customFormat="1" ht="14" x14ac:dyDescent="0.15">
      <c r="X88" s="142"/>
      <c r="Y88" s="142"/>
      <c r="Z88" s="142"/>
      <c r="AA88" s="142"/>
      <c r="AB88" s="142"/>
      <c r="AC88" s="142"/>
      <c r="AD88" s="142"/>
      <c r="AE88" s="142"/>
      <c r="AF88" s="142"/>
      <c r="AG88" s="142"/>
      <c r="AH88" s="142"/>
    </row>
    <row r="89" spans="24:34" s="143" customFormat="1" ht="14" x14ac:dyDescent="0.15">
      <c r="X89" s="142"/>
      <c r="Y89" s="142"/>
      <c r="Z89" s="142"/>
      <c r="AA89" s="142"/>
      <c r="AB89" s="142"/>
      <c r="AC89" s="142"/>
      <c r="AD89" s="142"/>
      <c r="AE89" s="142"/>
      <c r="AF89" s="142"/>
      <c r="AG89" s="142"/>
      <c r="AH89" s="142"/>
    </row>
    <row r="90" spans="24:34" s="143" customFormat="1" ht="14" x14ac:dyDescent="0.15">
      <c r="X90" s="142"/>
      <c r="Y90" s="142"/>
      <c r="Z90" s="142"/>
      <c r="AA90" s="142"/>
      <c r="AB90" s="142"/>
      <c r="AC90" s="142"/>
      <c r="AD90" s="142"/>
      <c r="AE90" s="142"/>
      <c r="AF90" s="142"/>
      <c r="AG90" s="142"/>
      <c r="AH90" s="142"/>
    </row>
    <row r="91" spans="24:34" s="143" customFormat="1" ht="14" x14ac:dyDescent="0.15">
      <c r="X91" s="142"/>
      <c r="Y91" s="142"/>
      <c r="Z91" s="142"/>
      <c r="AA91" s="142"/>
      <c r="AB91" s="142"/>
      <c r="AC91" s="142"/>
      <c r="AD91" s="142"/>
      <c r="AE91" s="142"/>
      <c r="AF91" s="142"/>
      <c r="AG91" s="142"/>
      <c r="AH91" s="142"/>
    </row>
    <row r="92" spans="24:34" s="143" customFormat="1" ht="14" x14ac:dyDescent="0.15">
      <c r="X92" s="142"/>
      <c r="Y92" s="142"/>
      <c r="Z92" s="142"/>
      <c r="AA92" s="142"/>
      <c r="AB92" s="142"/>
      <c r="AC92" s="142"/>
      <c r="AD92" s="142"/>
      <c r="AE92" s="142"/>
      <c r="AF92" s="142"/>
      <c r="AG92" s="142"/>
      <c r="AH92" s="142"/>
    </row>
    <row r="93" spans="24:34" s="143" customFormat="1" ht="14" x14ac:dyDescent="0.15">
      <c r="X93" s="142"/>
      <c r="Y93" s="142"/>
      <c r="Z93" s="142"/>
      <c r="AA93" s="142"/>
      <c r="AB93" s="142"/>
      <c r="AC93" s="142"/>
      <c r="AD93" s="142"/>
      <c r="AE93" s="142"/>
      <c r="AF93" s="142"/>
      <c r="AG93" s="142"/>
      <c r="AH93" s="142"/>
    </row>
    <row r="94" spans="24:34" s="143" customFormat="1" ht="14" x14ac:dyDescent="0.15">
      <c r="X94" s="142"/>
      <c r="Y94" s="142"/>
      <c r="Z94" s="142"/>
      <c r="AA94" s="142"/>
      <c r="AB94" s="142"/>
      <c r="AC94" s="142"/>
      <c r="AD94" s="142"/>
      <c r="AE94" s="142"/>
      <c r="AF94" s="142"/>
      <c r="AG94" s="142"/>
      <c r="AH94" s="142"/>
    </row>
    <row r="95" spans="24:34" s="143" customFormat="1" ht="14" x14ac:dyDescent="0.15">
      <c r="X95" s="142"/>
      <c r="Y95" s="142"/>
      <c r="Z95" s="142"/>
      <c r="AA95" s="142"/>
      <c r="AB95" s="142"/>
      <c r="AC95" s="142"/>
      <c r="AD95" s="142"/>
      <c r="AE95" s="142"/>
      <c r="AF95" s="142"/>
      <c r="AG95" s="142"/>
      <c r="AH95" s="142"/>
    </row>
    <row r="96" spans="24:34" s="143" customFormat="1" ht="14" x14ac:dyDescent="0.15">
      <c r="X96" s="142"/>
      <c r="Y96" s="142"/>
      <c r="Z96" s="142"/>
      <c r="AA96" s="142"/>
      <c r="AB96" s="142"/>
      <c r="AC96" s="142"/>
      <c r="AD96" s="142"/>
      <c r="AE96" s="142"/>
      <c r="AF96" s="142"/>
      <c r="AG96" s="142"/>
      <c r="AH96" s="142"/>
    </row>
    <row r="97" spans="24:34" s="143" customFormat="1" ht="14" x14ac:dyDescent="0.15">
      <c r="X97" s="142"/>
      <c r="Y97" s="142"/>
      <c r="Z97" s="142"/>
      <c r="AA97" s="142"/>
      <c r="AB97" s="142"/>
      <c r="AC97" s="142"/>
      <c r="AD97" s="142"/>
      <c r="AE97" s="142"/>
      <c r="AF97" s="142"/>
      <c r="AG97" s="142"/>
      <c r="AH97" s="142"/>
    </row>
    <row r="98" spans="24:34" s="143" customFormat="1" ht="14" x14ac:dyDescent="0.15">
      <c r="X98" s="142"/>
      <c r="Y98" s="142"/>
      <c r="Z98" s="142"/>
      <c r="AA98" s="142"/>
      <c r="AB98" s="142"/>
      <c r="AC98" s="142"/>
      <c r="AD98" s="142"/>
      <c r="AE98" s="142"/>
      <c r="AF98" s="142"/>
      <c r="AG98" s="142"/>
      <c r="AH98" s="142"/>
    </row>
    <row r="99" spans="24:34" s="143" customFormat="1" ht="14" x14ac:dyDescent="0.15">
      <c r="X99" s="142"/>
      <c r="Y99" s="142"/>
      <c r="Z99" s="142"/>
      <c r="AA99" s="142"/>
      <c r="AB99" s="142"/>
      <c r="AC99" s="142"/>
      <c r="AD99" s="142"/>
      <c r="AE99" s="142"/>
      <c r="AF99" s="142"/>
      <c r="AG99" s="142"/>
      <c r="AH99" s="142"/>
    </row>
    <row r="100" spans="24:34" s="143" customFormat="1" ht="14" x14ac:dyDescent="0.15">
      <c r="X100" s="142"/>
      <c r="Y100" s="142"/>
      <c r="Z100" s="142"/>
      <c r="AA100" s="142"/>
      <c r="AB100" s="142"/>
      <c r="AC100" s="142"/>
      <c r="AD100" s="142"/>
      <c r="AE100" s="142"/>
      <c r="AF100" s="142"/>
      <c r="AG100" s="142"/>
      <c r="AH100" s="142"/>
    </row>
    <row r="101" spans="24:34" s="143" customFormat="1" ht="14" x14ac:dyDescent="0.15">
      <c r="X101" s="142"/>
      <c r="Y101" s="142"/>
      <c r="Z101" s="142"/>
      <c r="AA101" s="142"/>
      <c r="AB101" s="142"/>
      <c r="AC101" s="142"/>
      <c r="AD101" s="142"/>
      <c r="AE101" s="142"/>
      <c r="AF101" s="142"/>
      <c r="AG101" s="142"/>
      <c r="AH101" s="142"/>
    </row>
    <row r="102" spans="24:34" s="143" customFormat="1" ht="14" x14ac:dyDescent="0.15">
      <c r="X102" s="142"/>
      <c r="Y102" s="142"/>
      <c r="Z102" s="142"/>
      <c r="AA102" s="142"/>
      <c r="AB102" s="142"/>
      <c r="AC102" s="142"/>
      <c r="AD102" s="142"/>
      <c r="AE102" s="142"/>
      <c r="AF102" s="142"/>
      <c r="AG102" s="142"/>
      <c r="AH102" s="142"/>
    </row>
    <row r="103" spans="24:34" s="143" customFormat="1" ht="14" x14ac:dyDescent="0.15">
      <c r="X103" s="142"/>
      <c r="Y103" s="142"/>
      <c r="Z103" s="142"/>
      <c r="AA103" s="142"/>
      <c r="AB103" s="142"/>
      <c r="AC103" s="142"/>
      <c r="AD103" s="142"/>
      <c r="AE103" s="142"/>
      <c r="AF103" s="142"/>
      <c r="AG103" s="142"/>
      <c r="AH103" s="142"/>
    </row>
    <row r="104" spans="24:34" s="143" customFormat="1" ht="14" x14ac:dyDescent="0.15">
      <c r="X104" s="142"/>
      <c r="Y104" s="142"/>
      <c r="Z104" s="142"/>
      <c r="AA104" s="142"/>
      <c r="AB104" s="142"/>
      <c r="AC104" s="142"/>
      <c r="AD104" s="142"/>
      <c r="AE104" s="142"/>
      <c r="AF104" s="142"/>
      <c r="AG104" s="142"/>
      <c r="AH104" s="142"/>
    </row>
    <row r="105" spans="24:34" s="143" customFormat="1" x14ac:dyDescent="0.15"/>
    <row r="106" spans="24:34" s="143" customFormat="1" x14ac:dyDescent="0.15"/>
    <row r="107" spans="24:34" s="143" customFormat="1" x14ac:dyDescent="0.15"/>
    <row r="108" spans="24:34" s="143" customFormat="1" x14ac:dyDescent="0.15"/>
    <row r="109" spans="24:34" s="143" customFormat="1" x14ac:dyDescent="0.15"/>
    <row r="110" spans="24:34" s="143" customFormat="1" x14ac:dyDescent="0.15"/>
    <row r="111" spans="24:34" s="143" customFormat="1" x14ac:dyDescent="0.15"/>
    <row r="112" spans="24:34" s="143" customFormat="1" x14ac:dyDescent="0.15"/>
    <row r="113" spans="24:98" s="143" customFormat="1" x14ac:dyDescent="0.15"/>
    <row r="114" spans="24:98" s="143" customFormat="1" x14ac:dyDescent="0.15"/>
    <row r="115" spans="24:98" s="143" customFormat="1" x14ac:dyDescent="0.15"/>
    <row r="116" spans="24:98" s="143" customFormat="1" x14ac:dyDescent="0.15"/>
    <row r="117" spans="24:98" s="143" customFormat="1" x14ac:dyDescent="0.15"/>
    <row r="118" spans="24:98" s="143" customFormat="1" x14ac:dyDescent="0.15"/>
    <row r="119" spans="24:98" s="143" customFormat="1" x14ac:dyDescent="0.15"/>
    <row r="120" spans="24:98" s="143" customFormat="1" x14ac:dyDescent="0.15"/>
    <row r="121" spans="24:98" s="143" customFormat="1" x14ac:dyDescent="0.15"/>
    <row r="122" spans="24:98" s="139" customFormat="1" x14ac:dyDescent="0.15">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c r="CN122" s="143"/>
      <c r="CO122" s="143"/>
      <c r="CP122" s="143"/>
      <c r="CQ122" s="143"/>
      <c r="CR122" s="143"/>
      <c r="CS122" s="143"/>
      <c r="CT122" s="143"/>
    </row>
    <row r="123" spans="24:98" s="139" customFormat="1" x14ac:dyDescent="0.15">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c r="CN123" s="143"/>
      <c r="CO123" s="143"/>
      <c r="CP123" s="143"/>
      <c r="CQ123" s="143"/>
      <c r="CR123" s="143"/>
      <c r="CS123" s="143"/>
      <c r="CT123" s="143"/>
    </row>
    <row r="124" spans="24:98" s="139" customFormat="1" x14ac:dyDescent="0.15">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c r="CN124" s="143"/>
      <c r="CO124" s="143"/>
      <c r="CP124" s="143"/>
      <c r="CQ124" s="143"/>
      <c r="CR124" s="143"/>
      <c r="CS124" s="143"/>
      <c r="CT124" s="143"/>
    </row>
    <row r="125" spans="24:98" s="139" customFormat="1" x14ac:dyDescent="0.15">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c r="CN125" s="143"/>
      <c r="CO125" s="143"/>
      <c r="CP125" s="143"/>
      <c r="CQ125" s="143"/>
      <c r="CR125" s="143"/>
      <c r="CS125" s="143"/>
      <c r="CT125" s="143"/>
    </row>
    <row r="126" spans="24:98" s="139" customFormat="1" x14ac:dyDescent="0.15">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c r="CN126" s="143"/>
      <c r="CO126" s="143"/>
      <c r="CP126" s="143"/>
      <c r="CQ126" s="143"/>
      <c r="CR126" s="143"/>
      <c r="CS126" s="143"/>
      <c r="CT126" s="143"/>
    </row>
    <row r="127" spans="24:98" s="139" customFormat="1" x14ac:dyDescent="0.15">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c r="CN127" s="143"/>
      <c r="CO127" s="143"/>
      <c r="CP127" s="143"/>
      <c r="CQ127" s="143"/>
      <c r="CR127" s="143"/>
      <c r="CS127" s="143"/>
      <c r="CT127" s="143"/>
    </row>
    <row r="128" spans="24:98" s="139" customFormat="1" x14ac:dyDescent="0.15">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c r="CN128" s="143"/>
      <c r="CO128" s="143"/>
      <c r="CP128" s="143"/>
      <c r="CQ128" s="143"/>
      <c r="CR128" s="143"/>
      <c r="CS128" s="143"/>
      <c r="CT128" s="143"/>
    </row>
    <row r="129" spans="24:98" s="139" customFormat="1" x14ac:dyDescent="0.15">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c r="CN129" s="143"/>
      <c r="CO129" s="143"/>
      <c r="CP129" s="143"/>
      <c r="CQ129" s="143"/>
      <c r="CR129" s="143"/>
      <c r="CS129" s="143"/>
      <c r="CT129" s="143"/>
    </row>
    <row r="130" spans="24:98" s="139" customFormat="1" x14ac:dyDescent="0.15">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row>
    <row r="131" spans="24:98" s="139" customFormat="1" x14ac:dyDescent="0.15">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c r="CN131" s="143"/>
      <c r="CO131" s="143"/>
      <c r="CP131" s="143"/>
      <c r="CQ131" s="143"/>
      <c r="CR131" s="143"/>
      <c r="CS131" s="143"/>
      <c r="CT131" s="143"/>
    </row>
    <row r="132" spans="24:98" s="139" customFormat="1" x14ac:dyDescent="0.15">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c r="CN132" s="143"/>
      <c r="CO132" s="143"/>
      <c r="CP132" s="143"/>
      <c r="CQ132" s="143"/>
      <c r="CR132" s="143"/>
      <c r="CS132" s="143"/>
      <c r="CT132" s="143"/>
    </row>
    <row r="133" spans="24:98" s="139" customFormat="1" x14ac:dyDescent="0.15">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c r="CN133" s="143"/>
      <c r="CO133" s="143"/>
      <c r="CP133" s="143"/>
      <c r="CQ133" s="143"/>
      <c r="CR133" s="143"/>
      <c r="CS133" s="143"/>
      <c r="CT133" s="143"/>
    </row>
    <row r="134" spans="24:98" s="139" customFormat="1" x14ac:dyDescent="0.15">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c r="CN134" s="143"/>
      <c r="CO134" s="143"/>
      <c r="CP134" s="143"/>
      <c r="CQ134" s="143"/>
      <c r="CR134" s="143"/>
      <c r="CS134" s="143"/>
      <c r="CT134" s="143"/>
    </row>
    <row r="135" spans="24:98" s="139" customFormat="1" x14ac:dyDescent="0.15">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c r="CN135" s="143"/>
      <c r="CO135" s="143"/>
      <c r="CP135" s="143"/>
      <c r="CQ135" s="143"/>
      <c r="CR135" s="143"/>
      <c r="CS135" s="143"/>
      <c r="CT135" s="143"/>
    </row>
    <row r="136" spans="24:98" s="139" customFormat="1" x14ac:dyDescent="0.15">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c r="CN136" s="143"/>
      <c r="CO136" s="143"/>
      <c r="CP136" s="143"/>
      <c r="CQ136" s="143"/>
      <c r="CR136" s="143"/>
      <c r="CS136" s="143"/>
      <c r="CT136" s="143"/>
    </row>
    <row r="137" spans="24:98" s="139" customFormat="1" x14ac:dyDescent="0.15">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c r="CN137" s="143"/>
      <c r="CO137" s="143"/>
      <c r="CP137" s="143"/>
      <c r="CQ137" s="143"/>
      <c r="CR137" s="143"/>
      <c r="CS137" s="143"/>
      <c r="CT137" s="143"/>
    </row>
    <row r="138" spans="24:98" s="139" customFormat="1" x14ac:dyDescent="0.15">
      <c r="X138" s="143"/>
      <c r="Y138" s="143"/>
      <c r="Z138" s="143"/>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c r="CN138" s="143"/>
      <c r="CO138" s="143"/>
      <c r="CP138" s="143"/>
      <c r="CQ138" s="143"/>
      <c r="CR138" s="143"/>
      <c r="CS138" s="143"/>
      <c r="CT138" s="143"/>
    </row>
    <row r="139" spans="24:98" s="139" customFormat="1" x14ac:dyDescent="0.15">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row>
    <row r="140" spans="24:98" s="139" customFormat="1" x14ac:dyDescent="0.15">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c r="CN140" s="143"/>
      <c r="CO140" s="143"/>
      <c r="CP140" s="143"/>
      <c r="CQ140" s="143"/>
      <c r="CR140" s="143"/>
      <c r="CS140" s="143"/>
      <c r="CT140" s="143"/>
    </row>
    <row r="141" spans="24:98" s="139" customFormat="1" x14ac:dyDescent="0.15">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c r="CN141" s="143"/>
      <c r="CO141" s="143"/>
      <c r="CP141" s="143"/>
      <c r="CQ141" s="143"/>
      <c r="CR141" s="143"/>
      <c r="CS141" s="143"/>
      <c r="CT141" s="143"/>
    </row>
    <row r="142" spans="24:98" s="139" customFormat="1" x14ac:dyDescent="0.15">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row>
    <row r="143" spans="24:98" s="139" customFormat="1" x14ac:dyDescent="0.15">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row>
    <row r="144" spans="24:98" s="139" customFormat="1" x14ac:dyDescent="0.15">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row>
    <row r="145" spans="24:98" s="139" customFormat="1" x14ac:dyDescent="0.15">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c r="CN145" s="143"/>
      <c r="CO145" s="143"/>
      <c r="CP145" s="143"/>
      <c r="CQ145" s="143"/>
      <c r="CR145" s="143"/>
      <c r="CS145" s="143"/>
      <c r="CT145" s="143"/>
    </row>
    <row r="146" spans="24:98" s="139" customFormat="1" x14ac:dyDescent="0.15">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c r="CN146" s="143"/>
      <c r="CO146" s="143"/>
      <c r="CP146" s="143"/>
      <c r="CQ146" s="143"/>
      <c r="CR146" s="143"/>
      <c r="CS146" s="143"/>
      <c r="CT146" s="143"/>
    </row>
    <row r="147" spans="24:98" s="139" customFormat="1" x14ac:dyDescent="0.15">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c r="CN147" s="143"/>
      <c r="CO147" s="143"/>
      <c r="CP147" s="143"/>
      <c r="CQ147" s="143"/>
      <c r="CR147" s="143"/>
      <c r="CS147" s="143"/>
      <c r="CT147" s="143"/>
    </row>
    <row r="148" spans="24:98" s="139" customFormat="1" x14ac:dyDescent="0.15">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c r="CN148" s="143"/>
      <c r="CO148" s="143"/>
      <c r="CP148" s="143"/>
      <c r="CQ148" s="143"/>
      <c r="CR148" s="143"/>
      <c r="CS148" s="143"/>
      <c r="CT148" s="143"/>
    </row>
    <row r="149" spans="24:98" s="139" customFormat="1" x14ac:dyDescent="0.15">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c r="CN149" s="143"/>
      <c r="CO149" s="143"/>
      <c r="CP149" s="143"/>
      <c r="CQ149" s="143"/>
      <c r="CR149" s="143"/>
      <c r="CS149" s="143"/>
      <c r="CT149" s="143"/>
    </row>
    <row r="150" spans="24:98" s="139" customFormat="1" x14ac:dyDescent="0.15">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c r="CN150" s="143"/>
      <c r="CO150" s="143"/>
      <c r="CP150" s="143"/>
      <c r="CQ150" s="143"/>
      <c r="CR150" s="143"/>
      <c r="CS150" s="143"/>
      <c r="CT150" s="143"/>
    </row>
    <row r="151" spans="24:98" s="139" customFormat="1" x14ac:dyDescent="0.15">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c r="CN151" s="143"/>
      <c r="CO151" s="143"/>
      <c r="CP151" s="143"/>
      <c r="CQ151" s="143"/>
      <c r="CR151" s="143"/>
      <c r="CS151" s="143"/>
      <c r="CT151" s="143"/>
    </row>
    <row r="152" spans="24:98" s="139" customFormat="1" x14ac:dyDescent="0.15">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c r="CN152" s="143"/>
      <c r="CO152" s="143"/>
      <c r="CP152" s="143"/>
      <c r="CQ152" s="143"/>
      <c r="CR152" s="143"/>
      <c r="CS152" s="143"/>
      <c r="CT152" s="143"/>
    </row>
    <row r="153" spans="24:98" s="139" customFormat="1" x14ac:dyDescent="0.15">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c r="CN153" s="143"/>
      <c r="CO153" s="143"/>
      <c r="CP153" s="143"/>
      <c r="CQ153" s="143"/>
      <c r="CR153" s="143"/>
      <c r="CS153" s="143"/>
      <c r="CT153" s="143"/>
    </row>
    <row r="154" spans="24:98" s="139" customFormat="1" x14ac:dyDescent="0.15">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c r="CN154" s="143"/>
      <c r="CO154" s="143"/>
      <c r="CP154" s="143"/>
      <c r="CQ154" s="143"/>
      <c r="CR154" s="143"/>
      <c r="CS154" s="143"/>
      <c r="CT154" s="143"/>
    </row>
    <row r="155" spans="24:98" s="139" customFormat="1" x14ac:dyDescent="0.15">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c r="CN155" s="143"/>
      <c r="CO155" s="143"/>
      <c r="CP155" s="143"/>
      <c r="CQ155" s="143"/>
      <c r="CR155" s="143"/>
      <c r="CS155" s="143"/>
      <c r="CT155" s="143"/>
    </row>
    <row r="156" spans="24:98" s="139" customFormat="1" x14ac:dyDescent="0.15">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c r="CN156" s="143"/>
      <c r="CO156" s="143"/>
      <c r="CP156" s="143"/>
      <c r="CQ156" s="143"/>
      <c r="CR156" s="143"/>
      <c r="CS156" s="143"/>
      <c r="CT156" s="143"/>
    </row>
    <row r="157" spans="24:98" s="139" customFormat="1" x14ac:dyDescent="0.15">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c r="CN157" s="143"/>
      <c r="CO157" s="143"/>
      <c r="CP157" s="143"/>
      <c r="CQ157" s="143"/>
      <c r="CR157" s="143"/>
      <c r="CS157" s="143"/>
      <c r="CT157" s="143"/>
    </row>
    <row r="158" spans="24:98" s="139" customFormat="1" x14ac:dyDescent="0.15">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c r="CN158" s="143"/>
      <c r="CO158" s="143"/>
      <c r="CP158" s="143"/>
      <c r="CQ158" s="143"/>
      <c r="CR158" s="143"/>
      <c r="CS158" s="143"/>
      <c r="CT158" s="143"/>
    </row>
    <row r="159" spans="24:98" s="139" customFormat="1" x14ac:dyDescent="0.15">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c r="CN159" s="143"/>
      <c r="CO159" s="143"/>
      <c r="CP159" s="143"/>
      <c r="CQ159" s="143"/>
      <c r="CR159" s="143"/>
      <c r="CS159" s="143"/>
      <c r="CT159" s="143"/>
    </row>
    <row r="160" spans="24:98" s="139" customFormat="1" x14ac:dyDescent="0.15">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c r="CN160" s="143"/>
      <c r="CO160" s="143"/>
      <c r="CP160" s="143"/>
      <c r="CQ160" s="143"/>
      <c r="CR160" s="143"/>
      <c r="CS160" s="143"/>
      <c r="CT160" s="143"/>
    </row>
    <row r="161" spans="24:98" s="139" customFormat="1" x14ac:dyDescent="0.15">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c r="CN161" s="143"/>
      <c r="CO161" s="143"/>
      <c r="CP161" s="143"/>
      <c r="CQ161" s="143"/>
      <c r="CR161" s="143"/>
      <c r="CS161" s="143"/>
      <c r="CT161" s="143"/>
    </row>
    <row r="162" spans="24:98" s="139" customFormat="1" x14ac:dyDescent="0.15">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row>
    <row r="163" spans="24:98" s="139" customFormat="1" x14ac:dyDescent="0.15">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c r="CN163" s="143"/>
      <c r="CO163" s="143"/>
      <c r="CP163" s="143"/>
      <c r="CQ163" s="143"/>
      <c r="CR163" s="143"/>
      <c r="CS163" s="143"/>
      <c r="CT163" s="143"/>
    </row>
    <row r="164" spans="24:98" s="139" customFormat="1" x14ac:dyDescent="0.15">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c r="CN164" s="143"/>
      <c r="CO164" s="143"/>
      <c r="CP164" s="143"/>
      <c r="CQ164" s="143"/>
      <c r="CR164" s="143"/>
      <c r="CS164" s="143"/>
      <c r="CT164" s="143"/>
    </row>
    <row r="165" spans="24:98" s="139" customFormat="1" x14ac:dyDescent="0.15">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c r="CN165" s="143"/>
      <c r="CO165" s="143"/>
      <c r="CP165" s="143"/>
      <c r="CQ165" s="143"/>
      <c r="CR165" s="143"/>
      <c r="CS165" s="143"/>
      <c r="CT165" s="143"/>
    </row>
    <row r="166" spans="24:98" s="139" customFormat="1" x14ac:dyDescent="0.15">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c r="CN166" s="143"/>
      <c r="CO166" s="143"/>
      <c r="CP166" s="143"/>
      <c r="CQ166" s="143"/>
      <c r="CR166" s="143"/>
      <c r="CS166" s="143"/>
      <c r="CT166" s="143"/>
    </row>
    <row r="167" spans="24:98" s="139" customFormat="1" x14ac:dyDescent="0.15">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row>
    <row r="168" spans="24:98" s="139" customFormat="1" x14ac:dyDescent="0.15">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c r="CN168" s="143"/>
      <c r="CO168" s="143"/>
      <c r="CP168" s="143"/>
      <c r="CQ168" s="143"/>
      <c r="CR168" s="143"/>
      <c r="CS168" s="143"/>
      <c r="CT168" s="143"/>
    </row>
    <row r="169" spans="24:98" s="139" customFormat="1" x14ac:dyDescent="0.15">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c r="CN169" s="143"/>
      <c r="CO169" s="143"/>
      <c r="CP169" s="143"/>
      <c r="CQ169" s="143"/>
      <c r="CR169" s="143"/>
      <c r="CS169" s="143"/>
      <c r="CT169" s="143"/>
    </row>
    <row r="170" spans="24:98" s="139" customFormat="1" x14ac:dyDescent="0.15">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c r="CN170" s="143"/>
      <c r="CO170" s="143"/>
      <c r="CP170" s="143"/>
      <c r="CQ170" s="143"/>
      <c r="CR170" s="143"/>
      <c r="CS170" s="143"/>
      <c r="CT170" s="143"/>
    </row>
    <row r="171" spans="24:98" s="139" customFormat="1" x14ac:dyDescent="0.15">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c r="CN171" s="143"/>
      <c r="CO171" s="143"/>
      <c r="CP171" s="143"/>
      <c r="CQ171" s="143"/>
      <c r="CR171" s="143"/>
      <c r="CS171" s="143"/>
      <c r="CT171" s="143"/>
    </row>
    <row r="172" spans="24:98" s="139" customFormat="1" x14ac:dyDescent="0.15">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row>
    <row r="173" spans="24:98" s="139" customFormat="1" x14ac:dyDescent="0.15">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c r="CN173" s="143"/>
      <c r="CO173" s="143"/>
      <c r="CP173" s="143"/>
      <c r="CQ173" s="143"/>
      <c r="CR173" s="143"/>
      <c r="CS173" s="143"/>
      <c r="CT173" s="143"/>
    </row>
    <row r="174" spans="24:98" s="139" customFormat="1" x14ac:dyDescent="0.15">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c r="CN174" s="143"/>
      <c r="CO174" s="143"/>
      <c r="CP174" s="143"/>
      <c r="CQ174" s="143"/>
      <c r="CR174" s="143"/>
      <c r="CS174" s="143"/>
      <c r="CT174" s="143"/>
    </row>
    <row r="175" spans="24:98" s="139" customFormat="1" x14ac:dyDescent="0.15">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c r="CN175" s="143"/>
      <c r="CO175" s="143"/>
      <c r="CP175" s="143"/>
      <c r="CQ175" s="143"/>
      <c r="CR175" s="143"/>
      <c r="CS175" s="143"/>
      <c r="CT175" s="143"/>
    </row>
    <row r="176" spans="24:98" s="139" customFormat="1" x14ac:dyDescent="0.15">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c r="CN176" s="143"/>
      <c r="CO176" s="143"/>
      <c r="CP176" s="143"/>
      <c r="CQ176" s="143"/>
      <c r="CR176" s="143"/>
      <c r="CS176" s="143"/>
      <c r="CT176" s="143"/>
    </row>
    <row r="177" spans="24:98" s="139" customFormat="1" x14ac:dyDescent="0.15">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row>
    <row r="178" spans="24:98" s="139" customFormat="1" x14ac:dyDescent="0.15">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c r="CN178" s="143"/>
      <c r="CO178" s="143"/>
      <c r="CP178" s="143"/>
      <c r="CQ178" s="143"/>
      <c r="CR178" s="143"/>
      <c r="CS178" s="143"/>
      <c r="CT178" s="143"/>
    </row>
    <row r="179" spans="24:98" s="139" customFormat="1" x14ac:dyDescent="0.15">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c r="CN179" s="143"/>
      <c r="CO179" s="143"/>
      <c r="CP179" s="143"/>
      <c r="CQ179" s="143"/>
      <c r="CR179" s="143"/>
      <c r="CS179" s="143"/>
      <c r="CT179" s="143"/>
    </row>
    <row r="180" spans="24:98" s="139" customFormat="1" x14ac:dyDescent="0.15">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c r="CN180" s="143"/>
      <c r="CO180" s="143"/>
      <c r="CP180" s="143"/>
      <c r="CQ180" s="143"/>
      <c r="CR180" s="143"/>
      <c r="CS180" s="143"/>
      <c r="CT180" s="143"/>
    </row>
    <row r="181" spans="24:98" s="139" customFormat="1" x14ac:dyDescent="0.15">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c r="CN181" s="143"/>
      <c r="CO181" s="143"/>
      <c r="CP181" s="143"/>
      <c r="CQ181" s="143"/>
      <c r="CR181" s="143"/>
      <c r="CS181" s="143"/>
      <c r="CT181" s="143"/>
    </row>
    <row r="182" spans="24:98" s="139" customFormat="1" x14ac:dyDescent="0.15">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row>
    <row r="183" spans="24:98" s="139" customFormat="1" x14ac:dyDescent="0.15">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c r="CN183" s="143"/>
      <c r="CO183" s="143"/>
      <c r="CP183" s="143"/>
      <c r="CQ183" s="143"/>
      <c r="CR183" s="143"/>
      <c r="CS183" s="143"/>
      <c r="CT183" s="143"/>
    </row>
    <row r="184" spans="24:98" s="139" customFormat="1" x14ac:dyDescent="0.15">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c r="CN184" s="143"/>
      <c r="CO184" s="143"/>
      <c r="CP184" s="143"/>
      <c r="CQ184" s="143"/>
      <c r="CR184" s="143"/>
      <c r="CS184" s="143"/>
      <c r="CT184" s="143"/>
    </row>
    <row r="185" spans="24:98" s="139" customFormat="1" x14ac:dyDescent="0.15">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c r="CN185" s="143"/>
      <c r="CO185" s="143"/>
      <c r="CP185" s="143"/>
      <c r="CQ185" s="143"/>
      <c r="CR185" s="143"/>
      <c r="CS185" s="143"/>
      <c r="CT185" s="143"/>
    </row>
    <row r="186" spans="24:98" s="139" customFormat="1" x14ac:dyDescent="0.15">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c r="CN186" s="143"/>
      <c r="CO186" s="143"/>
      <c r="CP186" s="143"/>
      <c r="CQ186" s="143"/>
      <c r="CR186" s="143"/>
      <c r="CS186" s="143"/>
      <c r="CT186" s="143"/>
    </row>
    <row r="187" spans="24:98" s="139" customFormat="1" x14ac:dyDescent="0.15">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row>
    <row r="188" spans="24:98" s="139" customFormat="1" x14ac:dyDescent="0.15">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c r="CN188" s="143"/>
      <c r="CO188" s="143"/>
      <c r="CP188" s="143"/>
      <c r="CQ188" s="143"/>
      <c r="CR188" s="143"/>
      <c r="CS188" s="143"/>
      <c r="CT188" s="143"/>
    </row>
    <row r="189" spans="24:98" s="139" customFormat="1" x14ac:dyDescent="0.15">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c r="CN189" s="143"/>
      <c r="CO189" s="143"/>
      <c r="CP189" s="143"/>
      <c r="CQ189" s="143"/>
      <c r="CR189" s="143"/>
      <c r="CS189" s="143"/>
      <c r="CT189" s="143"/>
    </row>
    <row r="190" spans="24:98" s="139" customFormat="1" x14ac:dyDescent="0.15">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row>
    <row r="191" spans="24:98" s="139" customFormat="1" x14ac:dyDescent="0.15">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c r="CN191" s="143"/>
      <c r="CO191" s="143"/>
      <c r="CP191" s="143"/>
      <c r="CQ191" s="143"/>
      <c r="CR191" s="143"/>
      <c r="CS191" s="143"/>
      <c r="CT191" s="143"/>
    </row>
    <row r="192" spans="24:98" s="139" customFormat="1" x14ac:dyDescent="0.15">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c r="CN192" s="143"/>
      <c r="CO192" s="143"/>
      <c r="CP192" s="143"/>
      <c r="CQ192" s="143"/>
      <c r="CR192" s="143"/>
      <c r="CS192" s="143"/>
      <c r="CT192" s="143"/>
    </row>
    <row r="193" spans="24:98" s="139" customFormat="1" x14ac:dyDescent="0.15">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c r="CN193" s="143"/>
      <c r="CO193" s="143"/>
      <c r="CP193" s="143"/>
      <c r="CQ193" s="143"/>
      <c r="CR193" s="143"/>
      <c r="CS193" s="143"/>
      <c r="CT193" s="143"/>
    </row>
    <row r="194" spans="24:98" s="139" customFormat="1" x14ac:dyDescent="0.15">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row>
    <row r="195" spans="24:98" s="139" customFormat="1" x14ac:dyDescent="0.15">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row>
    <row r="196" spans="24:98" s="139" customFormat="1" x14ac:dyDescent="0.15">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row>
    <row r="197" spans="24:98" s="139" customFormat="1" x14ac:dyDescent="0.15">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row>
    <row r="198" spans="24:98" s="139" customFormat="1" x14ac:dyDescent="0.15">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c r="CN198" s="143"/>
      <c r="CO198" s="143"/>
      <c r="CP198" s="143"/>
      <c r="CQ198" s="143"/>
      <c r="CR198" s="143"/>
      <c r="CS198" s="143"/>
      <c r="CT198" s="143"/>
    </row>
    <row r="199" spans="24:98" s="139" customFormat="1" x14ac:dyDescent="0.15">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c r="CN199" s="143"/>
      <c r="CO199" s="143"/>
      <c r="CP199" s="143"/>
      <c r="CQ199" s="143"/>
      <c r="CR199" s="143"/>
      <c r="CS199" s="143"/>
      <c r="CT199" s="143"/>
    </row>
    <row r="200" spans="24:98" s="139" customFormat="1" x14ac:dyDescent="0.15">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c r="CN200" s="143"/>
      <c r="CO200" s="143"/>
      <c r="CP200" s="143"/>
      <c r="CQ200" s="143"/>
      <c r="CR200" s="143"/>
      <c r="CS200" s="143"/>
      <c r="CT200" s="143"/>
    </row>
    <row r="201" spans="24:98" s="139" customFormat="1" x14ac:dyDescent="0.15">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c r="CN201" s="143"/>
      <c r="CO201" s="143"/>
      <c r="CP201" s="143"/>
      <c r="CQ201" s="143"/>
      <c r="CR201" s="143"/>
      <c r="CS201" s="143"/>
      <c r="CT201" s="143"/>
    </row>
    <row r="202" spans="24:98" s="139" customFormat="1" x14ac:dyDescent="0.15">
      <c r="X202" s="143"/>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c r="CN202" s="143"/>
      <c r="CO202" s="143"/>
      <c r="CP202" s="143"/>
      <c r="CQ202" s="143"/>
      <c r="CR202" s="143"/>
      <c r="CS202" s="143"/>
      <c r="CT202" s="143"/>
    </row>
    <row r="203" spans="24:98" s="139" customFormat="1" x14ac:dyDescent="0.15">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row>
    <row r="204" spans="24:98" s="139" customFormat="1" x14ac:dyDescent="0.15">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c r="CN204" s="143"/>
      <c r="CO204" s="143"/>
      <c r="CP204" s="143"/>
      <c r="CQ204" s="143"/>
      <c r="CR204" s="143"/>
      <c r="CS204" s="143"/>
      <c r="CT204" s="143"/>
    </row>
    <row r="205" spans="24:98" s="139" customFormat="1" x14ac:dyDescent="0.15">
      <c r="X205" s="143"/>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c r="CN205" s="143"/>
      <c r="CO205" s="143"/>
      <c r="CP205" s="143"/>
      <c r="CQ205" s="143"/>
      <c r="CR205" s="143"/>
      <c r="CS205" s="143"/>
      <c r="CT205" s="143"/>
    </row>
    <row r="206" spans="24:98" s="139" customFormat="1" x14ac:dyDescent="0.15">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c r="CN206" s="143"/>
      <c r="CO206" s="143"/>
      <c r="CP206" s="143"/>
      <c r="CQ206" s="143"/>
      <c r="CR206" s="143"/>
      <c r="CS206" s="143"/>
      <c r="CT206" s="143"/>
    </row>
    <row r="207" spans="24:98" s="139" customFormat="1" x14ac:dyDescent="0.15">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row>
    <row r="208" spans="24:98" s="139" customFormat="1" x14ac:dyDescent="0.15">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c r="CN208" s="143"/>
      <c r="CO208" s="143"/>
      <c r="CP208" s="143"/>
      <c r="CQ208" s="143"/>
      <c r="CR208" s="143"/>
      <c r="CS208" s="143"/>
      <c r="CT208" s="143"/>
    </row>
    <row r="209" spans="24:98" s="139" customFormat="1" x14ac:dyDescent="0.15">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c r="CN209" s="143"/>
      <c r="CO209" s="143"/>
      <c r="CP209" s="143"/>
      <c r="CQ209" s="143"/>
      <c r="CR209" s="143"/>
      <c r="CS209" s="143"/>
      <c r="CT209" s="143"/>
    </row>
    <row r="210" spans="24:98" s="139" customFormat="1" x14ac:dyDescent="0.15">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c r="CN210" s="143"/>
      <c r="CO210" s="143"/>
      <c r="CP210" s="143"/>
      <c r="CQ210" s="143"/>
      <c r="CR210" s="143"/>
      <c r="CS210" s="143"/>
      <c r="CT210" s="143"/>
    </row>
    <row r="211" spans="24:98" s="139" customFormat="1" x14ac:dyDescent="0.15">
      <c r="X211" s="143"/>
      <c r="Y211" s="143"/>
      <c r="Z211" s="143"/>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c r="CN211" s="143"/>
      <c r="CO211" s="143"/>
      <c r="CP211" s="143"/>
      <c r="CQ211" s="143"/>
      <c r="CR211" s="143"/>
      <c r="CS211" s="143"/>
      <c r="CT211" s="143"/>
    </row>
    <row r="212" spans="24:98" s="139" customFormat="1" x14ac:dyDescent="0.15">
      <c r="X212" s="143"/>
      <c r="Y212" s="143"/>
      <c r="Z212" s="143"/>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c r="CN212" s="143"/>
      <c r="CO212" s="143"/>
      <c r="CP212" s="143"/>
      <c r="CQ212" s="143"/>
      <c r="CR212" s="143"/>
      <c r="CS212" s="143"/>
      <c r="CT212" s="143"/>
    </row>
    <row r="213" spans="24:98" s="139" customFormat="1" x14ac:dyDescent="0.15">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c r="CN213" s="143"/>
      <c r="CO213" s="143"/>
      <c r="CP213" s="143"/>
      <c r="CQ213" s="143"/>
      <c r="CR213" s="143"/>
      <c r="CS213" s="143"/>
      <c r="CT213" s="143"/>
    </row>
    <row r="214" spans="24:98" s="139" customFormat="1" x14ac:dyDescent="0.15">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c r="CN214" s="143"/>
      <c r="CO214" s="143"/>
      <c r="CP214" s="143"/>
      <c r="CQ214" s="143"/>
      <c r="CR214" s="143"/>
      <c r="CS214" s="143"/>
      <c r="CT214" s="143"/>
    </row>
    <row r="215" spans="24:98" s="139" customFormat="1" x14ac:dyDescent="0.15">
      <c r="X215" s="143"/>
      <c r="Y215" s="143"/>
      <c r="Z215" s="143"/>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c r="CN215" s="143"/>
      <c r="CO215" s="143"/>
      <c r="CP215" s="143"/>
      <c r="CQ215" s="143"/>
      <c r="CR215" s="143"/>
      <c r="CS215" s="143"/>
      <c r="CT215" s="143"/>
    </row>
    <row r="216" spans="24:98" s="139" customFormat="1" x14ac:dyDescent="0.15">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c r="CN216" s="143"/>
      <c r="CO216" s="143"/>
      <c r="CP216" s="143"/>
      <c r="CQ216" s="143"/>
      <c r="CR216" s="143"/>
      <c r="CS216" s="143"/>
      <c r="CT216" s="143"/>
    </row>
    <row r="217" spans="24:98" s="139" customFormat="1" x14ac:dyDescent="0.15">
      <c r="X217" s="143"/>
      <c r="Y217" s="143"/>
      <c r="Z217" s="143"/>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c r="CN217" s="143"/>
      <c r="CO217" s="143"/>
      <c r="CP217" s="143"/>
      <c r="CQ217" s="143"/>
      <c r="CR217" s="143"/>
      <c r="CS217" s="143"/>
      <c r="CT217" s="143"/>
    </row>
  </sheetData>
  <sheetProtection algorithmName="SHA-512" hashValue="exSkKdRgIAcImSq/8m3t1ozCMZLYl3SLhYD2hv5b4CnqI3rMsfU5XILRcT1iJ7QZrWQ24o2IXCM951opp77Hcw==" saltValue="kRlVtTNrPidh99f7/GNhzA==" spinCount="100000" sheet="1" objects="1" scenarios="1"/>
  <dataValidations count="2">
    <dataValidation type="decimal" showInputMessage="1" showErrorMessage="1" errorTitle="Incorrect entry" error="Enter 1.5 or 3.0 only" sqref="C4" xr:uid="{037635DA-F39E-5543-81BB-E052D9B40B7C}">
      <formula1>1.5</formula1>
      <formula2>3</formula2>
    </dataValidation>
    <dataValidation type="whole" showInputMessage="1" showErrorMessage="1" errorTitle="Incorrect number" error="Please enter quarterly consumption between 700-4000kWh" sqref="C5" xr:uid="{50C27BE7-BCBB-F045-9579-53571A02D8C0}">
      <formula1>700</formula1>
      <formula2>4000</formula2>
    </dataValidation>
  </dataValidations>
  <pageMargins left="0.75" right="0.75" top="1" bottom="1" header="0.5" footer="0.5"/>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H104"/>
  <sheetViews>
    <sheetView workbookViewId="0">
      <selection activeCell="C4" sqref="C4:C5"/>
    </sheetView>
  </sheetViews>
  <sheetFormatPr baseColWidth="10" defaultColWidth="11.1640625" defaultRowHeight="13" x14ac:dyDescent="0.15"/>
  <cols>
    <col min="1" max="1" width="21.5" style="139" customWidth="1"/>
    <col min="2" max="2" width="28" style="139" customWidth="1"/>
    <col min="3" max="7" width="14.83203125" style="139" customWidth="1"/>
    <col min="8" max="8" width="12.1640625" style="139" hidden="1" customWidth="1"/>
    <col min="9" max="9" width="13.6640625" style="139" hidden="1" customWidth="1"/>
    <col min="10" max="15" width="14.83203125" style="139" customWidth="1"/>
    <col min="16" max="19" width="12.1640625" style="139" hidden="1" customWidth="1"/>
    <col min="20" max="23" width="14.83203125" style="139" customWidth="1"/>
    <col min="24" max="34" width="7.5" style="139" customWidth="1"/>
    <col min="35" max="16384" width="11.1640625" style="139"/>
  </cols>
  <sheetData>
    <row r="1" spans="1:34" ht="14" x14ac:dyDescent="0.15">
      <c r="A1" s="138" t="s">
        <v>44</v>
      </c>
      <c r="B1" s="138"/>
      <c r="C1" s="138"/>
      <c r="D1" s="138"/>
      <c r="E1" s="138"/>
      <c r="F1" s="138"/>
      <c r="G1" s="138"/>
      <c r="H1" s="138">
        <v>3</v>
      </c>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row>
    <row r="2" spans="1:34" ht="14" x14ac:dyDescent="0.15">
      <c r="A2" s="140" t="s">
        <v>6</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row>
    <row r="3" spans="1:34" ht="14" x14ac:dyDescent="0.15">
      <c r="A3" s="140"/>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row>
    <row r="4" spans="1:34" ht="14" x14ac:dyDescent="0.15">
      <c r="A4" s="94" t="s">
        <v>163</v>
      </c>
      <c r="B4" s="95"/>
      <c r="C4" s="135">
        <v>3</v>
      </c>
      <c r="D4" s="138"/>
      <c r="E4" s="96" t="s">
        <v>77</v>
      </c>
      <c r="F4" s="97">
        <f>IF(C4&lt;H1,(675),(1351))</f>
        <v>1351</v>
      </c>
      <c r="G4" s="138"/>
      <c r="H4" s="138"/>
      <c r="J4" s="98"/>
      <c r="K4" s="99" t="s">
        <v>45</v>
      </c>
      <c r="L4" s="100" t="s">
        <v>144</v>
      </c>
      <c r="M4" s="101" t="s">
        <v>145</v>
      </c>
      <c r="N4" s="138"/>
      <c r="O4" s="138"/>
      <c r="P4" s="138"/>
      <c r="Q4" s="138"/>
      <c r="R4" s="138"/>
      <c r="S4" s="138"/>
      <c r="T4" s="138"/>
      <c r="U4" s="138"/>
      <c r="V4" s="138"/>
      <c r="W4" s="138"/>
      <c r="X4" s="138"/>
      <c r="Y4" s="138"/>
      <c r="Z4" s="138"/>
      <c r="AA4" s="138"/>
      <c r="AB4" s="138"/>
      <c r="AC4" s="138"/>
      <c r="AD4" s="138"/>
      <c r="AE4" s="138"/>
      <c r="AF4" s="138"/>
      <c r="AG4" s="138"/>
      <c r="AH4" s="138"/>
    </row>
    <row r="5" spans="1:34" ht="14" x14ac:dyDescent="0.15">
      <c r="A5" s="102" t="s">
        <v>117</v>
      </c>
      <c r="B5" s="103"/>
      <c r="C5" s="136">
        <v>1500</v>
      </c>
      <c r="D5" s="138"/>
      <c r="E5" s="104" t="s">
        <v>75</v>
      </c>
      <c r="F5" s="105">
        <f>C5-(F4-F6)</f>
        <v>893.40100000000007</v>
      </c>
      <c r="G5" s="138"/>
      <c r="H5" s="138"/>
      <c r="J5" s="106" t="s">
        <v>135</v>
      </c>
      <c r="K5" s="107">
        <f>F5*70/100</f>
        <v>625.38070000000005</v>
      </c>
      <c r="L5" s="108">
        <f>F5*30/100</f>
        <v>268.02030000000002</v>
      </c>
      <c r="M5" s="109" t="s">
        <v>196</v>
      </c>
      <c r="N5" s="138"/>
      <c r="O5" s="138"/>
      <c r="P5" s="138"/>
      <c r="Q5" s="138"/>
      <c r="R5" s="138"/>
      <c r="S5" s="138"/>
      <c r="T5" s="138"/>
      <c r="U5" s="138"/>
      <c r="V5" s="138"/>
      <c r="W5" s="138"/>
      <c r="X5" s="138"/>
      <c r="Y5" s="138"/>
      <c r="Z5" s="138"/>
      <c r="AA5" s="138"/>
      <c r="AB5" s="138"/>
      <c r="AC5" s="138"/>
      <c r="AD5" s="138"/>
      <c r="AE5" s="138"/>
      <c r="AF5" s="138"/>
      <c r="AG5" s="138"/>
      <c r="AH5" s="138"/>
    </row>
    <row r="6" spans="1:34" ht="14" x14ac:dyDescent="0.15">
      <c r="D6" s="138"/>
      <c r="E6" s="104" t="s">
        <v>76</v>
      </c>
      <c r="F6" s="105">
        <f>IF(C4&lt;H1,(F4*27.3/100),(F4*55.1/100))</f>
        <v>744.40100000000007</v>
      </c>
      <c r="G6" s="138"/>
      <c r="H6" s="138"/>
      <c r="J6" s="106" t="s">
        <v>136</v>
      </c>
      <c r="K6" s="107">
        <f>F5*20/100</f>
        <v>178.68020000000001</v>
      </c>
      <c r="L6" s="108">
        <f>F5*30/100</f>
        <v>268.02030000000002</v>
      </c>
      <c r="M6" s="110">
        <f>F5*50/100</f>
        <v>446.70050000000003</v>
      </c>
      <c r="N6" s="138"/>
      <c r="O6" s="138"/>
      <c r="P6" s="138"/>
      <c r="Q6" s="138"/>
      <c r="R6" s="138"/>
      <c r="S6" s="138"/>
      <c r="T6" s="138"/>
      <c r="U6" s="138"/>
      <c r="V6" s="138"/>
      <c r="W6" s="138"/>
      <c r="X6" s="138"/>
      <c r="Y6" s="138"/>
      <c r="Z6" s="138"/>
      <c r="AA6" s="138"/>
      <c r="AB6" s="138"/>
      <c r="AC6" s="138"/>
      <c r="AD6" s="138"/>
      <c r="AE6" s="138"/>
      <c r="AF6" s="138"/>
      <c r="AG6" s="138"/>
      <c r="AH6" s="138"/>
    </row>
    <row r="7" spans="1:34" ht="15" thickBo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row>
    <row r="8" spans="1:34" ht="14" x14ac:dyDescent="0.15">
      <c r="A8" s="111" t="s">
        <v>109</v>
      </c>
      <c r="B8" s="112"/>
      <c r="C8" s="112"/>
      <c r="D8" s="112"/>
      <c r="E8" s="112"/>
      <c r="F8" s="112"/>
      <c r="G8" s="112"/>
      <c r="H8" s="112"/>
      <c r="I8" s="112"/>
      <c r="J8" s="112"/>
      <c r="K8" s="112"/>
      <c r="L8" s="112"/>
      <c r="M8" s="112"/>
      <c r="N8" s="112"/>
      <c r="O8" s="112"/>
      <c r="P8" s="112"/>
      <c r="Q8" s="112"/>
      <c r="R8" s="112"/>
      <c r="S8" s="112"/>
      <c r="T8" s="112"/>
      <c r="U8" s="112"/>
      <c r="V8" s="112"/>
      <c r="W8" s="113"/>
      <c r="X8" s="138"/>
      <c r="Y8" s="138"/>
      <c r="Z8" s="138"/>
      <c r="AA8" s="138"/>
      <c r="AB8" s="138"/>
      <c r="AC8" s="138"/>
      <c r="AD8" s="138"/>
      <c r="AE8" s="138"/>
      <c r="AF8" s="138"/>
      <c r="AG8" s="138"/>
      <c r="AH8" s="138"/>
    </row>
    <row r="9" spans="1:34" ht="90" x14ac:dyDescent="0.15">
      <c r="A9" s="266" t="s">
        <v>147</v>
      </c>
      <c r="B9" s="267" t="s">
        <v>133</v>
      </c>
      <c r="C9" s="268" t="s">
        <v>184</v>
      </c>
      <c r="D9" s="268" t="s">
        <v>16</v>
      </c>
      <c r="E9" s="269" t="s">
        <v>185</v>
      </c>
      <c r="F9" s="269" t="s">
        <v>186</v>
      </c>
      <c r="G9" s="268" t="s">
        <v>74</v>
      </c>
      <c r="H9" s="275" t="s">
        <v>120</v>
      </c>
      <c r="I9" s="276" t="s">
        <v>121</v>
      </c>
      <c r="J9" s="270" t="s">
        <v>118</v>
      </c>
      <c r="K9" s="271" t="s">
        <v>119</v>
      </c>
      <c r="L9" s="271" t="s">
        <v>63</v>
      </c>
      <c r="M9" s="271" t="s">
        <v>91</v>
      </c>
      <c r="N9" s="271" t="s">
        <v>150</v>
      </c>
      <c r="O9" s="272" t="s">
        <v>200</v>
      </c>
      <c r="P9" s="277" t="s">
        <v>102</v>
      </c>
      <c r="Q9" s="277" t="s">
        <v>29</v>
      </c>
      <c r="R9" s="277" t="s">
        <v>226</v>
      </c>
      <c r="S9" s="277" t="s">
        <v>100</v>
      </c>
      <c r="T9" s="272" t="s">
        <v>101</v>
      </c>
      <c r="U9" s="272" t="s">
        <v>174</v>
      </c>
      <c r="V9" s="271" t="s">
        <v>142</v>
      </c>
      <c r="W9" s="273" t="s">
        <v>143</v>
      </c>
      <c r="X9" s="138"/>
      <c r="Y9" s="138"/>
      <c r="Z9" s="138"/>
      <c r="AA9" s="138"/>
      <c r="AB9" s="138"/>
      <c r="AC9" s="138"/>
      <c r="AD9" s="138"/>
      <c r="AE9" s="138"/>
      <c r="AF9" s="138"/>
      <c r="AG9" s="138"/>
      <c r="AH9" s="138"/>
    </row>
    <row r="10" spans="1:34" ht="14" x14ac:dyDescent="0.15">
      <c r="A10" s="114" t="str">
        <f>'Tariffs 2017'!K2</f>
        <v>ActewAGL</v>
      </c>
      <c r="B10" s="38" t="str">
        <f>'Tariffs 2017'!L2</f>
        <v>Home Plan Reward No Exit Fee</v>
      </c>
      <c r="C10" s="115">
        <f>91*'Tariffs 2017'!M2/100</f>
        <v>79.534000000000006</v>
      </c>
      <c r="D10" s="115">
        <f>$F$5*'Tariffs 2017'!N2/100</f>
        <v>176.71471780000005</v>
      </c>
      <c r="E10" s="115">
        <v>0</v>
      </c>
      <c r="F10" s="115">
        <v>0</v>
      </c>
      <c r="G10" s="115">
        <f>SUM(C10:F10)</f>
        <v>256.24871780000007</v>
      </c>
      <c r="H10" s="131">
        <f>(G10-C10)*4</f>
        <v>706.85887120000029</v>
      </c>
      <c r="I10" s="116">
        <f>G10*4</f>
        <v>1024.9948712000003</v>
      </c>
      <c r="J10" s="117">
        <f>I10*1.1</f>
        <v>1127.4943583200004</v>
      </c>
      <c r="K10" s="38">
        <f>'Tariffs 2017'!AT2</f>
        <v>0</v>
      </c>
      <c r="L10" s="38">
        <f>'Tariffs 2017'!AU2</f>
        <v>12</v>
      </c>
      <c r="M10" s="38">
        <f>'Tariffs 2017'!AV2</f>
        <v>0</v>
      </c>
      <c r="N10" s="38">
        <f>'Tariffs 2017'!AW2</f>
        <v>0</v>
      </c>
      <c r="O10" s="118">
        <f>($F$6*'Tariffs 2017'!AQ2/100)*4</f>
        <v>238.20832000000001</v>
      </c>
      <c r="P10" s="117">
        <f>I10-(H10*L10/100)</f>
        <v>940.17180665600017</v>
      </c>
      <c r="Q10" s="117">
        <f>P10</f>
        <v>940.17180665600017</v>
      </c>
      <c r="R10" s="117">
        <f>P10-O10</f>
        <v>701.96348665600021</v>
      </c>
      <c r="S10" s="117">
        <f>Q10-O10</f>
        <v>701.96348665600021</v>
      </c>
      <c r="T10" s="119">
        <f>R10*1.1</f>
        <v>772.15983532160033</v>
      </c>
      <c r="U10" s="119">
        <f>S10*1.1</f>
        <v>772.15983532160033</v>
      </c>
      <c r="V10" s="120">
        <f>'Tariffs 2017'!BD2</f>
        <v>12</v>
      </c>
      <c r="W10" s="121" t="str">
        <f>'Tariffs 2017'!BE2</f>
        <v>n</v>
      </c>
      <c r="X10" s="138"/>
      <c r="Y10" s="138"/>
      <c r="Z10" s="138"/>
      <c r="AA10" s="138"/>
      <c r="AB10" s="138"/>
      <c r="AC10" s="138"/>
      <c r="AD10" s="138"/>
      <c r="AE10" s="138"/>
      <c r="AF10" s="138"/>
      <c r="AG10" s="138"/>
      <c r="AH10" s="138"/>
    </row>
    <row r="11" spans="1:34" ht="14" x14ac:dyDescent="0.15">
      <c r="A11" s="114" t="str">
        <f>'Tariffs 2017'!K3</f>
        <v>EnergyAustralia</v>
      </c>
      <c r="B11" s="38" t="str">
        <f>'Tariffs 2017'!L3</f>
        <v xml:space="preserve">Flexi Saver </v>
      </c>
      <c r="C11" s="115">
        <f>91*'Tariffs 2017'!M3/100</f>
        <v>67.704000000000008</v>
      </c>
      <c r="D11" s="115">
        <f>$F$5*'Tariffs 2017'!N3/100</f>
        <v>191.63451449999999</v>
      </c>
      <c r="E11" s="115">
        <v>0</v>
      </c>
      <c r="F11" s="115">
        <v>0</v>
      </c>
      <c r="G11" s="115">
        <f t="shared" ref="G11:G12" si="0">SUM(C11:F11)</f>
        <v>259.33851449999997</v>
      </c>
      <c r="H11" s="131">
        <f t="shared" ref="H11:H12" si="1">(G11-C11)*4</f>
        <v>766.53805799999986</v>
      </c>
      <c r="I11" s="116">
        <f t="shared" ref="I11:I12" si="2">G11*4</f>
        <v>1037.3540579999999</v>
      </c>
      <c r="J11" s="117">
        <f t="shared" ref="J11:J12" si="3">I11*1.1</f>
        <v>1141.0894638</v>
      </c>
      <c r="K11" s="38">
        <f>'Tariffs 2017'!AT3</f>
        <v>0</v>
      </c>
      <c r="L11" s="38">
        <f>'Tariffs 2017'!AU3</f>
        <v>0</v>
      </c>
      <c r="M11" s="38">
        <f>'Tariffs 2017'!AV3</f>
        <v>0</v>
      </c>
      <c r="N11" s="38">
        <f>'Tariffs 2017'!AW3</f>
        <v>14</v>
      </c>
      <c r="O11" s="118">
        <f>($F$6*'Tariffs 2017'!AQ3/100)*4</f>
        <v>0</v>
      </c>
      <c r="P11" s="117">
        <f>I11</f>
        <v>1037.3540579999999</v>
      </c>
      <c r="Q11" s="117">
        <f>P11-(H11*N11/100)</f>
        <v>930.03872987999989</v>
      </c>
      <c r="R11" s="117">
        <f>P11-O11</f>
        <v>1037.3540579999999</v>
      </c>
      <c r="S11" s="117">
        <f t="shared" ref="S11:S12" si="4">Q11-O11</f>
        <v>930.03872987999989</v>
      </c>
      <c r="T11" s="119">
        <f t="shared" ref="T11:U12" si="5">R11*1.1</f>
        <v>1141.0894638</v>
      </c>
      <c r="U11" s="119">
        <f t="shared" si="5"/>
        <v>1023.042602868</v>
      </c>
      <c r="V11" s="120">
        <f>'Tariffs 2017'!BD3</f>
        <v>0</v>
      </c>
      <c r="W11" s="121" t="str">
        <f>'Tariffs 2017'!BE3</f>
        <v>n</v>
      </c>
      <c r="X11" s="138"/>
      <c r="Y11" s="138"/>
      <c r="Z11" s="138"/>
      <c r="AA11" s="138"/>
      <c r="AB11" s="138"/>
      <c r="AC11" s="138"/>
      <c r="AD11" s="138"/>
      <c r="AE11" s="138"/>
      <c r="AF11" s="138"/>
      <c r="AG11" s="138"/>
      <c r="AH11" s="138"/>
    </row>
    <row r="12" spans="1:34" ht="15" thickBot="1" x14ac:dyDescent="0.2">
      <c r="A12" s="122" t="str">
        <f>'Tariffs 2017'!K4</f>
        <v>Origin Energy</v>
      </c>
      <c r="B12" s="123" t="str">
        <f>'Tariffs 2017'!L4</f>
        <v>Solar Boost Plus</v>
      </c>
      <c r="C12" s="124">
        <f>91*'Tariffs 2017'!M4/100</f>
        <v>78.660399999999996</v>
      </c>
      <c r="D12" s="124">
        <f>$F$5*'Tariffs 2017'!N4/100</f>
        <v>187.5248699</v>
      </c>
      <c r="E12" s="124">
        <v>0</v>
      </c>
      <c r="F12" s="124">
        <v>0</v>
      </c>
      <c r="G12" s="124">
        <f t="shared" si="0"/>
        <v>266.18526989999998</v>
      </c>
      <c r="H12" s="132">
        <f t="shared" si="1"/>
        <v>750.0994796</v>
      </c>
      <c r="I12" s="125">
        <f t="shared" si="2"/>
        <v>1064.7410795999999</v>
      </c>
      <c r="J12" s="126">
        <f t="shared" si="3"/>
        <v>1171.21518756</v>
      </c>
      <c r="K12" s="123">
        <f>'Tariffs 2017'!AT4</f>
        <v>0</v>
      </c>
      <c r="L12" s="123">
        <f>'Tariffs 2017'!AU4</f>
        <v>12</v>
      </c>
      <c r="M12" s="123">
        <f>'Tariffs 2017'!AV4</f>
        <v>0</v>
      </c>
      <c r="N12" s="123">
        <f>'Tariffs 2017'!AW4</f>
        <v>0</v>
      </c>
      <c r="O12" s="127">
        <f>($F$6*'Tariffs 2017'!AQ4/100)*4</f>
        <v>506.19268000000005</v>
      </c>
      <c r="P12" s="126">
        <f>I12-(H12*L12/100)</f>
        <v>974.72914204799986</v>
      </c>
      <c r="Q12" s="126">
        <f>P12-(H12*N12/100)</f>
        <v>974.72914204799986</v>
      </c>
      <c r="R12" s="126">
        <f>P12-O12</f>
        <v>468.53646204799981</v>
      </c>
      <c r="S12" s="126">
        <f t="shared" si="4"/>
        <v>468.53646204799981</v>
      </c>
      <c r="T12" s="128">
        <f t="shared" si="5"/>
        <v>515.39010825279979</v>
      </c>
      <c r="U12" s="128">
        <f t="shared" si="5"/>
        <v>515.39010825279979</v>
      </c>
      <c r="V12" s="129">
        <f>'Tariffs 2017'!BD4</f>
        <v>0</v>
      </c>
      <c r="W12" s="130" t="str">
        <f>'Tariffs 2017'!BE4</f>
        <v>n</v>
      </c>
      <c r="X12" s="138"/>
      <c r="Y12" s="138"/>
      <c r="Z12" s="138"/>
      <c r="AA12" s="138"/>
      <c r="AB12" s="138"/>
      <c r="AC12" s="138"/>
      <c r="AD12" s="138"/>
      <c r="AE12" s="138"/>
      <c r="AF12" s="138"/>
      <c r="AG12" s="138"/>
      <c r="AH12" s="138"/>
    </row>
    <row r="13" spans="1:34" ht="14" x14ac:dyDescent="0.15">
      <c r="X13" s="138"/>
      <c r="Y13" s="138"/>
      <c r="Z13" s="138"/>
      <c r="AA13" s="138"/>
      <c r="AB13" s="138"/>
      <c r="AC13" s="138"/>
      <c r="AD13" s="138"/>
      <c r="AE13" s="138"/>
      <c r="AF13" s="138"/>
      <c r="AG13" s="138"/>
      <c r="AH13" s="138"/>
    </row>
    <row r="14" spans="1:34" ht="15" thickBot="1" x14ac:dyDescent="0.2">
      <c r="X14" s="138"/>
      <c r="Y14" s="138"/>
      <c r="Z14" s="138"/>
      <c r="AA14" s="138"/>
      <c r="AB14" s="138"/>
      <c r="AC14" s="138"/>
      <c r="AD14" s="138"/>
      <c r="AE14" s="138"/>
      <c r="AF14" s="138"/>
      <c r="AG14" s="138"/>
      <c r="AH14" s="138"/>
    </row>
    <row r="15" spans="1:34" ht="14" x14ac:dyDescent="0.15">
      <c r="A15" s="111" t="s">
        <v>111</v>
      </c>
      <c r="B15" s="112"/>
      <c r="C15" s="112"/>
      <c r="D15" s="112"/>
      <c r="E15" s="112"/>
      <c r="F15" s="112"/>
      <c r="G15" s="112"/>
      <c r="H15" s="112"/>
      <c r="I15" s="112"/>
      <c r="J15" s="112"/>
      <c r="K15" s="112"/>
      <c r="L15" s="112"/>
      <c r="M15" s="112"/>
      <c r="N15" s="112"/>
      <c r="O15" s="112"/>
      <c r="P15" s="112"/>
      <c r="Q15" s="112"/>
      <c r="R15" s="112"/>
      <c r="S15" s="112"/>
      <c r="T15" s="112"/>
      <c r="U15" s="112"/>
      <c r="V15" s="112"/>
      <c r="W15" s="113"/>
      <c r="X15" s="138"/>
      <c r="Y15" s="138"/>
      <c r="Z15" s="138"/>
      <c r="AA15" s="138"/>
      <c r="AB15" s="138"/>
      <c r="AC15" s="138"/>
      <c r="AD15" s="138"/>
      <c r="AE15" s="138"/>
      <c r="AF15" s="138"/>
      <c r="AG15" s="138"/>
      <c r="AH15" s="138"/>
    </row>
    <row r="16" spans="1:34" ht="90" x14ac:dyDescent="0.15">
      <c r="A16" s="266" t="s">
        <v>147</v>
      </c>
      <c r="B16" s="267" t="s">
        <v>133</v>
      </c>
      <c r="C16" s="268" t="s">
        <v>184</v>
      </c>
      <c r="D16" s="268" t="s">
        <v>16</v>
      </c>
      <c r="E16" s="269" t="s">
        <v>185</v>
      </c>
      <c r="F16" s="269" t="s">
        <v>186</v>
      </c>
      <c r="G16" s="268" t="s">
        <v>74</v>
      </c>
      <c r="H16" s="275" t="s">
        <v>120</v>
      </c>
      <c r="I16" s="276" t="s">
        <v>121</v>
      </c>
      <c r="J16" s="270" t="s">
        <v>118</v>
      </c>
      <c r="K16" s="271" t="s">
        <v>119</v>
      </c>
      <c r="L16" s="271" t="s">
        <v>63</v>
      </c>
      <c r="M16" s="271" t="s">
        <v>91</v>
      </c>
      <c r="N16" s="271" t="s">
        <v>150</v>
      </c>
      <c r="O16" s="272" t="s">
        <v>200</v>
      </c>
      <c r="P16" s="277" t="s">
        <v>102</v>
      </c>
      <c r="Q16" s="277" t="s">
        <v>29</v>
      </c>
      <c r="R16" s="277" t="s">
        <v>226</v>
      </c>
      <c r="S16" s="277" t="s">
        <v>100</v>
      </c>
      <c r="T16" s="272" t="s">
        <v>101</v>
      </c>
      <c r="U16" s="272" t="s">
        <v>174</v>
      </c>
      <c r="V16" s="271" t="s">
        <v>142</v>
      </c>
      <c r="W16" s="273" t="s">
        <v>143</v>
      </c>
      <c r="X16" s="138"/>
      <c r="Y16" s="138"/>
      <c r="Z16" s="138"/>
      <c r="AA16" s="138"/>
      <c r="AB16" s="138"/>
      <c r="AC16" s="138"/>
      <c r="AD16" s="138"/>
      <c r="AE16" s="138"/>
      <c r="AF16" s="138"/>
      <c r="AG16" s="138"/>
      <c r="AH16" s="138"/>
    </row>
    <row r="17" spans="1:34" ht="14" x14ac:dyDescent="0.15">
      <c r="A17" s="114" t="str">
        <f>'Tariffs 2017'!K5</f>
        <v>ActewAGL</v>
      </c>
      <c r="B17" s="38" t="str">
        <f>'Tariffs 2017'!L5</f>
        <v>Home Saver Reward No Exit Fee</v>
      </c>
      <c r="C17" s="131">
        <f>91*'Tariffs 2017'!M5/100</f>
        <v>99.372000000000014</v>
      </c>
      <c r="D17" s="131">
        <f>IF($F$5&gt;='Tariffs 2017'!P5,('Tariffs 2017'!P5*'Tariffs 2017'!N5/100),($F$5*'Tariffs 2017'!N5/100))</f>
        <v>162.68832210000002</v>
      </c>
      <c r="E17" s="131">
        <v>0</v>
      </c>
      <c r="F17" s="131">
        <f>IF(($F$5&lt;'Tariffs 2017'!P5),(0),($F$5-'Tariffs 2017'!P5)*'Tariffs 2017'!Q5/100)</f>
        <v>0</v>
      </c>
      <c r="G17" s="131">
        <f>SUM(C17:F17)</f>
        <v>262.06032210000001</v>
      </c>
      <c r="H17" s="131">
        <f>(G17-C17)*4</f>
        <v>650.75328839999997</v>
      </c>
      <c r="I17" s="116">
        <f t="shared" ref="I17:I18" si="6">G17*4</f>
        <v>1048.2412884</v>
      </c>
      <c r="J17" s="117">
        <f t="shared" ref="J17:J18" si="7">I17*1.1</f>
        <v>1153.0654172400002</v>
      </c>
      <c r="K17" s="38">
        <f>'Tariffs 2017'!AT5</f>
        <v>0</v>
      </c>
      <c r="L17" s="38">
        <f>'Tariffs 2017'!AU5</f>
        <v>12</v>
      </c>
      <c r="M17" s="38">
        <f>'Tariffs 2017'!AV5</f>
        <v>0</v>
      </c>
      <c r="N17" s="38">
        <f>'Tariffs 2017'!AW5</f>
        <v>0</v>
      </c>
      <c r="O17" s="118">
        <f>($F$6*'Tariffs 2017'!AQ5/100)*4</f>
        <v>238.20832000000001</v>
      </c>
      <c r="P17" s="117">
        <f>I17-(H17*L17/100)</f>
        <v>970.15089379200003</v>
      </c>
      <c r="Q17" s="117">
        <f>P17</f>
        <v>970.15089379200003</v>
      </c>
      <c r="R17" s="117">
        <f>P17-O17</f>
        <v>731.94257379200008</v>
      </c>
      <c r="S17" s="117">
        <f>Q17-O17</f>
        <v>731.94257379200008</v>
      </c>
      <c r="T17" s="119">
        <f>R17*1.1</f>
        <v>805.13683117120013</v>
      </c>
      <c r="U17" s="119">
        <f>S17*1.1</f>
        <v>805.13683117120013</v>
      </c>
      <c r="V17" s="120">
        <f>'Tariffs 2017'!BD5</f>
        <v>12</v>
      </c>
      <c r="W17" s="121" t="str">
        <f>'Tariffs 2017'!BE5</f>
        <v>n</v>
      </c>
      <c r="X17" s="138"/>
      <c r="Y17" s="138"/>
      <c r="Z17" s="138"/>
      <c r="AA17" s="138"/>
      <c r="AB17" s="138"/>
      <c r="AC17" s="138"/>
      <c r="AD17" s="138"/>
      <c r="AE17" s="138"/>
      <c r="AF17" s="138"/>
      <c r="AG17" s="138"/>
      <c r="AH17" s="138"/>
    </row>
    <row r="18" spans="1:34" ht="15" thickBot="1" x14ac:dyDescent="0.2">
      <c r="A18" s="122" t="str">
        <f>'Tariffs 2017'!K6</f>
        <v>Origin Energy</v>
      </c>
      <c r="B18" s="123" t="str">
        <f>'Tariffs 2017'!L6</f>
        <v>Solar Boost Plus</v>
      </c>
      <c r="C18" s="132">
        <f>91*'Tariffs 2017'!M6/100</f>
        <v>98.28</v>
      </c>
      <c r="D18" s="132">
        <f>IF($F$5&gt;='Tariffs 2017'!P6,('Tariffs 2017'!P6*'Tariffs 2017'!N6/100),($F$5*'Tariffs 2017'!N6/100))</f>
        <v>170.19289050000003</v>
      </c>
      <c r="E18" s="132">
        <v>0</v>
      </c>
      <c r="F18" s="132">
        <f>IF(($F$5&lt;'Tariffs 2017'!P6),(0),($F$5-'Tariffs 2017'!P6)*'Tariffs 2017'!Q6/100)</f>
        <v>0</v>
      </c>
      <c r="G18" s="132">
        <f>SUM(C18:F18)</f>
        <v>268.47289050000006</v>
      </c>
      <c r="H18" s="132">
        <f t="shared" ref="H18" si="8">(G18-C18)*4</f>
        <v>680.77156200000024</v>
      </c>
      <c r="I18" s="125">
        <f t="shared" si="6"/>
        <v>1073.8915620000002</v>
      </c>
      <c r="J18" s="126">
        <f t="shared" si="7"/>
        <v>1181.2807182000004</v>
      </c>
      <c r="K18" s="123">
        <f>'Tariffs 2017'!AT6</f>
        <v>0</v>
      </c>
      <c r="L18" s="123">
        <f>'Tariffs 2017'!AU6</f>
        <v>12</v>
      </c>
      <c r="M18" s="123">
        <f>'Tariffs 2017'!AV6</f>
        <v>0</v>
      </c>
      <c r="N18" s="123">
        <f>'Tariffs 2017'!AW6</f>
        <v>0</v>
      </c>
      <c r="O18" s="127">
        <f>($F$6*'Tariffs 2017'!AQ6/100)*4</f>
        <v>506.19268000000005</v>
      </c>
      <c r="P18" s="117">
        <f>I18-(H18*L18/100)</f>
        <v>992.19897456000024</v>
      </c>
      <c r="Q18" s="126">
        <f>P18-(H18*N18/100)</f>
        <v>992.19897456000024</v>
      </c>
      <c r="R18" s="126">
        <f>P18-O18</f>
        <v>486.00629456000019</v>
      </c>
      <c r="S18" s="126">
        <f>Q18-O18</f>
        <v>486.00629456000019</v>
      </c>
      <c r="T18" s="128">
        <f t="shared" ref="T18:U18" si="9">R18*1.1</f>
        <v>534.60692401600022</v>
      </c>
      <c r="U18" s="128">
        <f t="shared" si="9"/>
        <v>534.60692401600022</v>
      </c>
      <c r="V18" s="129">
        <f>'Tariffs 2017'!BD6</f>
        <v>0</v>
      </c>
      <c r="W18" s="130" t="str">
        <f>'Tariffs 2017'!BE6</f>
        <v>n</v>
      </c>
      <c r="X18" s="138"/>
      <c r="Y18" s="138"/>
      <c r="Z18" s="138"/>
      <c r="AA18" s="138"/>
      <c r="AB18" s="138"/>
      <c r="AC18" s="138"/>
      <c r="AD18" s="138"/>
      <c r="AE18" s="138"/>
      <c r="AF18" s="138"/>
      <c r="AG18" s="138"/>
      <c r="AH18" s="138"/>
    </row>
    <row r="19" spans="1:34" ht="14" x14ac:dyDescent="0.15">
      <c r="X19" s="138"/>
      <c r="Y19" s="138"/>
      <c r="Z19" s="138"/>
      <c r="AA19" s="138"/>
      <c r="AB19" s="138"/>
      <c r="AC19" s="138"/>
      <c r="AD19" s="138"/>
      <c r="AE19" s="138"/>
      <c r="AF19" s="138"/>
      <c r="AG19" s="138"/>
      <c r="AH19" s="138"/>
    </row>
    <row r="20" spans="1:34" ht="15" thickBot="1" x14ac:dyDescent="0.2">
      <c r="X20" s="138"/>
      <c r="Y20" s="138"/>
      <c r="Z20" s="138"/>
      <c r="AA20" s="138"/>
      <c r="AB20" s="138"/>
      <c r="AC20" s="138"/>
      <c r="AD20" s="138"/>
      <c r="AE20" s="138"/>
      <c r="AF20" s="138"/>
      <c r="AG20" s="138"/>
      <c r="AH20" s="138"/>
    </row>
    <row r="21" spans="1:34" ht="14" x14ac:dyDescent="0.15">
      <c r="A21" s="111" t="s">
        <v>30</v>
      </c>
      <c r="B21" s="112"/>
      <c r="C21" s="112"/>
      <c r="D21" s="133"/>
      <c r="E21" s="133"/>
      <c r="F21" s="133"/>
      <c r="G21" s="134"/>
      <c r="H21" s="134"/>
      <c r="I21" s="112"/>
      <c r="J21" s="112"/>
      <c r="K21" s="112"/>
      <c r="L21" s="112"/>
      <c r="M21" s="112"/>
      <c r="N21" s="112"/>
      <c r="O21" s="112"/>
      <c r="P21" s="112"/>
      <c r="Q21" s="112"/>
      <c r="R21" s="112"/>
      <c r="S21" s="112"/>
      <c r="T21" s="112"/>
      <c r="U21" s="112"/>
      <c r="V21" s="112"/>
      <c r="W21" s="113"/>
      <c r="X21" s="138"/>
      <c r="Y21" s="138"/>
      <c r="Z21" s="138"/>
      <c r="AA21" s="138"/>
      <c r="AB21" s="138"/>
      <c r="AC21" s="138"/>
      <c r="AD21" s="138"/>
      <c r="AE21" s="138"/>
      <c r="AF21" s="138"/>
      <c r="AG21" s="138"/>
      <c r="AH21" s="138"/>
    </row>
    <row r="22" spans="1:34" ht="90" x14ac:dyDescent="0.15">
      <c r="A22" s="266" t="s">
        <v>147</v>
      </c>
      <c r="B22" s="267" t="s">
        <v>133</v>
      </c>
      <c r="C22" s="268" t="s">
        <v>184</v>
      </c>
      <c r="D22" s="268" t="s">
        <v>16</v>
      </c>
      <c r="E22" s="269" t="s">
        <v>186</v>
      </c>
      <c r="F22" s="268" t="s">
        <v>113</v>
      </c>
      <c r="G22" s="268" t="s">
        <v>74</v>
      </c>
      <c r="H22" s="275" t="s">
        <v>34</v>
      </c>
      <c r="I22" s="276" t="s">
        <v>121</v>
      </c>
      <c r="J22" s="270" t="s">
        <v>115</v>
      </c>
      <c r="K22" s="271" t="s">
        <v>119</v>
      </c>
      <c r="L22" s="271" t="s">
        <v>63</v>
      </c>
      <c r="M22" s="271" t="s">
        <v>91</v>
      </c>
      <c r="N22" s="271" t="s">
        <v>150</v>
      </c>
      <c r="O22" s="272" t="s">
        <v>200</v>
      </c>
      <c r="P22" s="277" t="s">
        <v>102</v>
      </c>
      <c r="Q22" s="277" t="s">
        <v>29</v>
      </c>
      <c r="R22" s="277" t="s">
        <v>226</v>
      </c>
      <c r="S22" s="277" t="s">
        <v>100</v>
      </c>
      <c r="T22" s="272" t="s">
        <v>101</v>
      </c>
      <c r="U22" s="272" t="s">
        <v>174</v>
      </c>
      <c r="V22" s="274" t="s">
        <v>142</v>
      </c>
      <c r="W22" s="273" t="s">
        <v>143</v>
      </c>
      <c r="X22" s="138"/>
      <c r="Y22" s="138"/>
      <c r="Z22" s="138"/>
      <c r="AA22" s="138"/>
      <c r="AB22" s="138"/>
      <c r="AC22" s="138"/>
      <c r="AD22" s="138"/>
      <c r="AE22" s="138"/>
      <c r="AF22" s="138"/>
      <c r="AG22" s="138"/>
      <c r="AH22" s="138"/>
    </row>
    <row r="23" spans="1:34" ht="14" x14ac:dyDescent="0.15">
      <c r="A23" s="114" t="str">
        <f>'Tariffs 2017'!K7</f>
        <v>ActewAGL</v>
      </c>
      <c r="B23" s="38" t="str">
        <f>'Tariffs 2017'!L7</f>
        <v>Home plan Reward No Exit Fee</v>
      </c>
      <c r="C23" s="131">
        <f>91*'Tariffs 2017'!M7/100</f>
        <v>79.534000000000006</v>
      </c>
      <c r="D23" s="131">
        <f>($K$5)*'Tariffs 2017'!N7/100</f>
        <v>123.70030246000002</v>
      </c>
      <c r="E23" s="131">
        <v>0</v>
      </c>
      <c r="F23" s="131">
        <f>($L$5)*'Tariffs 2017'!AE7/100</f>
        <v>31.894415700000003</v>
      </c>
      <c r="G23" s="131">
        <f>SUM(C23:F23)</f>
        <v>235.12871816000003</v>
      </c>
      <c r="H23" s="131">
        <f>(G23-C23)*4</f>
        <v>622.37887264000005</v>
      </c>
      <c r="I23" s="116">
        <f t="shared" ref="I23:I25" si="10">G23*4</f>
        <v>940.51487264000014</v>
      </c>
      <c r="J23" s="117">
        <f t="shared" ref="J23:J25" si="11">I23*1.1</f>
        <v>1034.5663599040001</v>
      </c>
      <c r="K23" s="38">
        <f>'Tariffs 2017'!AT7</f>
        <v>0</v>
      </c>
      <c r="L23" s="38">
        <f>'Tariffs 2017'!AU7</f>
        <v>12</v>
      </c>
      <c r="M23" s="38">
        <f>'Tariffs 2017'!AV7</f>
        <v>0</v>
      </c>
      <c r="N23" s="38">
        <f>'Tariffs 2017'!AW7</f>
        <v>0</v>
      </c>
      <c r="O23" s="118">
        <f>($F$6*'Tariffs 2017'!AQ7/100)*4</f>
        <v>238.20832000000001</v>
      </c>
      <c r="P23" s="117">
        <f>I23-(H23*L23/100)</f>
        <v>865.82940792320016</v>
      </c>
      <c r="Q23" s="117">
        <f>P23</f>
        <v>865.82940792320016</v>
      </c>
      <c r="R23" s="117">
        <f>P23-O23</f>
        <v>627.62108792320009</v>
      </c>
      <c r="S23" s="117">
        <f>Q23-O23</f>
        <v>627.62108792320009</v>
      </c>
      <c r="T23" s="119">
        <f>R23*1.1</f>
        <v>690.38319671552017</v>
      </c>
      <c r="U23" s="119">
        <f>S23*1.1</f>
        <v>690.38319671552017</v>
      </c>
      <c r="V23" s="120">
        <f>'Tariffs 2017'!BD7</f>
        <v>12</v>
      </c>
      <c r="W23" s="121" t="str">
        <f>'Tariffs 2017'!BE7</f>
        <v>n</v>
      </c>
      <c r="X23" s="138"/>
      <c r="Y23" s="138"/>
      <c r="Z23" s="138"/>
      <c r="AA23" s="138"/>
      <c r="AB23" s="138"/>
      <c r="AC23" s="138"/>
      <c r="AD23" s="138"/>
      <c r="AE23" s="138"/>
      <c r="AF23" s="138"/>
      <c r="AG23" s="138"/>
      <c r="AH23" s="138"/>
    </row>
    <row r="24" spans="1:34" ht="14" x14ac:dyDescent="0.15">
      <c r="A24" s="114" t="str">
        <f>'Tariffs 2017'!K8</f>
        <v>EnergyAustralia</v>
      </c>
      <c r="B24" s="38" t="str">
        <f>'Tariffs 2017'!L8</f>
        <v xml:space="preserve">Flexi Saver </v>
      </c>
      <c r="C24" s="131">
        <f>91*'Tariffs 2017'!M8/100</f>
        <v>67.704000000000008</v>
      </c>
      <c r="D24" s="131">
        <f>($K$5)*'Tariffs 2017'!N8/100</f>
        <v>134.14416015</v>
      </c>
      <c r="E24" s="131">
        <v>0</v>
      </c>
      <c r="F24" s="131">
        <f>($L$5)*'Tariffs 2017'!AE8/100</f>
        <v>31.304771040000002</v>
      </c>
      <c r="G24" s="131">
        <f t="shared" ref="G24:G25" si="12">SUM(C24:F24)</f>
        <v>233.15293119</v>
      </c>
      <c r="H24" s="131">
        <f t="shared" ref="H24:H25" si="13">(G24-C24)*4</f>
        <v>661.79572475999998</v>
      </c>
      <c r="I24" s="116">
        <f t="shared" si="10"/>
        <v>932.61172476000002</v>
      </c>
      <c r="J24" s="117">
        <f t="shared" si="11"/>
        <v>1025.8728972360002</v>
      </c>
      <c r="K24" s="38">
        <f>'Tariffs 2017'!AT8</f>
        <v>0</v>
      </c>
      <c r="L24" s="38">
        <f>'Tariffs 2017'!AU8</f>
        <v>0</v>
      </c>
      <c r="M24" s="38">
        <f>'Tariffs 2017'!AV8</f>
        <v>0</v>
      </c>
      <c r="N24" s="38">
        <f>'Tariffs 2017'!AW8</f>
        <v>14</v>
      </c>
      <c r="O24" s="118">
        <f>($F$6*'Tariffs 2017'!AQ8/100)*4</f>
        <v>0</v>
      </c>
      <c r="P24" s="117">
        <f>I24</f>
        <v>932.61172476000002</v>
      </c>
      <c r="Q24" s="117">
        <f>P24-(H24*N24/100)</f>
        <v>839.96032329360003</v>
      </c>
      <c r="R24" s="117">
        <f t="shared" ref="R24:R25" si="14">P24-O24</f>
        <v>932.61172476000002</v>
      </c>
      <c r="S24" s="117">
        <f t="shared" ref="S24:S25" si="15">Q24-O24</f>
        <v>839.96032329360003</v>
      </c>
      <c r="T24" s="119">
        <f t="shared" ref="T24:U25" si="16">R24*1.1</f>
        <v>1025.8728972360002</v>
      </c>
      <c r="U24" s="119">
        <f t="shared" si="16"/>
        <v>923.95635562296013</v>
      </c>
      <c r="V24" s="120">
        <f>'Tariffs 2017'!BD8</f>
        <v>0</v>
      </c>
      <c r="W24" s="121" t="str">
        <f>'Tariffs 2017'!BE8</f>
        <v>n</v>
      </c>
      <c r="X24" s="138"/>
      <c r="Y24" s="138"/>
      <c r="Z24" s="138"/>
      <c r="AA24" s="138"/>
      <c r="AB24" s="138"/>
      <c r="AC24" s="138"/>
      <c r="AD24" s="138"/>
      <c r="AE24" s="138"/>
      <c r="AF24" s="138"/>
      <c r="AG24" s="138"/>
      <c r="AH24" s="138"/>
    </row>
    <row r="25" spans="1:34" ht="15" thickBot="1" x14ac:dyDescent="0.2">
      <c r="A25" s="122" t="str">
        <f>'Tariffs 2017'!K9</f>
        <v>Origin Energy</v>
      </c>
      <c r="B25" s="123" t="str">
        <f>'Tariffs 2017'!L9</f>
        <v>Solar Boost Plus</v>
      </c>
      <c r="C25" s="132">
        <f>91*'Tariffs 2017'!M9/100</f>
        <v>78.660399999999996</v>
      </c>
      <c r="D25" s="132">
        <f>($K$5)*'Tariffs 2017'!N9/100</f>
        <v>131.26740892999999</v>
      </c>
      <c r="E25" s="132">
        <v>0</v>
      </c>
      <c r="F25" s="132">
        <f>($L$5)*'Tariffs 2017'!AE9/100</f>
        <v>33.958172010000006</v>
      </c>
      <c r="G25" s="132">
        <f t="shared" si="12"/>
        <v>243.88598093999997</v>
      </c>
      <c r="H25" s="132">
        <f t="shared" si="13"/>
        <v>660.90232375999994</v>
      </c>
      <c r="I25" s="125">
        <f t="shared" si="10"/>
        <v>975.54392375999987</v>
      </c>
      <c r="J25" s="126">
        <f t="shared" si="11"/>
        <v>1073.098316136</v>
      </c>
      <c r="K25" s="123">
        <f>'Tariffs 2017'!AT9</f>
        <v>0</v>
      </c>
      <c r="L25" s="123">
        <f>'Tariffs 2017'!AU9</f>
        <v>12</v>
      </c>
      <c r="M25" s="123">
        <f>'Tariffs 2017'!AV9</f>
        <v>0</v>
      </c>
      <c r="N25" s="123">
        <f>'Tariffs 2017'!AW9</f>
        <v>0</v>
      </c>
      <c r="O25" s="127">
        <f>($F$6*'Tariffs 2017'!AQ9/100)*4</f>
        <v>506.19268000000005</v>
      </c>
      <c r="P25" s="117">
        <f>I25-(H25*L25/100)</f>
        <v>896.23564490879994</v>
      </c>
      <c r="Q25" s="126">
        <f>P25-(H25*N25/100)</f>
        <v>896.23564490879994</v>
      </c>
      <c r="R25" s="126">
        <f t="shared" si="14"/>
        <v>390.04296490879989</v>
      </c>
      <c r="S25" s="126">
        <f t="shared" si="15"/>
        <v>390.04296490879989</v>
      </c>
      <c r="T25" s="128">
        <f t="shared" si="16"/>
        <v>429.04726139967994</v>
      </c>
      <c r="U25" s="128">
        <f t="shared" si="16"/>
        <v>429.04726139967994</v>
      </c>
      <c r="V25" s="129">
        <f>'Tariffs 2017'!BD9</f>
        <v>0</v>
      </c>
      <c r="W25" s="130" t="str">
        <f>'Tariffs 2017'!BE9</f>
        <v>n</v>
      </c>
      <c r="X25" s="138"/>
      <c r="Y25" s="138"/>
      <c r="Z25" s="138"/>
      <c r="AA25" s="138"/>
      <c r="AB25" s="138"/>
      <c r="AC25" s="138"/>
      <c r="AD25" s="138"/>
      <c r="AE25" s="138"/>
      <c r="AF25" s="138"/>
      <c r="AG25" s="138"/>
      <c r="AH25" s="138"/>
    </row>
    <row r="26" spans="1:34" ht="14" x14ac:dyDescent="0.15">
      <c r="X26" s="138"/>
      <c r="Y26" s="138"/>
      <c r="Z26" s="138"/>
      <c r="AA26" s="138"/>
      <c r="AB26" s="138"/>
      <c r="AC26" s="138"/>
      <c r="AD26" s="138"/>
      <c r="AE26" s="138"/>
      <c r="AF26" s="138"/>
      <c r="AG26" s="138"/>
      <c r="AH26" s="138"/>
    </row>
    <row r="27" spans="1:34" ht="15" thickBot="1" x14ac:dyDescent="0.2">
      <c r="X27" s="138"/>
      <c r="Y27" s="138"/>
      <c r="Z27" s="138"/>
      <c r="AA27" s="138"/>
      <c r="AB27" s="138"/>
      <c r="AC27" s="138"/>
      <c r="AD27" s="138"/>
      <c r="AE27" s="138"/>
      <c r="AF27" s="138"/>
      <c r="AG27" s="138"/>
      <c r="AH27" s="138"/>
    </row>
    <row r="28" spans="1:34" ht="14" x14ac:dyDescent="0.15">
      <c r="A28" s="111" t="s">
        <v>11</v>
      </c>
      <c r="B28" s="112"/>
      <c r="C28" s="112"/>
      <c r="D28" s="112"/>
      <c r="E28" s="112"/>
      <c r="F28" s="112"/>
      <c r="G28" s="112"/>
      <c r="H28" s="112"/>
      <c r="I28" s="112"/>
      <c r="J28" s="112"/>
      <c r="K28" s="112"/>
      <c r="L28" s="112"/>
      <c r="M28" s="112"/>
      <c r="N28" s="112"/>
      <c r="O28" s="112"/>
      <c r="P28" s="112"/>
      <c r="Q28" s="112"/>
      <c r="R28" s="112"/>
      <c r="S28" s="112"/>
      <c r="T28" s="112"/>
      <c r="U28" s="112"/>
      <c r="V28" s="112"/>
      <c r="W28" s="113"/>
      <c r="X28" s="138"/>
      <c r="Y28" s="138"/>
      <c r="Z28" s="138"/>
      <c r="AA28" s="138"/>
      <c r="AB28" s="138"/>
      <c r="AC28" s="138"/>
      <c r="AD28" s="138"/>
      <c r="AE28" s="138"/>
      <c r="AF28" s="138"/>
      <c r="AG28" s="138"/>
      <c r="AH28" s="138"/>
    </row>
    <row r="29" spans="1:34" ht="90" x14ac:dyDescent="0.15">
      <c r="A29" s="266" t="s">
        <v>147</v>
      </c>
      <c r="B29" s="267" t="s">
        <v>133</v>
      </c>
      <c r="C29" s="268" t="s">
        <v>184</v>
      </c>
      <c r="D29" s="268" t="s">
        <v>16</v>
      </c>
      <c r="E29" s="268" t="s">
        <v>32</v>
      </c>
      <c r="F29" s="268" t="s">
        <v>33</v>
      </c>
      <c r="G29" s="268" t="s">
        <v>74</v>
      </c>
      <c r="H29" s="275" t="s">
        <v>34</v>
      </c>
      <c r="I29" s="276" t="s">
        <v>121</v>
      </c>
      <c r="J29" s="270" t="s">
        <v>35</v>
      </c>
      <c r="K29" s="271" t="s">
        <v>119</v>
      </c>
      <c r="L29" s="271" t="s">
        <v>63</v>
      </c>
      <c r="M29" s="271" t="s">
        <v>91</v>
      </c>
      <c r="N29" s="271" t="s">
        <v>150</v>
      </c>
      <c r="O29" s="272" t="s">
        <v>200</v>
      </c>
      <c r="P29" s="277" t="s">
        <v>102</v>
      </c>
      <c r="Q29" s="277" t="s">
        <v>29</v>
      </c>
      <c r="R29" s="277" t="s">
        <v>226</v>
      </c>
      <c r="S29" s="277" t="s">
        <v>100</v>
      </c>
      <c r="T29" s="272" t="s">
        <v>101</v>
      </c>
      <c r="U29" s="272" t="s">
        <v>174</v>
      </c>
      <c r="V29" s="271" t="s">
        <v>142</v>
      </c>
      <c r="W29" s="273" t="s">
        <v>143</v>
      </c>
      <c r="X29" s="138"/>
      <c r="Y29" s="138"/>
      <c r="Z29" s="138"/>
      <c r="AA29" s="138"/>
      <c r="AB29" s="138"/>
      <c r="AC29" s="138"/>
      <c r="AD29" s="138"/>
      <c r="AE29" s="138"/>
      <c r="AF29" s="138"/>
      <c r="AG29" s="138"/>
      <c r="AH29" s="138"/>
    </row>
    <row r="30" spans="1:34" ht="14" x14ac:dyDescent="0.15">
      <c r="A30" s="114" t="str">
        <f>'Tariffs 2017'!K10</f>
        <v>ActewAGL</v>
      </c>
      <c r="B30" s="38" t="str">
        <f>'Tariffs 2017'!L10</f>
        <v>Home plan Reward No Exit Fee</v>
      </c>
      <c r="C30" s="131">
        <f>91*'Tariffs 2017'!M10/100</f>
        <v>79.534000000000006</v>
      </c>
      <c r="D30" s="131">
        <f>($K$6)*'Tariffs 2017'!N10/100</f>
        <v>46.599796159999997</v>
      </c>
      <c r="E30" s="131">
        <f>($M$6)*'Tariffs 2017'!AH10/100</f>
        <v>83.309643250000008</v>
      </c>
      <c r="F30" s="131">
        <f>($L$6)*'Tariffs 2017'!W10/100</f>
        <v>39.291775980000004</v>
      </c>
      <c r="G30" s="131">
        <f>SUM(C30:F30)</f>
        <v>248.73521539000001</v>
      </c>
      <c r="H30" s="131">
        <f t="shared" ref="H30:H32" si="17">(G30-C30)*4</f>
        <v>676.80486156000006</v>
      </c>
      <c r="I30" s="116">
        <f t="shared" ref="I30:I32" si="18">G30*4</f>
        <v>994.94086156000003</v>
      </c>
      <c r="J30" s="117">
        <f t="shared" ref="J30:J32" si="19">I30*1.1</f>
        <v>1094.4349477160001</v>
      </c>
      <c r="K30" s="38">
        <f>'Tariffs 2017'!AT10</f>
        <v>0</v>
      </c>
      <c r="L30" s="38">
        <f>'Tariffs 2017'!AU10</f>
        <v>12</v>
      </c>
      <c r="M30" s="38">
        <f>'Tariffs 2017'!AV10</f>
        <v>0</v>
      </c>
      <c r="N30" s="38">
        <f>'Tariffs 2017'!AW10</f>
        <v>0</v>
      </c>
      <c r="O30" s="118">
        <f>($F$6*'Tariffs 2017'!AQ10/100)*4</f>
        <v>238.20832000000001</v>
      </c>
      <c r="P30" s="117">
        <f>I30-(H30*L30/100)</f>
        <v>913.72427817280004</v>
      </c>
      <c r="Q30" s="117">
        <f>P30</f>
        <v>913.72427817280004</v>
      </c>
      <c r="R30" s="117">
        <f>P30-O30</f>
        <v>675.51595817280008</v>
      </c>
      <c r="S30" s="117">
        <f>Q30-O30</f>
        <v>675.51595817280008</v>
      </c>
      <c r="T30" s="119">
        <f>R30*1.1</f>
        <v>743.06755399008011</v>
      </c>
      <c r="U30" s="119">
        <f>S30*1.1</f>
        <v>743.06755399008011</v>
      </c>
      <c r="V30" s="120">
        <f>'Tariffs 2017'!BD10</f>
        <v>12</v>
      </c>
      <c r="W30" s="121" t="str">
        <f>'Tariffs 2017'!BE10</f>
        <v>n</v>
      </c>
      <c r="X30" s="138"/>
      <c r="Y30" s="138"/>
      <c r="Z30" s="138"/>
      <c r="AA30" s="138"/>
      <c r="AB30" s="138"/>
      <c r="AC30" s="138"/>
      <c r="AD30" s="138"/>
      <c r="AE30" s="138"/>
      <c r="AF30" s="138"/>
      <c r="AG30" s="138"/>
      <c r="AH30" s="138"/>
    </row>
    <row r="31" spans="1:34" ht="14" x14ac:dyDescent="0.15">
      <c r="A31" s="114" t="str">
        <f>'Tariffs 2017'!K11</f>
        <v>EnergyAustralia</v>
      </c>
      <c r="B31" s="38" t="str">
        <f>'Tariffs 2017'!L11</f>
        <v xml:space="preserve">Flexi Saver </v>
      </c>
      <c r="C31" s="131">
        <f>91*'Tariffs 2017'!M11/100</f>
        <v>66.430000000000007</v>
      </c>
      <c r="D31" s="131">
        <f>($K$6)*'Tariffs 2017'!N11/100</f>
        <v>49.047714900000003</v>
      </c>
      <c r="E31" s="131">
        <f>($M$6)*'Tariffs 2017'!AH11/100</f>
        <v>84.739084849999998</v>
      </c>
      <c r="F31" s="131">
        <f>($L$6)*'Tariffs 2017'!W11/100</f>
        <v>38.648527260000002</v>
      </c>
      <c r="G31" s="131">
        <f t="shared" ref="G31:G32" si="20">SUM(C31:F31)</f>
        <v>238.86532701000002</v>
      </c>
      <c r="H31" s="131">
        <f t="shared" si="17"/>
        <v>689.74130804000004</v>
      </c>
      <c r="I31" s="116">
        <f t="shared" si="18"/>
        <v>955.46130804000006</v>
      </c>
      <c r="J31" s="117">
        <f t="shared" si="19"/>
        <v>1051.0074388440003</v>
      </c>
      <c r="K31" s="38">
        <f>'Tariffs 2017'!AT11</f>
        <v>0</v>
      </c>
      <c r="L31" s="38">
        <f>'Tariffs 2017'!AU11</f>
        <v>0</v>
      </c>
      <c r="M31" s="38">
        <f>'Tariffs 2017'!AV11</f>
        <v>0</v>
      </c>
      <c r="N31" s="38">
        <f>'Tariffs 2017'!AW11</f>
        <v>14</v>
      </c>
      <c r="O31" s="118">
        <f>($F$6*'Tariffs 2017'!AQ11/100)*4</f>
        <v>0</v>
      </c>
      <c r="P31" s="117">
        <f>I31</f>
        <v>955.46130804000006</v>
      </c>
      <c r="Q31" s="117">
        <f>P31-(H31*N31/100)</f>
        <v>858.89752491440004</v>
      </c>
      <c r="R31" s="117">
        <f t="shared" ref="R31:R32" si="21">P31-O31</f>
        <v>955.46130804000006</v>
      </c>
      <c r="S31" s="117">
        <f t="shared" ref="S31:S32" si="22">Q31-O31</f>
        <v>858.89752491440004</v>
      </c>
      <c r="T31" s="119">
        <f t="shared" ref="T31:U32" si="23">R31*1.1</f>
        <v>1051.0074388440003</v>
      </c>
      <c r="U31" s="119">
        <f t="shared" si="23"/>
        <v>944.78727740584009</v>
      </c>
      <c r="V31" s="120">
        <f>'Tariffs 2017'!BD11</f>
        <v>0</v>
      </c>
      <c r="W31" s="121" t="str">
        <f>'Tariffs 2017'!BE11</f>
        <v>n</v>
      </c>
      <c r="X31" s="138"/>
      <c r="Y31" s="138"/>
      <c r="Z31" s="138"/>
      <c r="AA31" s="138"/>
      <c r="AB31" s="138"/>
      <c r="AC31" s="138"/>
      <c r="AD31" s="138"/>
      <c r="AE31" s="138"/>
      <c r="AF31" s="138"/>
      <c r="AG31" s="138"/>
      <c r="AH31" s="138"/>
    </row>
    <row r="32" spans="1:34" ht="15" thickBot="1" x14ac:dyDescent="0.2">
      <c r="A32" s="122" t="str">
        <f>'Tariffs 2017'!K12</f>
        <v>Origin Energy</v>
      </c>
      <c r="B32" s="123" t="str">
        <f>'Tariffs 2017'!L12</f>
        <v>Solar Boost Plus</v>
      </c>
      <c r="C32" s="132">
        <f>91*'Tariffs 2017'!M12/100</f>
        <v>78.660399999999996</v>
      </c>
      <c r="D32" s="132">
        <f>($K$6)*'Tariffs 2017'!N12/100</f>
        <v>48.047105780000003</v>
      </c>
      <c r="E32" s="132">
        <f>($M$6)*'Tariffs 2017'!AH12/100</f>
        <v>85.721825950000024</v>
      </c>
      <c r="F32" s="132">
        <f>($L$6)*'Tariffs 2017'!W12/100</f>
        <v>40.551471390000003</v>
      </c>
      <c r="G32" s="132">
        <f t="shared" si="20"/>
        <v>252.98080312000002</v>
      </c>
      <c r="H32" s="132">
        <f t="shared" si="17"/>
        <v>697.28161248000015</v>
      </c>
      <c r="I32" s="125">
        <f t="shared" si="18"/>
        <v>1011.9232124800001</v>
      </c>
      <c r="J32" s="126">
        <f t="shared" si="19"/>
        <v>1113.1155337280002</v>
      </c>
      <c r="K32" s="123">
        <f>'Tariffs 2017'!AT12</f>
        <v>0</v>
      </c>
      <c r="L32" s="123">
        <f>'Tariffs 2017'!AU12</f>
        <v>12</v>
      </c>
      <c r="M32" s="123">
        <f>'Tariffs 2017'!AV12</f>
        <v>0</v>
      </c>
      <c r="N32" s="123">
        <f>'Tariffs 2017'!AW12</f>
        <v>0</v>
      </c>
      <c r="O32" s="127">
        <f>($F$6*'Tariffs 2017'!AQ12/100)*4</f>
        <v>506.19268000000005</v>
      </c>
      <c r="P32" s="117">
        <f>I32-(H32*L32/100)</f>
        <v>928.24941898240002</v>
      </c>
      <c r="Q32" s="126">
        <f>P32-(H32*N32/100)</f>
        <v>928.24941898240002</v>
      </c>
      <c r="R32" s="126">
        <f t="shared" si="21"/>
        <v>422.05673898239996</v>
      </c>
      <c r="S32" s="126">
        <f t="shared" si="22"/>
        <v>422.05673898239996</v>
      </c>
      <c r="T32" s="128">
        <f t="shared" si="23"/>
        <v>464.26241288064</v>
      </c>
      <c r="U32" s="128">
        <f t="shared" si="23"/>
        <v>464.26241288064</v>
      </c>
      <c r="V32" s="129">
        <f>'Tariffs 2017'!BD12</f>
        <v>0</v>
      </c>
      <c r="W32" s="130" t="str">
        <f>'Tariffs 2017'!BE12</f>
        <v>n</v>
      </c>
      <c r="X32" s="138"/>
      <c r="Y32" s="138"/>
      <c r="Z32" s="138"/>
      <c r="AA32" s="138"/>
      <c r="AB32" s="138"/>
      <c r="AC32" s="138"/>
      <c r="AD32" s="138"/>
      <c r="AE32" s="138"/>
      <c r="AF32" s="138"/>
      <c r="AG32" s="138"/>
      <c r="AH32" s="138"/>
    </row>
    <row r="33" spans="24:34" ht="14" x14ac:dyDescent="0.15">
      <c r="X33" s="138"/>
      <c r="Y33" s="138"/>
      <c r="Z33" s="138"/>
      <c r="AA33" s="138"/>
      <c r="AB33" s="138"/>
      <c r="AC33" s="138"/>
      <c r="AD33" s="138"/>
      <c r="AE33" s="138"/>
      <c r="AF33" s="138"/>
      <c r="AG33" s="138"/>
      <c r="AH33" s="138"/>
    </row>
    <row r="34" spans="24:34" ht="14" x14ac:dyDescent="0.15">
      <c r="X34" s="138"/>
      <c r="Y34" s="138"/>
      <c r="Z34" s="138"/>
      <c r="AA34" s="138"/>
      <c r="AB34" s="138"/>
      <c r="AC34" s="138"/>
      <c r="AD34" s="138"/>
      <c r="AE34" s="138"/>
      <c r="AF34" s="138"/>
      <c r="AG34" s="138"/>
      <c r="AH34" s="138"/>
    </row>
    <row r="35" spans="24:34" ht="14" x14ac:dyDescent="0.15">
      <c r="X35" s="138"/>
      <c r="Y35" s="138"/>
      <c r="Z35" s="138"/>
      <c r="AA35" s="138"/>
      <c r="AB35" s="138"/>
      <c r="AC35" s="138"/>
      <c r="AD35" s="138"/>
      <c r="AE35" s="138"/>
      <c r="AF35" s="138"/>
      <c r="AG35" s="138"/>
      <c r="AH35" s="138"/>
    </row>
    <row r="36" spans="24:34" ht="14" x14ac:dyDescent="0.15">
      <c r="X36" s="138"/>
      <c r="Y36" s="138"/>
      <c r="Z36" s="138"/>
      <c r="AA36" s="138"/>
      <c r="AB36" s="138"/>
      <c r="AC36" s="138"/>
      <c r="AD36" s="138"/>
      <c r="AE36" s="138"/>
      <c r="AF36" s="138"/>
      <c r="AG36" s="138"/>
      <c r="AH36" s="138"/>
    </row>
    <row r="37" spans="24:34" ht="14" x14ac:dyDescent="0.15">
      <c r="X37" s="138"/>
      <c r="Y37" s="138"/>
      <c r="Z37" s="138"/>
      <c r="AA37" s="138"/>
      <c r="AB37" s="138"/>
      <c r="AC37" s="138"/>
      <c r="AD37" s="138"/>
      <c r="AE37" s="138"/>
      <c r="AF37" s="138"/>
      <c r="AG37" s="138"/>
      <c r="AH37" s="138"/>
    </row>
    <row r="38" spans="24:34" ht="14" x14ac:dyDescent="0.15">
      <c r="X38" s="138"/>
      <c r="Y38" s="138"/>
      <c r="Z38" s="138"/>
      <c r="AA38" s="138"/>
      <c r="AB38" s="138"/>
      <c r="AC38" s="138"/>
      <c r="AD38" s="138"/>
      <c r="AE38" s="138"/>
      <c r="AF38" s="138"/>
      <c r="AG38" s="138"/>
      <c r="AH38" s="138"/>
    </row>
    <row r="39" spans="24:34" ht="14" x14ac:dyDescent="0.15">
      <c r="X39" s="138"/>
      <c r="Y39" s="138"/>
      <c r="Z39" s="138"/>
      <c r="AA39" s="138"/>
      <c r="AB39" s="138"/>
      <c r="AC39" s="138"/>
      <c r="AD39" s="138"/>
      <c r="AE39" s="138"/>
      <c r="AF39" s="138"/>
      <c r="AG39" s="138"/>
      <c r="AH39" s="138"/>
    </row>
    <row r="40" spans="24:34" ht="14" x14ac:dyDescent="0.15">
      <c r="X40" s="138"/>
      <c r="Y40" s="138"/>
      <c r="Z40" s="138"/>
      <c r="AA40" s="138"/>
      <c r="AB40" s="138"/>
      <c r="AC40" s="138"/>
      <c r="AD40" s="138"/>
      <c r="AE40" s="138"/>
      <c r="AF40" s="138"/>
      <c r="AG40" s="138"/>
      <c r="AH40" s="138"/>
    </row>
    <row r="41" spans="24:34" ht="14" x14ac:dyDescent="0.15">
      <c r="X41" s="138"/>
      <c r="Y41" s="138"/>
      <c r="Z41" s="138"/>
      <c r="AA41" s="138"/>
      <c r="AB41" s="138"/>
      <c r="AC41" s="138"/>
      <c r="AD41" s="138"/>
      <c r="AE41" s="138"/>
      <c r="AF41" s="138"/>
      <c r="AG41" s="138"/>
      <c r="AH41" s="138"/>
    </row>
    <row r="42" spans="24:34" ht="14" x14ac:dyDescent="0.15">
      <c r="X42" s="138"/>
      <c r="Y42" s="138"/>
      <c r="Z42" s="138"/>
      <c r="AA42" s="138"/>
      <c r="AB42" s="138"/>
      <c r="AC42" s="138"/>
      <c r="AD42" s="138"/>
      <c r="AE42" s="138"/>
      <c r="AF42" s="138"/>
      <c r="AG42" s="138"/>
      <c r="AH42" s="138"/>
    </row>
    <row r="43" spans="24:34" ht="14" x14ac:dyDescent="0.15">
      <c r="X43" s="138"/>
      <c r="Y43" s="138"/>
      <c r="Z43" s="138"/>
      <c r="AA43" s="138"/>
      <c r="AB43" s="138"/>
      <c r="AC43" s="138"/>
      <c r="AD43" s="138"/>
      <c r="AE43" s="138"/>
      <c r="AF43" s="138"/>
      <c r="AG43" s="138"/>
      <c r="AH43" s="138"/>
    </row>
    <row r="44" spans="24:34" ht="14" x14ac:dyDescent="0.15">
      <c r="X44" s="138"/>
      <c r="Y44" s="138"/>
      <c r="Z44" s="138"/>
      <c r="AA44" s="138"/>
      <c r="AB44" s="138"/>
      <c r="AC44" s="138"/>
      <c r="AD44" s="138"/>
      <c r="AE44" s="138"/>
      <c r="AF44" s="138"/>
      <c r="AG44" s="138"/>
      <c r="AH44" s="138"/>
    </row>
    <row r="45" spans="24:34" ht="14" x14ac:dyDescent="0.15">
      <c r="X45" s="138"/>
      <c r="Y45" s="138"/>
      <c r="Z45" s="138"/>
      <c r="AA45" s="138"/>
      <c r="AB45" s="138"/>
      <c r="AC45" s="138"/>
      <c r="AD45" s="138"/>
      <c r="AE45" s="138"/>
      <c r="AF45" s="138"/>
      <c r="AG45" s="138"/>
      <c r="AH45" s="138"/>
    </row>
    <row r="46" spans="24:34" ht="14" x14ac:dyDescent="0.15">
      <c r="X46" s="138"/>
      <c r="Y46" s="138"/>
      <c r="Z46" s="138"/>
      <c r="AA46" s="138"/>
      <c r="AB46" s="138"/>
      <c r="AC46" s="138"/>
      <c r="AD46" s="138"/>
      <c r="AE46" s="138"/>
      <c r="AF46" s="138"/>
      <c r="AG46" s="138"/>
      <c r="AH46" s="138"/>
    </row>
    <row r="47" spans="24:34" ht="14" x14ac:dyDescent="0.15">
      <c r="X47" s="138"/>
      <c r="Y47" s="138"/>
      <c r="Z47" s="138"/>
      <c r="AA47" s="138"/>
      <c r="AB47" s="138"/>
      <c r="AC47" s="138"/>
      <c r="AD47" s="138"/>
      <c r="AE47" s="138"/>
      <c r="AF47" s="138"/>
      <c r="AG47" s="138"/>
      <c r="AH47" s="138"/>
    </row>
    <row r="48" spans="24:34" ht="14" x14ac:dyDescent="0.15">
      <c r="X48" s="138"/>
      <c r="Y48" s="138"/>
      <c r="Z48" s="138"/>
      <c r="AA48" s="138"/>
      <c r="AB48" s="138"/>
      <c r="AC48" s="138"/>
      <c r="AD48" s="138"/>
      <c r="AE48" s="138"/>
      <c r="AF48" s="138"/>
      <c r="AG48" s="138"/>
      <c r="AH48" s="138"/>
    </row>
    <row r="49" spans="24:34" ht="14" x14ac:dyDescent="0.15">
      <c r="X49" s="138"/>
      <c r="Y49" s="138"/>
      <c r="Z49" s="138"/>
      <c r="AA49" s="138"/>
      <c r="AB49" s="138"/>
      <c r="AC49" s="138"/>
      <c r="AD49" s="138"/>
      <c r="AE49" s="138"/>
      <c r="AF49" s="138"/>
      <c r="AG49" s="138"/>
      <c r="AH49" s="138"/>
    </row>
    <row r="50" spans="24:34" ht="14" x14ac:dyDescent="0.15">
      <c r="X50" s="138"/>
      <c r="Y50" s="138"/>
      <c r="Z50" s="138"/>
      <c r="AA50" s="138"/>
      <c r="AB50" s="138"/>
      <c r="AC50" s="138"/>
      <c r="AD50" s="138"/>
      <c r="AE50" s="138"/>
      <c r="AF50" s="138"/>
      <c r="AG50" s="138"/>
      <c r="AH50" s="138"/>
    </row>
    <row r="51" spans="24:34" ht="14" x14ac:dyDescent="0.15">
      <c r="X51" s="138"/>
      <c r="Y51" s="138"/>
      <c r="Z51" s="138"/>
      <c r="AA51" s="138"/>
      <c r="AB51" s="138"/>
      <c r="AC51" s="138"/>
      <c r="AD51" s="138"/>
      <c r="AE51" s="138"/>
      <c r="AF51" s="138"/>
      <c r="AG51" s="138"/>
      <c r="AH51" s="138"/>
    </row>
    <row r="52" spans="24:34" ht="14" x14ac:dyDescent="0.15">
      <c r="X52" s="138"/>
      <c r="Y52" s="138"/>
      <c r="Z52" s="138"/>
      <c r="AA52" s="138"/>
      <c r="AB52" s="138"/>
      <c r="AC52" s="138"/>
      <c r="AD52" s="138"/>
      <c r="AE52" s="138"/>
      <c r="AF52" s="138"/>
      <c r="AG52" s="138"/>
      <c r="AH52" s="138"/>
    </row>
    <row r="53" spans="24:34" ht="14" x14ac:dyDescent="0.15">
      <c r="X53" s="138"/>
      <c r="Y53" s="138"/>
      <c r="Z53" s="138"/>
      <c r="AA53" s="138"/>
      <c r="AB53" s="138"/>
      <c r="AC53" s="138"/>
      <c r="AD53" s="138"/>
      <c r="AE53" s="138"/>
      <c r="AF53" s="138"/>
      <c r="AG53" s="138"/>
      <c r="AH53" s="138"/>
    </row>
    <row r="54" spans="24:34" ht="14" x14ac:dyDescent="0.15">
      <c r="X54" s="138"/>
      <c r="Y54" s="138"/>
      <c r="Z54" s="138"/>
      <c r="AA54" s="138"/>
      <c r="AB54" s="138"/>
      <c r="AC54" s="138"/>
      <c r="AD54" s="138"/>
      <c r="AE54" s="138"/>
      <c r="AF54" s="138"/>
      <c r="AG54" s="138"/>
      <c r="AH54" s="138"/>
    </row>
    <row r="55" spans="24:34" ht="14" x14ac:dyDescent="0.15">
      <c r="X55" s="138"/>
      <c r="Y55" s="138"/>
      <c r="Z55" s="138"/>
      <c r="AA55" s="138"/>
      <c r="AB55" s="138"/>
      <c r="AC55" s="138"/>
      <c r="AD55" s="138"/>
      <c r="AE55" s="138"/>
      <c r="AF55" s="138"/>
      <c r="AG55" s="138"/>
      <c r="AH55" s="138"/>
    </row>
    <row r="56" spans="24:34" ht="14" x14ac:dyDescent="0.15">
      <c r="X56" s="138"/>
      <c r="Y56" s="138"/>
      <c r="Z56" s="138"/>
      <c r="AA56" s="138"/>
      <c r="AB56" s="138"/>
      <c r="AC56" s="138"/>
      <c r="AD56" s="138"/>
      <c r="AE56" s="138"/>
      <c r="AF56" s="138"/>
      <c r="AG56" s="138"/>
      <c r="AH56" s="138"/>
    </row>
    <row r="57" spans="24:34" ht="14" x14ac:dyDescent="0.15">
      <c r="X57" s="138"/>
      <c r="Y57" s="138"/>
      <c r="Z57" s="138"/>
      <c r="AA57" s="138"/>
      <c r="AB57" s="138"/>
      <c r="AC57" s="138"/>
      <c r="AD57" s="138"/>
      <c r="AE57" s="138"/>
      <c r="AF57" s="138"/>
      <c r="AG57" s="138"/>
      <c r="AH57" s="138"/>
    </row>
    <row r="58" spans="24:34" ht="14" x14ac:dyDescent="0.15">
      <c r="X58" s="138"/>
      <c r="Y58" s="138"/>
      <c r="Z58" s="138"/>
      <c r="AA58" s="138"/>
      <c r="AB58" s="138"/>
      <c r="AC58" s="138"/>
      <c r="AD58" s="138"/>
      <c r="AE58" s="138"/>
      <c r="AF58" s="138"/>
      <c r="AG58" s="138"/>
      <c r="AH58" s="138"/>
    </row>
    <row r="59" spans="24:34" ht="14" x14ac:dyDescent="0.15">
      <c r="X59" s="138"/>
      <c r="Y59" s="138"/>
      <c r="Z59" s="138"/>
      <c r="AA59" s="138"/>
      <c r="AB59" s="138"/>
      <c r="AC59" s="138"/>
      <c r="AD59" s="138"/>
      <c r="AE59" s="138"/>
      <c r="AF59" s="138"/>
      <c r="AG59" s="138"/>
      <c r="AH59" s="138"/>
    </row>
    <row r="60" spans="24:34" ht="14" x14ac:dyDescent="0.15">
      <c r="X60" s="138"/>
      <c r="Y60" s="138"/>
      <c r="Z60" s="138"/>
      <c r="AA60" s="138"/>
      <c r="AB60" s="138"/>
      <c r="AC60" s="138"/>
      <c r="AD60" s="138"/>
      <c r="AE60" s="138"/>
      <c r="AF60" s="138"/>
      <c r="AG60" s="138"/>
      <c r="AH60" s="138"/>
    </row>
    <row r="61" spans="24:34" ht="14" x14ac:dyDescent="0.15">
      <c r="X61" s="138"/>
      <c r="Y61" s="138"/>
      <c r="Z61" s="138"/>
      <c r="AA61" s="138"/>
      <c r="AB61" s="138"/>
      <c r="AC61" s="138"/>
      <c r="AD61" s="138"/>
      <c r="AE61" s="138"/>
      <c r="AF61" s="138"/>
      <c r="AG61" s="138"/>
      <c r="AH61" s="138"/>
    </row>
    <row r="62" spans="24:34" ht="14" x14ac:dyDescent="0.15">
      <c r="X62" s="138"/>
      <c r="Y62" s="138"/>
      <c r="Z62" s="138"/>
      <c r="AA62" s="138"/>
      <c r="AB62" s="138"/>
      <c r="AC62" s="138"/>
      <c r="AD62" s="138"/>
      <c r="AE62" s="138"/>
      <c r="AF62" s="138"/>
      <c r="AG62" s="138"/>
      <c r="AH62" s="138"/>
    </row>
    <row r="63" spans="24:34" ht="14" x14ac:dyDescent="0.15">
      <c r="X63" s="138"/>
      <c r="Y63" s="138"/>
      <c r="Z63" s="138"/>
      <c r="AA63" s="138"/>
      <c r="AB63" s="138"/>
      <c r="AC63" s="138"/>
      <c r="AD63" s="138"/>
      <c r="AE63" s="138"/>
      <c r="AF63" s="138"/>
      <c r="AG63" s="138"/>
      <c r="AH63" s="138"/>
    </row>
    <row r="64" spans="24:34" ht="14" x14ac:dyDescent="0.15">
      <c r="X64" s="138"/>
      <c r="Y64" s="138"/>
      <c r="Z64" s="138"/>
      <c r="AA64" s="138"/>
      <c r="AB64" s="138"/>
      <c r="AC64" s="138"/>
      <c r="AD64" s="138"/>
      <c r="AE64" s="138"/>
      <c r="AF64" s="138"/>
      <c r="AG64" s="138"/>
      <c r="AH64" s="138"/>
    </row>
    <row r="65" spans="24:34" ht="14" x14ac:dyDescent="0.15">
      <c r="X65" s="138"/>
      <c r="Y65" s="138"/>
      <c r="Z65" s="138"/>
      <c r="AA65" s="138"/>
      <c r="AB65" s="138"/>
      <c r="AC65" s="138"/>
      <c r="AD65" s="138"/>
      <c r="AE65" s="138"/>
      <c r="AF65" s="138"/>
      <c r="AG65" s="138"/>
      <c r="AH65" s="138"/>
    </row>
    <row r="66" spans="24:34" ht="14" x14ac:dyDescent="0.15">
      <c r="X66" s="138"/>
      <c r="Y66" s="138"/>
      <c r="Z66" s="138"/>
      <c r="AA66" s="138"/>
      <c r="AB66" s="138"/>
      <c r="AC66" s="138"/>
      <c r="AD66" s="138"/>
      <c r="AE66" s="138"/>
      <c r="AF66" s="138"/>
      <c r="AG66" s="138"/>
      <c r="AH66" s="138"/>
    </row>
    <row r="67" spans="24:34" ht="14" x14ac:dyDescent="0.15">
      <c r="X67" s="138"/>
      <c r="Y67" s="138"/>
      <c r="Z67" s="138"/>
      <c r="AA67" s="138"/>
      <c r="AB67" s="138"/>
      <c r="AC67" s="138"/>
      <c r="AD67" s="138"/>
      <c r="AE67" s="138"/>
      <c r="AF67" s="138"/>
      <c r="AG67" s="138"/>
      <c r="AH67" s="138"/>
    </row>
    <row r="68" spans="24:34" ht="14" x14ac:dyDescent="0.15">
      <c r="X68" s="138"/>
      <c r="Y68" s="138"/>
      <c r="Z68" s="138"/>
      <c r="AA68" s="138"/>
      <c r="AB68" s="138"/>
      <c r="AC68" s="138"/>
      <c r="AD68" s="138"/>
      <c r="AE68" s="138"/>
      <c r="AF68" s="138"/>
      <c r="AG68" s="138"/>
      <c r="AH68" s="138"/>
    </row>
    <row r="69" spans="24:34" ht="14" x14ac:dyDescent="0.15">
      <c r="X69" s="138"/>
      <c r="Y69" s="138"/>
      <c r="Z69" s="138"/>
      <c r="AA69" s="138"/>
      <c r="AB69" s="138"/>
      <c r="AC69" s="138"/>
      <c r="AD69" s="138"/>
      <c r="AE69" s="138"/>
      <c r="AF69" s="138"/>
      <c r="AG69" s="138"/>
      <c r="AH69" s="138"/>
    </row>
    <row r="70" spans="24:34" ht="14" x14ac:dyDescent="0.15">
      <c r="X70" s="138"/>
      <c r="Y70" s="138"/>
      <c r="Z70" s="138"/>
      <c r="AA70" s="138"/>
      <c r="AB70" s="138"/>
      <c r="AC70" s="138"/>
      <c r="AD70" s="138"/>
      <c r="AE70" s="138"/>
      <c r="AF70" s="138"/>
      <c r="AG70" s="138"/>
      <c r="AH70" s="138"/>
    </row>
    <row r="71" spans="24:34" ht="14" x14ac:dyDescent="0.15">
      <c r="X71" s="138"/>
      <c r="Y71" s="138"/>
      <c r="Z71" s="138"/>
      <c r="AA71" s="138"/>
      <c r="AB71" s="138"/>
      <c r="AC71" s="138"/>
      <c r="AD71" s="138"/>
      <c r="AE71" s="138"/>
      <c r="AF71" s="138"/>
      <c r="AG71" s="138"/>
      <c r="AH71" s="138"/>
    </row>
    <row r="72" spans="24:34" ht="14" x14ac:dyDescent="0.15">
      <c r="X72" s="138"/>
      <c r="Y72" s="138"/>
      <c r="Z72" s="138"/>
      <c r="AA72" s="138"/>
      <c r="AB72" s="138"/>
      <c r="AC72" s="138"/>
      <c r="AD72" s="138"/>
      <c r="AE72" s="138"/>
      <c r="AF72" s="138"/>
      <c r="AG72" s="138"/>
      <c r="AH72" s="138"/>
    </row>
    <row r="73" spans="24:34" ht="14" x14ac:dyDescent="0.15">
      <c r="X73" s="138"/>
      <c r="Y73" s="138"/>
      <c r="Z73" s="138"/>
      <c r="AA73" s="138"/>
      <c r="AB73" s="138"/>
      <c r="AC73" s="138"/>
      <c r="AD73" s="138"/>
      <c r="AE73" s="138"/>
      <c r="AF73" s="138"/>
      <c r="AG73" s="138"/>
      <c r="AH73" s="138"/>
    </row>
    <row r="74" spans="24:34" ht="14" x14ac:dyDescent="0.15">
      <c r="X74" s="138"/>
      <c r="Y74" s="138"/>
      <c r="Z74" s="138"/>
      <c r="AA74" s="138"/>
      <c r="AB74" s="138"/>
      <c r="AC74" s="138"/>
      <c r="AD74" s="138"/>
      <c r="AE74" s="138"/>
      <c r="AF74" s="138"/>
      <c r="AG74" s="138"/>
      <c r="AH74" s="138"/>
    </row>
    <row r="75" spans="24:34" ht="14" x14ac:dyDescent="0.15">
      <c r="X75" s="138"/>
      <c r="Y75" s="138"/>
      <c r="Z75" s="138"/>
      <c r="AA75" s="138"/>
      <c r="AB75" s="138"/>
      <c r="AC75" s="138"/>
      <c r="AD75" s="138"/>
      <c r="AE75" s="138"/>
      <c r="AF75" s="138"/>
      <c r="AG75" s="138"/>
      <c r="AH75" s="138"/>
    </row>
    <row r="76" spans="24:34" ht="14" x14ac:dyDescent="0.15">
      <c r="X76" s="138"/>
      <c r="Y76" s="138"/>
      <c r="Z76" s="138"/>
      <c r="AA76" s="138"/>
      <c r="AB76" s="138"/>
      <c r="AC76" s="138"/>
      <c r="AD76" s="138"/>
      <c r="AE76" s="138"/>
      <c r="AF76" s="138"/>
      <c r="AG76" s="138"/>
      <c r="AH76" s="138"/>
    </row>
    <row r="77" spans="24:34" ht="14" x14ac:dyDescent="0.15">
      <c r="X77" s="138"/>
      <c r="Y77" s="138"/>
      <c r="Z77" s="138"/>
      <c r="AA77" s="138"/>
      <c r="AB77" s="138"/>
      <c r="AC77" s="138"/>
      <c r="AD77" s="138"/>
      <c r="AE77" s="138"/>
      <c r="AF77" s="138"/>
      <c r="AG77" s="138"/>
      <c r="AH77" s="138"/>
    </row>
    <row r="78" spans="24:34" ht="14" x14ac:dyDescent="0.15">
      <c r="X78" s="138"/>
      <c r="Y78" s="138"/>
      <c r="Z78" s="138"/>
      <c r="AA78" s="138"/>
      <c r="AB78" s="138"/>
      <c r="AC78" s="138"/>
      <c r="AD78" s="138"/>
      <c r="AE78" s="138"/>
      <c r="AF78" s="138"/>
      <c r="AG78" s="138"/>
      <c r="AH78" s="138"/>
    </row>
    <row r="79" spans="24:34" ht="14" x14ac:dyDescent="0.15">
      <c r="X79" s="138"/>
      <c r="Y79" s="138"/>
      <c r="Z79" s="138"/>
      <c r="AA79" s="138"/>
      <c r="AB79" s="138"/>
      <c r="AC79" s="138"/>
      <c r="AD79" s="138"/>
      <c r="AE79" s="138"/>
      <c r="AF79" s="138"/>
      <c r="AG79" s="138"/>
      <c r="AH79" s="138"/>
    </row>
    <row r="80" spans="24:34" ht="14" x14ac:dyDescent="0.15">
      <c r="X80" s="138"/>
      <c r="Y80" s="138"/>
      <c r="Z80" s="138"/>
      <c r="AA80" s="138"/>
      <c r="AB80" s="138"/>
      <c r="AC80" s="138"/>
      <c r="AD80" s="138"/>
      <c r="AE80" s="138"/>
      <c r="AF80" s="138"/>
      <c r="AG80" s="138"/>
      <c r="AH80" s="138"/>
    </row>
    <row r="81" spans="24:34" ht="14" x14ac:dyDescent="0.15">
      <c r="X81" s="138"/>
      <c r="Y81" s="138"/>
      <c r="Z81" s="138"/>
      <c r="AA81" s="138"/>
      <c r="AB81" s="138"/>
      <c r="AC81" s="138"/>
      <c r="AD81" s="138"/>
      <c r="AE81" s="138"/>
      <c r="AF81" s="138"/>
      <c r="AG81" s="138"/>
      <c r="AH81" s="138"/>
    </row>
    <row r="82" spans="24:34" ht="14" x14ac:dyDescent="0.15">
      <c r="X82" s="138"/>
      <c r="Y82" s="138"/>
      <c r="Z82" s="138"/>
      <c r="AA82" s="138"/>
      <c r="AB82" s="138"/>
      <c r="AC82" s="138"/>
      <c r="AD82" s="138"/>
      <c r="AE82" s="138"/>
      <c r="AF82" s="138"/>
      <c r="AG82" s="138"/>
      <c r="AH82" s="138"/>
    </row>
    <row r="83" spans="24:34" ht="14" x14ac:dyDescent="0.15">
      <c r="X83" s="138"/>
      <c r="Y83" s="138"/>
      <c r="Z83" s="138"/>
      <c r="AA83" s="138"/>
      <c r="AB83" s="138"/>
      <c r="AC83" s="138"/>
      <c r="AD83" s="138"/>
      <c r="AE83" s="138"/>
      <c r="AF83" s="138"/>
      <c r="AG83" s="138"/>
      <c r="AH83" s="138"/>
    </row>
    <row r="84" spans="24:34" ht="14" x14ac:dyDescent="0.15">
      <c r="X84" s="138"/>
      <c r="Y84" s="138"/>
      <c r="Z84" s="138"/>
      <c r="AA84" s="138"/>
      <c r="AB84" s="138"/>
      <c r="AC84" s="138"/>
      <c r="AD84" s="138"/>
      <c r="AE84" s="138"/>
      <c r="AF84" s="138"/>
      <c r="AG84" s="138"/>
      <c r="AH84" s="138"/>
    </row>
    <row r="85" spans="24:34" ht="14" x14ac:dyDescent="0.15">
      <c r="X85" s="138"/>
      <c r="Y85" s="138"/>
      <c r="Z85" s="138"/>
      <c r="AA85" s="138"/>
      <c r="AB85" s="138"/>
      <c r="AC85" s="138"/>
      <c r="AD85" s="138"/>
      <c r="AE85" s="138"/>
      <c r="AF85" s="138"/>
      <c r="AG85" s="138"/>
      <c r="AH85" s="138"/>
    </row>
    <row r="86" spans="24:34" ht="14" x14ac:dyDescent="0.15">
      <c r="X86" s="138"/>
      <c r="Y86" s="138"/>
      <c r="Z86" s="138"/>
      <c r="AA86" s="138"/>
      <c r="AB86" s="138"/>
      <c r="AC86" s="138"/>
      <c r="AD86" s="138"/>
      <c r="AE86" s="138"/>
      <c r="AF86" s="138"/>
      <c r="AG86" s="138"/>
      <c r="AH86" s="138"/>
    </row>
    <row r="87" spans="24:34" ht="14" x14ac:dyDescent="0.15">
      <c r="X87" s="138"/>
      <c r="Y87" s="138"/>
      <c r="Z87" s="138"/>
      <c r="AA87" s="138"/>
      <c r="AB87" s="138"/>
      <c r="AC87" s="138"/>
      <c r="AD87" s="138"/>
      <c r="AE87" s="138"/>
      <c r="AF87" s="138"/>
      <c r="AG87" s="138"/>
      <c r="AH87" s="138"/>
    </row>
    <row r="88" spans="24:34" ht="14" x14ac:dyDescent="0.15">
      <c r="X88" s="138"/>
      <c r="Y88" s="138"/>
      <c r="Z88" s="138"/>
      <c r="AA88" s="138"/>
      <c r="AB88" s="138"/>
      <c r="AC88" s="138"/>
      <c r="AD88" s="138"/>
      <c r="AE88" s="138"/>
      <c r="AF88" s="138"/>
      <c r="AG88" s="138"/>
      <c r="AH88" s="138"/>
    </row>
    <row r="89" spans="24:34" ht="14" x14ac:dyDescent="0.15">
      <c r="X89" s="138"/>
      <c r="Y89" s="138"/>
      <c r="Z89" s="138"/>
      <c r="AA89" s="138"/>
      <c r="AB89" s="138"/>
      <c r="AC89" s="138"/>
      <c r="AD89" s="138"/>
      <c r="AE89" s="138"/>
      <c r="AF89" s="138"/>
      <c r="AG89" s="138"/>
      <c r="AH89" s="138"/>
    </row>
    <row r="90" spans="24:34" ht="14" x14ac:dyDescent="0.15">
      <c r="X90" s="138"/>
      <c r="Y90" s="138"/>
      <c r="Z90" s="138"/>
      <c r="AA90" s="138"/>
      <c r="AB90" s="138"/>
      <c r="AC90" s="138"/>
      <c r="AD90" s="138"/>
      <c r="AE90" s="138"/>
      <c r="AF90" s="138"/>
      <c r="AG90" s="138"/>
      <c r="AH90" s="138"/>
    </row>
    <row r="91" spans="24:34" ht="14" x14ac:dyDescent="0.15">
      <c r="X91" s="138"/>
      <c r="Y91" s="138"/>
      <c r="Z91" s="138"/>
      <c r="AA91" s="138"/>
      <c r="AB91" s="138"/>
      <c r="AC91" s="138"/>
      <c r="AD91" s="138"/>
      <c r="AE91" s="138"/>
      <c r="AF91" s="138"/>
      <c r="AG91" s="138"/>
      <c r="AH91" s="138"/>
    </row>
    <row r="92" spans="24:34" ht="14" x14ac:dyDescent="0.15">
      <c r="X92" s="138"/>
      <c r="Y92" s="138"/>
      <c r="Z92" s="138"/>
      <c r="AA92" s="138"/>
      <c r="AB92" s="138"/>
      <c r="AC92" s="138"/>
      <c r="AD92" s="138"/>
      <c r="AE92" s="138"/>
      <c r="AF92" s="138"/>
      <c r="AG92" s="138"/>
      <c r="AH92" s="138"/>
    </row>
    <row r="93" spans="24:34" ht="14" x14ac:dyDescent="0.15">
      <c r="X93" s="138"/>
      <c r="Y93" s="138"/>
      <c r="Z93" s="138"/>
      <c r="AA93" s="138"/>
      <c r="AB93" s="138"/>
      <c r="AC93" s="138"/>
      <c r="AD93" s="138"/>
      <c r="AE93" s="138"/>
      <c r="AF93" s="138"/>
      <c r="AG93" s="138"/>
      <c r="AH93" s="138"/>
    </row>
    <row r="94" spans="24:34" ht="14" x14ac:dyDescent="0.15">
      <c r="X94" s="138"/>
      <c r="Y94" s="138"/>
      <c r="Z94" s="138"/>
      <c r="AA94" s="138"/>
      <c r="AB94" s="138"/>
      <c r="AC94" s="138"/>
      <c r="AD94" s="138"/>
      <c r="AE94" s="138"/>
      <c r="AF94" s="138"/>
      <c r="AG94" s="138"/>
      <c r="AH94" s="138"/>
    </row>
    <row r="95" spans="24:34" ht="14" x14ac:dyDescent="0.15">
      <c r="X95" s="138"/>
      <c r="Y95" s="138"/>
      <c r="Z95" s="138"/>
      <c r="AA95" s="138"/>
      <c r="AB95" s="138"/>
      <c r="AC95" s="138"/>
      <c r="AD95" s="138"/>
      <c r="AE95" s="138"/>
      <c r="AF95" s="138"/>
      <c r="AG95" s="138"/>
      <c r="AH95" s="138"/>
    </row>
    <row r="96" spans="24:34" ht="14" x14ac:dyDescent="0.15">
      <c r="X96" s="138"/>
      <c r="Y96" s="138"/>
      <c r="Z96" s="138"/>
      <c r="AA96" s="138"/>
      <c r="AB96" s="138"/>
      <c r="AC96" s="138"/>
      <c r="AD96" s="138"/>
      <c r="AE96" s="138"/>
      <c r="AF96" s="138"/>
      <c r="AG96" s="138"/>
      <c r="AH96" s="138"/>
    </row>
    <row r="97" spans="24:34" ht="14" x14ac:dyDescent="0.15">
      <c r="X97" s="138"/>
      <c r="Y97" s="138"/>
      <c r="Z97" s="138"/>
      <c r="AA97" s="138"/>
      <c r="AB97" s="138"/>
      <c r="AC97" s="138"/>
      <c r="AD97" s="138"/>
      <c r="AE97" s="138"/>
      <c r="AF97" s="138"/>
      <c r="AG97" s="138"/>
      <c r="AH97" s="138"/>
    </row>
    <row r="98" spans="24:34" ht="14" x14ac:dyDescent="0.15">
      <c r="X98" s="138"/>
      <c r="Y98" s="138"/>
      <c r="Z98" s="138"/>
      <c r="AA98" s="138"/>
      <c r="AB98" s="138"/>
      <c r="AC98" s="138"/>
      <c r="AD98" s="138"/>
      <c r="AE98" s="138"/>
      <c r="AF98" s="138"/>
      <c r="AG98" s="138"/>
      <c r="AH98" s="138"/>
    </row>
    <row r="99" spans="24:34" ht="14" x14ac:dyDescent="0.15">
      <c r="X99" s="138"/>
      <c r="Y99" s="138"/>
      <c r="Z99" s="138"/>
      <c r="AA99" s="138"/>
      <c r="AB99" s="138"/>
      <c r="AC99" s="138"/>
      <c r="AD99" s="138"/>
      <c r="AE99" s="138"/>
      <c r="AF99" s="138"/>
      <c r="AG99" s="138"/>
      <c r="AH99" s="138"/>
    </row>
    <row r="100" spans="24:34" ht="14" x14ac:dyDescent="0.15">
      <c r="X100" s="138"/>
      <c r="Y100" s="138"/>
      <c r="Z100" s="138"/>
      <c r="AA100" s="138"/>
      <c r="AB100" s="138"/>
      <c r="AC100" s="138"/>
      <c r="AD100" s="138"/>
      <c r="AE100" s="138"/>
      <c r="AF100" s="138"/>
      <c r="AG100" s="138"/>
      <c r="AH100" s="138"/>
    </row>
    <row r="101" spans="24:34" ht="14" x14ac:dyDescent="0.15">
      <c r="X101" s="138"/>
      <c r="Y101" s="138"/>
      <c r="Z101" s="138"/>
      <c r="AA101" s="138"/>
      <c r="AB101" s="138"/>
      <c r="AC101" s="138"/>
      <c r="AD101" s="138"/>
      <c r="AE101" s="138"/>
      <c r="AF101" s="138"/>
      <c r="AG101" s="138"/>
      <c r="AH101" s="138"/>
    </row>
    <row r="102" spans="24:34" ht="14" x14ac:dyDescent="0.15">
      <c r="X102" s="138"/>
      <c r="Y102" s="138"/>
      <c r="Z102" s="138"/>
      <c r="AA102" s="138"/>
      <c r="AB102" s="138"/>
      <c r="AC102" s="138"/>
      <c r="AD102" s="138"/>
      <c r="AE102" s="138"/>
      <c r="AF102" s="138"/>
      <c r="AG102" s="138"/>
      <c r="AH102" s="138"/>
    </row>
    <row r="103" spans="24:34" ht="14" x14ac:dyDescent="0.15">
      <c r="X103" s="138"/>
      <c r="Y103" s="138"/>
      <c r="Z103" s="138"/>
      <c r="AA103" s="138"/>
      <c r="AB103" s="138"/>
      <c r="AC103" s="138"/>
      <c r="AD103" s="138"/>
      <c r="AE103" s="138"/>
      <c r="AF103" s="138"/>
      <c r="AG103" s="138"/>
      <c r="AH103" s="138"/>
    </row>
    <row r="104" spans="24:34" ht="14" x14ac:dyDescent="0.15">
      <c r="X104" s="138"/>
      <c r="Y104" s="138"/>
      <c r="Z104" s="138"/>
      <c r="AA104" s="138"/>
      <c r="AB104" s="138"/>
      <c r="AC104" s="138"/>
      <c r="AD104" s="138"/>
      <c r="AE104" s="138"/>
      <c r="AF104" s="138"/>
      <c r="AG104" s="138"/>
      <c r="AH104" s="138"/>
    </row>
  </sheetData>
  <sheetProtection algorithmName="SHA-512" hashValue="LWFBlkkFoWieQSZcmbd6tdIW4WKUSv6slKMyVcecN301aI/AMSiMZil+4vkuBJYcOwvtF/+V1630grUYzI6jmA==" saltValue="h3JwYd6arF4YgU5/bANUdg==" spinCount="100000" sheet="1" objects="1" scenarios="1"/>
  <dataValidations count="2">
    <dataValidation type="whole" showInputMessage="1" showErrorMessage="1" errorTitle="Incorrect number" error="Please enter quarterly consumption between 700-4000kWh" sqref="C5" xr:uid="{00000000-0002-0000-0100-000000000000}">
      <formula1>700</formula1>
      <formula2>4000</formula2>
    </dataValidation>
    <dataValidation type="decimal" showInputMessage="1" showErrorMessage="1" errorTitle="Incorrect entry" error="Enter 1.5 or 3.0 only" sqref="C4" xr:uid="{00000000-0002-0000-0100-000001000000}">
      <formula1>1.5</formula1>
      <formula2>3</formula2>
    </dataValidation>
  </dataValidations>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BC130"/>
  <sheetViews>
    <sheetView workbookViewId="0">
      <selection activeCell="C4" sqref="C4:C5"/>
    </sheetView>
  </sheetViews>
  <sheetFormatPr baseColWidth="10" defaultColWidth="11.1640625" defaultRowHeight="13" x14ac:dyDescent="0.15"/>
  <cols>
    <col min="1" max="1" width="21.5" style="38" customWidth="1"/>
    <col min="2" max="2" width="28.5" style="38" customWidth="1"/>
    <col min="3" max="7" width="14.83203125" style="38" customWidth="1"/>
    <col min="8" max="8" width="12.1640625" style="38" hidden="1" customWidth="1"/>
    <col min="9" max="9" width="14.83203125" style="38" hidden="1" customWidth="1"/>
    <col min="10" max="15" width="14.83203125" style="38" customWidth="1"/>
    <col min="16" max="19" width="12.1640625" style="38" hidden="1" customWidth="1"/>
    <col min="20" max="23" width="14.83203125" style="38" customWidth="1"/>
    <col min="24" max="34" width="7.5" style="38" customWidth="1"/>
    <col min="35" max="16384" width="11.1640625" style="38"/>
  </cols>
  <sheetData>
    <row r="1" spans="1:55" ht="14" x14ac:dyDescent="0.15">
      <c r="A1" s="91" t="s">
        <v>44</v>
      </c>
      <c r="B1" s="91"/>
      <c r="C1" s="91"/>
      <c r="D1" s="91"/>
      <c r="E1" s="91"/>
      <c r="F1" s="91"/>
      <c r="G1" s="91"/>
      <c r="H1" s="91">
        <v>3</v>
      </c>
      <c r="I1" s="91"/>
      <c r="J1" s="91"/>
      <c r="K1" s="91"/>
      <c r="L1" s="91"/>
      <c r="M1" s="91"/>
      <c r="N1" s="91"/>
      <c r="O1" s="91"/>
      <c r="P1" s="91"/>
      <c r="Q1" s="91"/>
      <c r="R1" s="91"/>
      <c r="S1" s="91"/>
      <c r="T1" s="91"/>
      <c r="U1" s="91"/>
      <c r="V1" s="91"/>
      <c r="W1" s="91"/>
      <c r="X1" s="91"/>
      <c r="Y1" s="91"/>
      <c r="Z1" s="91"/>
      <c r="AA1" s="91"/>
      <c r="AB1" s="91"/>
      <c r="AC1" s="91"/>
      <c r="AD1" s="91"/>
      <c r="AE1" s="91"/>
      <c r="AF1" s="91"/>
      <c r="AG1" s="91"/>
      <c r="AH1" s="91"/>
      <c r="AI1" s="92"/>
      <c r="AJ1" s="92"/>
      <c r="AK1" s="92"/>
      <c r="AL1" s="92"/>
      <c r="AM1" s="92"/>
      <c r="AN1" s="92"/>
      <c r="AO1" s="92"/>
      <c r="AP1" s="92"/>
      <c r="AQ1" s="92"/>
      <c r="AR1" s="92"/>
      <c r="AS1" s="92"/>
      <c r="AT1" s="92"/>
      <c r="AU1" s="92"/>
      <c r="AV1" s="92"/>
      <c r="AW1" s="92"/>
      <c r="AX1" s="92"/>
      <c r="AY1" s="92"/>
      <c r="AZ1" s="92"/>
      <c r="BA1" s="92"/>
      <c r="BB1" s="92"/>
      <c r="BC1" s="92"/>
    </row>
    <row r="2" spans="1:55" ht="14" x14ac:dyDescent="0.15">
      <c r="A2" s="93" t="s">
        <v>6</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2"/>
      <c r="AJ2" s="92"/>
      <c r="AK2" s="92"/>
      <c r="AL2" s="92"/>
      <c r="AM2" s="92"/>
      <c r="AN2" s="92"/>
      <c r="AO2" s="92"/>
      <c r="AP2" s="92"/>
      <c r="AQ2" s="92"/>
      <c r="AR2" s="92"/>
      <c r="AS2" s="92"/>
      <c r="AT2" s="92"/>
      <c r="AU2" s="92"/>
      <c r="AV2" s="92"/>
      <c r="AW2" s="92"/>
      <c r="AX2" s="92"/>
      <c r="AY2" s="92"/>
      <c r="AZ2" s="92"/>
      <c r="BA2" s="92"/>
      <c r="BB2" s="92"/>
      <c r="BC2" s="92"/>
    </row>
    <row r="3" spans="1:55" ht="14" x14ac:dyDescent="0.15">
      <c r="A3" s="93"/>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2"/>
      <c r="AJ3" s="92"/>
      <c r="AK3" s="92"/>
      <c r="AL3" s="92"/>
      <c r="AM3" s="92"/>
      <c r="AN3" s="92"/>
      <c r="AO3" s="92"/>
      <c r="AP3" s="92"/>
      <c r="AQ3" s="92"/>
      <c r="AR3" s="92"/>
      <c r="AS3" s="92"/>
      <c r="AT3" s="92"/>
      <c r="AU3" s="92"/>
      <c r="AV3" s="92"/>
      <c r="AW3" s="92"/>
      <c r="AX3" s="92"/>
      <c r="AY3" s="92"/>
      <c r="AZ3" s="92"/>
      <c r="BA3" s="92"/>
      <c r="BB3" s="92"/>
      <c r="BC3" s="92"/>
    </row>
    <row r="4" spans="1:55" ht="14" x14ac:dyDescent="0.15">
      <c r="A4" s="94" t="s">
        <v>163</v>
      </c>
      <c r="B4" s="95"/>
      <c r="C4" s="135">
        <v>3</v>
      </c>
      <c r="D4" s="91"/>
      <c r="E4" s="96" t="s">
        <v>77</v>
      </c>
      <c r="F4" s="97">
        <f>IF(C4&lt;H1,(675),(1351))</f>
        <v>1351</v>
      </c>
      <c r="G4" s="91"/>
      <c r="H4" s="91"/>
      <c r="I4" s="91"/>
      <c r="J4" s="98"/>
      <c r="K4" s="99" t="s">
        <v>45</v>
      </c>
      <c r="L4" s="100" t="s">
        <v>144</v>
      </c>
      <c r="M4" s="101" t="s">
        <v>145</v>
      </c>
      <c r="N4" s="91"/>
      <c r="O4" s="91"/>
      <c r="P4" s="91"/>
      <c r="Q4" s="91"/>
      <c r="R4" s="91"/>
      <c r="S4" s="91"/>
      <c r="T4" s="91"/>
      <c r="U4" s="91"/>
      <c r="V4" s="91"/>
      <c r="W4" s="91"/>
      <c r="X4" s="91"/>
      <c r="Y4" s="91"/>
      <c r="Z4" s="91"/>
      <c r="AA4" s="91"/>
      <c r="AB4" s="91"/>
      <c r="AC4" s="91"/>
      <c r="AD4" s="91"/>
      <c r="AE4" s="91"/>
      <c r="AF4" s="91"/>
      <c r="AG4" s="91"/>
      <c r="AH4" s="91"/>
      <c r="AI4" s="92"/>
      <c r="AJ4" s="92"/>
      <c r="AK4" s="92"/>
      <c r="AL4" s="92"/>
      <c r="AM4" s="92"/>
      <c r="AN4" s="92"/>
      <c r="AO4" s="92"/>
      <c r="AP4" s="92"/>
      <c r="AQ4" s="92"/>
      <c r="AR4" s="92"/>
      <c r="AS4" s="92"/>
      <c r="AT4" s="92"/>
      <c r="AU4" s="92"/>
      <c r="AV4" s="92"/>
      <c r="AW4" s="92"/>
      <c r="AX4" s="92"/>
      <c r="AY4" s="92"/>
      <c r="AZ4" s="92"/>
      <c r="BA4" s="92"/>
      <c r="BB4" s="92"/>
      <c r="BC4" s="92"/>
    </row>
    <row r="5" spans="1:55" ht="14" x14ac:dyDescent="0.15">
      <c r="A5" s="102" t="s">
        <v>117</v>
      </c>
      <c r="B5" s="103"/>
      <c r="C5" s="136">
        <v>1500</v>
      </c>
      <c r="D5" s="91"/>
      <c r="E5" s="104" t="s">
        <v>75</v>
      </c>
      <c r="F5" s="105">
        <f>C5-(F4-F6)</f>
        <v>893.40100000000007</v>
      </c>
      <c r="G5" s="91"/>
      <c r="H5" s="91"/>
      <c r="I5" s="91"/>
      <c r="J5" s="106" t="s">
        <v>135</v>
      </c>
      <c r="K5" s="107">
        <f>F5*70/100</f>
        <v>625.38070000000005</v>
      </c>
      <c r="L5" s="108">
        <f>F5*30/100</f>
        <v>268.02030000000002</v>
      </c>
      <c r="M5" s="109" t="s">
        <v>196</v>
      </c>
      <c r="N5" s="91"/>
      <c r="O5" s="91"/>
      <c r="P5" s="91"/>
      <c r="Q5" s="91"/>
      <c r="R5" s="91"/>
      <c r="S5" s="91"/>
      <c r="T5" s="91"/>
      <c r="U5" s="91"/>
      <c r="V5" s="91"/>
      <c r="W5" s="91"/>
      <c r="X5" s="91"/>
      <c r="Y5" s="91"/>
      <c r="Z5" s="91"/>
      <c r="AA5" s="91"/>
      <c r="AB5" s="91"/>
      <c r="AC5" s="91"/>
      <c r="AD5" s="91"/>
      <c r="AE5" s="91"/>
      <c r="AF5" s="91"/>
      <c r="AG5" s="91"/>
      <c r="AH5" s="91"/>
      <c r="AI5" s="92"/>
      <c r="AJ5" s="92"/>
      <c r="AK5" s="92"/>
      <c r="AL5" s="92"/>
      <c r="AM5" s="92"/>
      <c r="AN5" s="92"/>
      <c r="AO5" s="92"/>
      <c r="AP5" s="92"/>
      <c r="AQ5" s="92"/>
      <c r="AR5" s="92"/>
      <c r="AS5" s="92"/>
      <c r="AT5" s="92"/>
      <c r="AU5" s="92"/>
      <c r="AV5" s="92"/>
      <c r="AW5" s="92"/>
      <c r="AX5" s="92"/>
      <c r="AY5" s="92"/>
      <c r="AZ5" s="92"/>
      <c r="BA5" s="92"/>
      <c r="BB5" s="92"/>
      <c r="BC5" s="92"/>
    </row>
    <row r="6" spans="1:55" ht="14" x14ac:dyDescent="0.15">
      <c r="A6" s="92"/>
      <c r="B6" s="92"/>
      <c r="C6" s="92"/>
      <c r="D6" s="91"/>
      <c r="E6" s="104" t="s">
        <v>76</v>
      </c>
      <c r="F6" s="105">
        <f>IF(C4&lt;H1,(F4*27.3/100),(F4*55.1/100))</f>
        <v>744.40100000000007</v>
      </c>
      <c r="G6" s="91"/>
      <c r="H6" s="91"/>
      <c r="I6" s="91"/>
      <c r="J6" s="106" t="s">
        <v>136</v>
      </c>
      <c r="K6" s="107">
        <f>F5*20/100</f>
        <v>178.68020000000001</v>
      </c>
      <c r="L6" s="108">
        <f>F5*30/100</f>
        <v>268.02030000000002</v>
      </c>
      <c r="M6" s="110">
        <f>F5*50/100</f>
        <v>446.70050000000003</v>
      </c>
      <c r="N6" s="91"/>
      <c r="O6" s="91"/>
      <c r="P6" s="91"/>
      <c r="Q6" s="91"/>
      <c r="R6" s="91"/>
      <c r="S6" s="91"/>
      <c r="T6" s="91"/>
      <c r="U6" s="91"/>
      <c r="V6" s="91"/>
      <c r="W6" s="91"/>
      <c r="X6" s="91"/>
      <c r="Y6" s="91"/>
      <c r="Z6" s="91"/>
      <c r="AA6" s="91"/>
      <c r="AB6" s="91"/>
      <c r="AC6" s="91"/>
      <c r="AD6" s="91"/>
      <c r="AE6" s="91"/>
      <c r="AF6" s="91"/>
      <c r="AG6" s="91"/>
      <c r="AH6" s="91"/>
      <c r="AI6" s="92"/>
      <c r="AJ6" s="92"/>
      <c r="AK6" s="92"/>
      <c r="AL6" s="92"/>
      <c r="AM6" s="92"/>
      <c r="AN6" s="92"/>
      <c r="AO6" s="92"/>
      <c r="AP6" s="92"/>
      <c r="AQ6" s="92"/>
      <c r="AR6" s="92"/>
      <c r="AS6" s="92"/>
      <c r="AT6" s="92"/>
      <c r="AU6" s="92"/>
      <c r="AV6" s="92"/>
      <c r="AW6" s="92"/>
      <c r="AX6" s="92"/>
      <c r="AY6" s="92"/>
      <c r="AZ6" s="92"/>
      <c r="BA6" s="92"/>
      <c r="BB6" s="92"/>
      <c r="BC6" s="92"/>
    </row>
    <row r="7" spans="1:55" ht="15" thickBot="1" x14ac:dyDescent="0.2">
      <c r="A7" s="91"/>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2"/>
      <c r="AJ7" s="92"/>
      <c r="AK7" s="92"/>
      <c r="AL7" s="92"/>
      <c r="AM7" s="92"/>
      <c r="AN7" s="92"/>
      <c r="AO7" s="92"/>
      <c r="AP7" s="92"/>
      <c r="AQ7" s="92"/>
      <c r="AR7" s="92"/>
      <c r="AS7" s="92"/>
      <c r="AT7" s="92"/>
      <c r="AU7" s="92"/>
      <c r="AV7" s="92"/>
      <c r="AW7" s="92"/>
      <c r="AX7" s="92"/>
      <c r="AY7" s="92"/>
      <c r="AZ7" s="92"/>
      <c r="BA7" s="92"/>
      <c r="BB7" s="92"/>
      <c r="BC7" s="92"/>
    </row>
    <row r="8" spans="1:55" ht="14" x14ac:dyDescent="0.15">
      <c r="A8" s="111" t="s">
        <v>109</v>
      </c>
      <c r="B8" s="112"/>
      <c r="C8" s="112"/>
      <c r="D8" s="112"/>
      <c r="E8" s="112"/>
      <c r="F8" s="112"/>
      <c r="G8" s="112"/>
      <c r="H8" s="112"/>
      <c r="I8" s="112"/>
      <c r="J8" s="112"/>
      <c r="K8" s="112"/>
      <c r="L8" s="112"/>
      <c r="M8" s="112"/>
      <c r="N8" s="112"/>
      <c r="O8" s="112"/>
      <c r="P8" s="112"/>
      <c r="Q8" s="112"/>
      <c r="R8" s="112"/>
      <c r="S8" s="112"/>
      <c r="T8" s="112"/>
      <c r="U8" s="112"/>
      <c r="V8" s="112"/>
      <c r="W8" s="113"/>
      <c r="X8" s="91"/>
      <c r="Y8" s="91"/>
      <c r="Z8" s="91"/>
      <c r="AA8" s="91"/>
      <c r="AB8" s="91"/>
      <c r="AC8" s="91"/>
      <c r="AD8" s="91"/>
      <c r="AE8" s="91"/>
      <c r="AF8" s="91"/>
      <c r="AG8" s="91"/>
      <c r="AH8" s="91"/>
      <c r="AI8" s="92"/>
      <c r="AJ8" s="92"/>
      <c r="AK8" s="92"/>
      <c r="AL8" s="92"/>
      <c r="AM8" s="92"/>
      <c r="AN8" s="92"/>
      <c r="AO8" s="92"/>
      <c r="AP8" s="92"/>
      <c r="AQ8" s="92"/>
      <c r="AR8" s="92"/>
      <c r="AS8" s="92"/>
      <c r="AT8" s="92"/>
      <c r="AU8" s="92"/>
      <c r="AV8" s="92"/>
      <c r="AW8" s="92"/>
      <c r="AX8" s="92"/>
      <c r="AY8" s="92"/>
      <c r="AZ8" s="92"/>
      <c r="BA8" s="92"/>
      <c r="BB8" s="92"/>
      <c r="BC8" s="92"/>
    </row>
    <row r="9" spans="1:55" ht="71" customHeight="1" x14ac:dyDescent="0.15">
      <c r="A9" s="266" t="s">
        <v>147</v>
      </c>
      <c r="B9" s="267" t="s">
        <v>133</v>
      </c>
      <c r="C9" s="268" t="s">
        <v>184</v>
      </c>
      <c r="D9" s="268" t="s">
        <v>16</v>
      </c>
      <c r="E9" s="269" t="s">
        <v>185</v>
      </c>
      <c r="F9" s="269" t="s">
        <v>186</v>
      </c>
      <c r="G9" s="268" t="s">
        <v>74</v>
      </c>
      <c r="H9" s="275" t="s">
        <v>120</v>
      </c>
      <c r="I9" s="276" t="s">
        <v>121</v>
      </c>
      <c r="J9" s="270" t="s">
        <v>118</v>
      </c>
      <c r="K9" s="271" t="s">
        <v>119</v>
      </c>
      <c r="L9" s="271" t="s">
        <v>63</v>
      </c>
      <c r="M9" s="271" t="s">
        <v>91</v>
      </c>
      <c r="N9" s="271" t="s">
        <v>150</v>
      </c>
      <c r="O9" s="272" t="s">
        <v>200</v>
      </c>
      <c r="P9" s="277" t="s">
        <v>151</v>
      </c>
      <c r="Q9" s="277" t="s">
        <v>152</v>
      </c>
      <c r="R9" s="277" t="s">
        <v>226</v>
      </c>
      <c r="S9" s="277" t="s">
        <v>100</v>
      </c>
      <c r="T9" s="272" t="s">
        <v>101</v>
      </c>
      <c r="U9" s="272" t="s">
        <v>174</v>
      </c>
      <c r="V9" s="271" t="s">
        <v>142</v>
      </c>
      <c r="W9" s="273" t="s">
        <v>143</v>
      </c>
      <c r="X9" s="91"/>
      <c r="Y9" s="91"/>
      <c r="Z9" s="91"/>
      <c r="AA9" s="91"/>
      <c r="AB9" s="91"/>
      <c r="AC9" s="91"/>
      <c r="AD9" s="91"/>
      <c r="AE9" s="91"/>
      <c r="AF9" s="91"/>
      <c r="AG9" s="91"/>
      <c r="AH9" s="91"/>
      <c r="AI9" s="92"/>
      <c r="AJ9" s="92"/>
      <c r="AK9" s="92"/>
      <c r="AL9" s="92"/>
      <c r="AM9" s="92"/>
      <c r="AN9" s="92"/>
      <c r="AO9" s="92"/>
      <c r="AP9" s="92"/>
      <c r="AQ9" s="92"/>
      <c r="AR9" s="92"/>
      <c r="AS9" s="92"/>
      <c r="AT9" s="92"/>
      <c r="AU9" s="92"/>
      <c r="AV9" s="92"/>
      <c r="AW9" s="92"/>
      <c r="AX9" s="92"/>
      <c r="AY9" s="92"/>
      <c r="AZ9" s="92"/>
      <c r="BA9" s="92"/>
      <c r="BB9" s="92"/>
      <c r="BC9" s="92"/>
    </row>
    <row r="10" spans="1:55" ht="14" x14ac:dyDescent="0.15">
      <c r="A10" s="114" t="str">
        <f>'Tariffs 2016'!K2</f>
        <v>ActewAGL</v>
      </c>
      <c r="B10" s="38" t="str">
        <f>'Tariffs 2016'!L2</f>
        <v>Home Plan Reward No Exit Fee</v>
      </c>
      <c r="C10" s="115">
        <f>91*'Tariffs 2016'!M2/100</f>
        <v>66.521000000000001</v>
      </c>
      <c r="D10" s="115">
        <f>$F$5*'Tariffs 2016'!N2/100</f>
        <v>148.48324620000002</v>
      </c>
      <c r="E10" s="115">
        <v>0</v>
      </c>
      <c r="F10" s="115">
        <v>0</v>
      </c>
      <c r="G10" s="115">
        <f>SUM(C10:F10)</f>
        <v>215.00424620000001</v>
      </c>
      <c r="H10" s="131">
        <f>(G10-C10)*4</f>
        <v>593.93298479999999</v>
      </c>
      <c r="I10" s="116">
        <f>G10*4</f>
        <v>860.01698480000005</v>
      </c>
      <c r="J10" s="117">
        <f>I10*1.1</f>
        <v>946.01868328000012</v>
      </c>
      <c r="K10" s="38">
        <f>'Tariffs 2016'!AT2</f>
        <v>0</v>
      </c>
      <c r="L10" s="38">
        <f>'Tariffs 2016'!AU2</f>
        <v>12</v>
      </c>
      <c r="M10" s="38">
        <f>'Tariffs 2016'!AV2</f>
        <v>0</v>
      </c>
      <c r="N10" s="38">
        <f>'Tariffs 2016'!AW2</f>
        <v>0</v>
      </c>
      <c r="O10" s="118">
        <f>($F$6*'Tariffs 2016'!AQ2/100)*4</f>
        <v>178.65624000000003</v>
      </c>
      <c r="P10" s="117">
        <f>I10-(H10*L10/100)</f>
        <v>788.74502662400005</v>
      </c>
      <c r="Q10" s="117">
        <f>P10</f>
        <v>788.74502662400005</v>
      </c>
      <c r="R10" s="117">
        <f>P10-O10</f>
        <v>610.08878662400002</v>
      </c>
      <c r="S10" s="117">
        <f>Q10-O10</f>
        <v>610.08878662400002</v>
      </c>
      <c r="T10" s="119">
        <f>R10*1.1</f>
        <v>671.09766528640012</v>
      </c>
      <c r="U10" s="119">
        <f>S10*1.1</f>
        <v>671.09766528640012</v>
      </c>
      <c r="V10" s="120">
        <f>'Tariffs 2016'!BD2</f>
        <v>12</v>
      </c>
      <c r="W10" s="121" t="str">
        <f>'Tariffs 2016'!BE2</f>
        <v>n</v>
      </c>
      <c r="X10" s="91"/>
      <c r="Y10" s="91"/>
      <c r="Z10" s="91"/>
      <c r="AA10" s="91"/>
      <c r="AB10" s="91"/>
      <c r="AC10" s="91"/>
      <c r="AD10" s="91"/>
      <c r="AE10" s="91"/>
      <c r="AF10" s="91"/>
      <c r="AG10" s="91"/>
      <c r="AH10" s="91"/>
      <c r="AI10" s="92"/>
      <c r="AJ10" s="92"/>
      <c r="AK10" s="92"/>
      <c r="AL10" s="92"/>
      <c r="AM10" s="92"/>
      <c r="AN10" s="92"/>
      <c r="AO10" s="92"/>
      <c r="AP10" s="92"/>
      <c r="AQ10" s="92"/>
      <c r="AR10" s="92"/>
      <c r="AS10" s="92"/>
      <c r="AT10" s="92"/>
      <c r="AU10" s="92"/>
      <c r="AV10" s="92"/>
      <c r="AW10" s="92"/>
      <c r="AX10" s="92"/>
      <c r="AY10" s="92"/>
      <c r="AZ10" s="92"/>
      <c r="BA10" s="92"/>
      <c r="BB10" s="92"/>
      <c r="BC10" s="92"/>
    </row>
    <row r="11" spans="1:55" ht="14" x14ac:dyDescent="0.15">
      <c r="A11" s="114" t="str">
        <f>'Tariffs 2016'!K3</f>
        <v>EnergyAustralia</v>
      </c>
      <c r="B11" s="38" t="str">
        <f>'Tariffs 2016'!L3</f>
        <v xml:space="preserve">Flexi Saver </v>
      </c>
      <c r="C11" s="115">
        <f>91*'Tariffs 2016'!M3/100</f>
        <v>65.965899999999991</v>
      </c>
      <c r="D11" s="115">
        <f>$F$5*'Tariffs 2016'!N3/100</f>
        <v>156.22903287</v>
      </c>
      <c r="E11" s="115">
        <v>0</v>
      </c>
      <c r="F11" s="115">
        <v>0</v>
      </c>
      <c r="G11" s="115">
        <f t="shared" ref="G11:G12" si="0">SUM(C11:F11)</f>
        <v>222.19493287</v>
      </c>
      <c r="H11" s="131">
        <f t="shared" ref="H11:H12" si="1">(G11-C11)*4</f>
        <v>624.9161314800001</v>
      </c>
      <c r="I11" s="116">
        <f t="shared" ref="I11:I12" si="2">G11*4</f>
        <v>888.77973148000001</v>
      </c>
      <c r="J11" s="117">
        <f t="shared" ref="J11:J12" si="3">I11*1.1</f>
        <v>977.65770462800003</v>
      </c>
      <c r="K11" s="38">
        <f>'Tariffs 2016'!AT3</f>
        <v>0</v>
      </c>
      <c r="L11" s="38">
        <f>'Tariffs 2016'!AU3</f>
        <v>0</v>
      </c>
      <c r="M11" s="38">
        <f>'Tariffs 2016'!AV3</f>
        <v>0</v>
      </c>
      <c r="N11" s="38">
        <f>'Tariffs 2016'!AW3</f>
        <v>12</v>
      </c>
      <c r="O11" s="118">
        <f>($F$6*'Tariffs 2016'!AQ3/100)*4</f>
        <v>0</v>
      </c>
      <c r="P11" s="117">
        <f>I11</f>
        <v>888.77973148000001</v>
      </c>
      <c r="Q11" s="117">
        <f>P11-(H11*N11/100)</f>
        <v>813.78979570239994</v>
      </c>
      <c r="R11" s="117">
        <f>P11-O11</f>
        <v>888.77973148000001</v>
      </c>
      <c r="S11" s="117">
        <f t="shared" ref="S11:S12" si="4">Q11-O11</f>
        <v>813.78979570239994</v>
      </c>
      <c r="T11" s="119">
        <f t="shared" ref="T11:T12" si="5">R11*1.1</f>
        <v>977.65770462800003</v>
      </c>
      <c r="U11" s="119">
        <f t="shared" ref="U11:U12" si="6">S11*1.1</f>
        <v>895.16877527264</v>
      </c>
      <c r="V11" s="120">
        <f>'Tariffs 2016'!BD3</f>
        <v>0</v>
      </c>
      <c r="W11" s="121" t="str">
        <f>'Tariffs 2016'!BE3</f>
        <v>n</v>
      </c>
      <c r="X11" s="91"/>
      <c r="Y11" s="91"/>
      <c r="Z11" s="91"/>
      <c r="AA11" s="91"/>
      <c r="AB11" s="91"/>
      <c r="AC11" s="91"/>
      <c r="AD11" s="91"/>
      <c r="AE11" s="91"/>
      <c r="AF11" s="91"/>
      <c r="AG11" s="91"/>
      <c r="AH11" s="91"/>
      <c r="AI11" s="92"/>
      <c r="AJ11" s="92"/>
      <c r="AK11" s="92"/>
      <c r="AL11" s="92"/>
      <c r="AM11" s="92"/>
      <c r="AN11" s="92"/>
      <c r="AO11" s="92"/>
      <c r="AP11" s="92"/>
      <c r="AQ11" s="92"/>
      <c r="AR11" s="92"/>
      <c r="AS11" s="92"/>
      <c r="AT11" s="92"/>
      <c r="AU11" s="92"/>
      <c r="AV11" s="92"/>
      <c r="AW11" s="92"/>
      <c r="AX11" s="92"/>
      <c r="AY11" s="92"/>
      <c r="AZ11" s="92"/>
      <c r="BA11" s="92"/>
      <c r="BB11" s="92"/>
      <c r="BC11" s="92"/>
    </row>
    <row r="12" spans="1:55" ht="15" thickBot="1" x14ac:dyDescent="0.2">
      <c r="A12" s="122" t="str">
        <f>'Tariffs 2016'!K4</f>
        <v>Origin Energy</v>
      </c>
      <c r="B12" s="123" t="str">
        <f>'Tariffs 2016'!L4</f>
        <v>Saver</v>
      </c>
      <c r="C12" s="124">
        <f>91*'Tariffs 2016'!M4/100</f>
        <v>66.521000000000001</v>
      </c>
      <c r="D12" s="124">
        <f>$F$5*'Tariffs 2016'!N4/100</f>
        <v>148.48324620000002</v>
      </c>
      <c r="E12" s="124">
        <v>0</v>
      </c>
      <c r="F12" s="124">
        <v>0</v>
      </c>
      <c r="G12" s="124">
        <f t="shared" si="0"/>
        <v>215.00424620000001</v>
      </c>
      <c r="H12" s="132">
        <f t="shared" si="1"/>
        <v>593.93298479999999</v>
      </c>
      <c r="I12" s="125">
        <f t="shared" si="2"/>
        <v>860.01698480000005</v>
      </c>
      <c r="J12" s="126">
        <f t="shared" si="3"/>
        <v>946.01868328000012</v>
      </c>
      <c r="K12" s="123">
        <f>'Tariffs 2016'!AT4</f>
        <v>0</v>
      </c>
      <c r="L12" s="123">
        <f>'Tariffs 2016'!AU4</f>
        <v>0</v>
      </c>
      <c r="M12" s="123">
        <f>'Tariffs 2016'!AV4</f>
        <v>0</v>
      </c>
      <c r="N12" s="123">
        <f>'Tariffs 2016'!AW4</f>
        <v>10</v>
      </c>
      <c r="O12" s="127">
        <f>($F$6*'Tariffs 2016'!AQ4/100)*4</f>
        <v>178.65624000000003</v>
      </c>
      <c r="P12" s="126">
        <f>I12</f>
        <v>860.01698480000005</v>
      </c>
      <c r="Q12" s="126">
        <f>P12-(H12*N12/100)</f>
        <v>800.62368632000005</v>
      </c>
      <c r="R12" s="126">
        <f>P12-O12</f>
        <v>681.36074480000002</v>
      </c>
      <c r="S12" s="126">
        <f t="shared" si="4"/>
        <v>621.96744632000002</v>
      </c>
      <c r="T12" s="128">
        <f t="shared" si="5"/>
        <v>749.49681928000007</v>
      </c>
      <c r="U12" s="128">
        <f t="shared" si="6"/>
        <v>684.16419095200013</v>
      </c>
      <c r="V12" s="129">
        <f>'Tariffs 2016'!BD4</f>
        <v>0</v>
      </c>
      <c r="W12" s="130" t="str">
        <f>'Tariffs 2016'!BE4</f>
        <v>n</v>
      </c>
      <c r="X12" s="91"/>
      <c r="Y12" s="91"/>
      <c r="Z12" s="91"/>
      <c r="AA12" s="91"/>
      <c r="AB12" s="91"/>
      <c r="AC12" s="91"/>
      <c r="AD12" s="91"/>
      <c r="AE12" s="91"/>
      <c r="AF12" s="91"/>
      <c r="AG12" s="91"/>
      <c r="AH12" s="91"/>
      <c r="AI12" s="92"/>
      <c r="AJ12" s="92"/>
      <c r="AK12" s="92"/>
      <c r="AL12" s="92"/>
      <c r="AM12" s="92"/>
      <c r="AN12" s="92"/>
      <c r="AO12" s="92"/>
      <c r="AP12" s="92"/>
      <c r="AQ12" s="92"/>
      <c r="AR12" s="92"/>
      <c r="AS12" s="92"/>
      <c r="AT12" s="92"/>
      <c r="AU12" s="92"/>
      <c r="AV12" s="92"/>
      <c r="AW12" s="92"/>
      <c r="AX12" s="92"/>
      <c r="AY12" s="92"/>
      <c r="AZ12" s="92"/>
      <c r="BA12" s="92"/>
      <c r="BB12" s="92"/>
      <c r="BC12" s="92"/>
    </row>
    <row r="13" spans="1:55" s="92" customFormat="1" ht="14" x14ac:dyDescent="0.15">
      <c r="X13" s="91"/>
      <c r="Y13" s="91"/>
      <c r="Z13" s="91"/>
      <c r="AA13" s="91"/>
      <c r="AB13" s="91"/>
      <c r="AC13" s="91"/>
      <c r="AD13" s="91"/>
      <c r="AE13" s="91"/>
      <c r="AF13" s="91"/>
      <c r="AG13" s="91"/>
      <c r="AH13" s="91"/>
    </row>
    <row r="14" spans="1:55" s="92" customFormat="1" ht="15" thickBot="1" x14ac:dyDescent="0.2">
      <c r="X14" s="91"/>
      <c r="Y14" s="91"/>
      <c r="Z14" s="91"/>
      <c r="AA14" s="91"/>
      <c r="AB14" s="91"/>
      <c r="AC14" s="91"/>
      <c r="AD14" s="91"/>
      <c r="AE14" s="91"/>
      <c r="AF14" s="91"/>
      <c r="AG14" s="91"/>
      <c r="AH14" s="91"/>
    </row>
    <row r="15" spans="1:55" ht="14" x14ac:dyDescent="0.15">
      <c r="A15" s="111" t="s">
        <v>111</v>
      </c>
      <c r="B15" s="112"/>
      <c r="C15" s="112"/>
      <c r="D15" s="112"/>
      <c r="E15" s="112"/>
      <c r="F15" s="112"/>
      <c r="G15" s="112"/>
      <c r="H15" s="112"/>
      <c r="I15" s="112"/>
      <c r="J15" s="112"/>
      <c r="K15" s="112"/>
      <c r="L15" s="112"/>
      <c r="M15" s="112"/>
      <c r="N15" s="112"/>
      <c r="O15" s="112"/>
      <c r="P15" s="112"/>
      <c r="Q15" s="112"/>
      <c r="R15" s="112"/>
      <c r="S15" s="112"/>
      <c r="T15" s="112"/>
      <c r="U15" s="112"/>
      <c r="V15" s="112"/>
      <c r="W15" s="113"/>
      <c r="X15" s="91"/>
      <c r="Y15" s="91"/>
      <c r="Z15" s="91"/>
      <c r="AA15" s="91"/>
      <c r="AB15" s="91"/>
      <c r="AC15" s="91"/>
      <c r="AD15" s="91"/>
      <c r="AE15" s="91"/>
      <c r="AF15" s="91"/>
      <c r="AG15" s="91"/>
      <c r="AH15" s="91"/>
      <c r="AI15" s="92"/>
      <c r="AJ15" s="92"/>
      <c r="AK15" s="92"/>
      <c r="AL15" s="92"/>
      <c r="AM15" s="92"/>
      <c r="AN15" s="92"/>
      <c r="AO15" s="92"/>
      <c r="AP15" s="92"/>
      <c r="AQ15" s="92"/>
      <c r="AR15" s="92"/>
      <c r="AS15" s="92"/>
      <c r="AT15" s="92"/>
      <c r="AU15" s="92"/>
      <c r="AV15" s="92"/>
      <c r="AW15" s="92"/>
      <c r="AX15" s="92"/>
      <c r="AY15" s="92"/>
      <c r="AZ15" s="92"/>
      <c r="BA15" s="92"/>
      <c r="BB15" s="92"/>
      <c r="BC15" s="92"/>
    </row>
    <row r="16" spans="1:55" ht="90" x14ac:dyDescent="0.15">
      <c r="A16" s="266" t="s">
        <v>147</v>
      </c>
      <c r="B16" s="267" t="s">
        <v>133</v>
      </c>
      <c r="C16" s="268" t="s">
        <v>184</v>
      </c>
      <c r="D16" s="268" t="s">
        <v>16</v>
      </c>
      <c r="E16" s="269" t="s">
        <v>185</v>
      </c>
      <c r="F16" s="269" t="s">
        <v>186</v>
      </c>
      <c r="G16" s="268" t="s">
        <v>74</v>
      </c>
      <c r="H16" s="275" t="s">
        <v>120</v>
      </c>
      <c r="I16" s="276" t="s">
        <v>121</v>
      </c>
      <c r="J16" s="270" t="s">
        <v>118</v>
      </c>
      <c r="K16" s="271" t="s">
        <v>119</v>
      </c>
      <c r="L16" s="271" t="s">
        <v>63</v>
      </c>
      <c r="M16" s="271" t="s">
        <v>91</v>
      </c>
      <c r="N16" s="271" t="s">
        <v>150</v>
      </c>
      <c r="O16" s="272" t="s">
        <v>200</v>
      </c>
      <c r="P16" s="277" t="s">
        <v>151</v>
      </c>
      <c r="Q16" s="277" t="s">
        <v>152</v>
      </c>
      <c r="R16" s="277" t="s">
        <v>226</v>
      </c>
      <c r="S16" s="277" t="s">
        <v>100</v>
      </c>
      <c r="T16" s="272" t="s">
        <v>101</v>
      </c>
      <c r="U16" s="272" t="s">
        <v>174</v>
      </c>
      <c r="V16" s="271" t="s">
        <v>142</v>
      </c>
      <c r="W16" s="273" t="s">
        <v>143</v>
      </c>
      <c r="X16" s="91"/>
      <c r="Y16" s="91"/>
      <c r="Z16" s="91"/>
      <c r="AA16" s="91"/>
      <c r="AB16" s="91"/>
      <c r="AC16" s="91"/>
      <c r="AD16" s="91"/>
      <c r="AE16" s="91"/>
      <c r="AF16" s="91"/>
      <c r="AG16" s="91"/>
      <c r="AH16" s="91"/>
      <c r="AI16" s="92"/>
      <c r="AJ16" s="92"/>
      <c r="AK16" s="92"/>
      <c r="AL16" s="92"/>
      <c r="AM16" s="92"/>
      <c r="AN16" s="92"/>
      <c r="AO16" s="92"/>
      <c r="AP16" s="92"/>
      <c r="AQ16" s="92"/>
      <c r="AR16" s="92"/>
      <c r="AS16" s="92"/>
      <c r="AT16" s="92"/>
      <c r="AU16" s="92"/>
      <c r="AV16" s="92"/>
      <c r="AW16" s="92"/>
      <c r="AX16" s="92"/>
      <c r="AY16" s="92"/>
      <c r="AZ16" s="92"/>
      <c r="BA16" s="92"/>
      <c r="BB16" s="92"/>
      <c r="BC16" s="92"/>
    </row>
    <row r="17" spans="1:55" ht="14" x14ac:dyDescent="0.15">
      <c r="A17" s="114" t="str">
        <f>'Tariffs 2016'!K5</f>
        <v>ActewAGL</v>
      </c>
      <c r="B17" s="38" t="str">
        <f>'Tariffs 2016'!L5</f>
        <v>Home Saver Reward No Exit Fee</v>
      </c>
      <c r="C17" s="131">
        <f>91*'Tariffs 2016'!M5/100</f>
        <v>86.177000000000007</v>
      </c>
      <c r="D17" s="131">
        <f>IF($F$5&gt;='Tariffs 2016'!P5,('Tariffs 2016'!P5*'Tariffs 2016'!N5/100),($F$5*'Tariffs 2016'!N5/100))</f>
        <v>134.18883020000001</v>
      </c>
      <c r="E17" s="131">
        <v>0</v>
      </c>
      <c r="F17" s="131">
        <f>IF(($F$5&lt;'Tariffs 2016'!P5),(0),($F$5-'Tariffs 2016'!P5)*'Tariffs 2016'!Q5/100)</f>
        <v>0</v>
      </c>
      <c r="G17" s="131">
        <f>SUM(C17:F17)</f>
        <v>220.3658302</v>
      </c>
      <c r="H17" s="131">
        <f>(G17-C17)*4</f>
        <v>536.75532079999994</v>
      </c>
      <c r="I17" s="116">
        <f t="shared" ref="I17" si="7">G17*4</f>
        <v>881.46332080000002</v>
      </c>
      <c r="J17" s="117">
        <f t="shared" ref="J17:J18" si="8">I17*1.1</f>
        <v>969.60965288000011</v>
      </c>
      <c r="K17" s="38">
        <f>'Tariffs 2016'!AT5</f>
        <v>0</v>
      </c>
      <c r="L17" s="38">
        <f>'Tariffs 2016'!AU5</f>
        <v>12</v>
      </c>
      <c r="M17" s="38">
        <f>'Tariffs 2016'!AV5</f>
        <v>0</v>
      </c>
      <c r="N17" s="38">
        <f>'Tariffs 2016'!AW5</f>
        <v>0</v>
      </c>
      <c r="O17" s="118">
        <f>($F$6*'Tariffs 2016'!AQ5/100)*4</f>
        <v>178.65624000000003</v>
      </c>
      <c r="P17" s="117">
        <f>I17-(H17*L17/100)</f>
        <v>817.05268230399997</v>
      </c>
      <c r="Q17" s="117">
        <f>P17</f>
        <v>817.05268230399997</v>
      </c>
      <c r="R17" s="117">
        <f>P17-O17</f>
        <v>638.39644230399995</v>
      </c>
      <c r="S17" s="117">
        <f>Q17-O17</f>
        <v>638.39644230399995</v>
      </c>
      <c r="T17" s="119">
        <f>R17*1.1</f>
        <v>702.23608653439999</v>
      </c>
      <c r="U17" s="119">
        <f>S17*1.1</f>
        <v>702.23608653439999</v>
      </c>
      <c r="V17" s="120">
        <f>'Tariffs 2016'!BD5</f>
        <v>12</v>
      </c>
      <c r="W17" s="121" t="str">
        <f>'Tariffs 2016'!BE5</f>
        <v>n</v>
      </c>
      <c r="X17" s="91"/>
      <c r="Y17" s="91"/>
      <c r="Z17" s="91"/>
      <c r="AA17" s="91"/>
      <c r="AB17" s="91"/>
      <c r="AC17" s="91"/>
      <c r="AD17" s="91"/>
      <c r="AE17" s="91"/>
      <c r="AF17" s="91"/>
      <c r="AG17" s="91"/>
      <c r="AH17" s="91"/>
      <c r="AI17" s="92"/>
      <c r="AJ17" s="92"/>
      <c r="AK17" s="92"/>
      <c r="AL17" s="92"/>
      <c r="AM17" s="92"/>
      <c r="AN17" s="92"/>
      <c r="AO17" s="92"/>
      <c r="AP17" s="92"/>
      <c r="AQ17" s="92"/>
      <c r="AR17" s="92"/>
      <c r="AS17" s="92"/>
      <c r="AT17" s="92"/>
      <c r="AU17" s="92"/>
      <c r="AV17" s="92"/>
      <c r="AW17" s="92"/>
      <c r="AX17" s="92"/>
      <c r="AY17" s="92"/>
      <c r="AZ17" s="92"/>
      <c r="BA17" s="92"/>
      <c r="BB17" s="92"/>
      <c r="BC17" s="92"/>
    </row>
    <row r="18" spans="1:55" ht="15" thickBot="1" x14ac:dyDescent="0.2">
      <c r="A18" s="122" t="str">
        <f>'Tariffs 2016'!K6</f>
        <v>Origin Energy</v>
      </c>
      <c r="B18" s="123" t="str">
        <f>'Tariffs 2016'!L6</f>
        <v>Saver</v>
      </c>
      <c r="C18" s="132">
        <f>91*'Tariffs 2016'!M6/100</f>
        <v>86.177000000000007</v>
      </c>
      <c r="D18" s="132">
        <f>IF($F$5&gt;='Tariffs 2016'!P6,('Tariffs 2016'!P6*'Tariffs 2016'!N6/100),($F$5*'Tariffs 2016'!N6/100))</f>
        <v>134.18883020000001</v>
      </c>
      <c r="E18" s="132">
        <v>0</v>
      </c>
      <c r="F18" s="132">
        <f>IF(($F$5&lt;'Tariffs 2016'!P6),(0),($F$5-'Tariffs 2016'!P6)*'Tariffs 2016'!Q6/100)</f>
        <v>0</v>
      </c>
      <c r="G18" s="132">
        <f>SUM(C18:F18)</f>
        <v>220.3658302</v>
      </c>
      <c r="H18" s="132">
        <f t="shared" ref="H18" si="9">(G18-C18)*4</f>
        <v>536.75532079999994</v>
      </c>
      <c r="I18" s="125">
        <f t="shared" ref="I18" si="10">G18*4</f>
        <v>881.46332080000002</v>
      </c>
      <c r="J18" s="126">
        <f t="shared" si="8"/>
        <v>969.60965288000011</v>
      </c>
      <c r="K18" s="123">
        <f>'Tariffs 2016'!AT6</f>
        <v>0</v>
      </c>
      <c r="L18" s="123">
        <f>'Tariffs 2016'!AU6</f>
        <v>0</v>
      </c>
      <c r="M18" s="123">
        <f>'Tariffs 2016'!AV6</f>
        <v>0</v>
      </c>
      <c r="N18" s="123">
        <f>'Tariffs 2016'!AW6</f>
        <v>10</v>
      </c>
      <c r="O18" s="127">
        <f>($F$6*'Tariffs 2016'!AQ6/100)*4</f>
        <v>178.65624000000003</v>
      </c>
      <c r="P18" s="126">
        <f>I18</f>
        <v>881.46332080000002</v>
      </c>
      <c r="Q18" s="126">
        <f>P18-(H18*N18/100)</f>
        <v>827.78778871999998</v>
      </c>
      <c r="R18" s="126">
        <f>P18-O18</f>
        <v>702.80708079999999</v>
      </c>
      <c r="S18" s="126">
        <f>Q18-O18</f>
        <v>649.13154871999996</v>
      </c>
      <c r="T18" s="128">
        <f t="shared" ref="T18" si="11">R18*1.1</f>
        <v>773.08778888000006</v>
      </c>
      <c r="U18" s="128">
        <f t="shared" ref="U18" si="12">S18*1.1</f>
        <v>714.04470359200002</v>
      </c>
      <c r="V18" s="129">
        <f>'Tariffs 2016'!BD6</f>
        <v>0</v>
      </c>
      <c r="W18" s="130" t="str">
        <f>'Tariffs 2016'!BE6</f>
        <v>n</v>
      </c>
      <c r="X18" s="91"/>
      <c r="Y18" s="91"/>
      <c r="Z18" s="91"/>
      <c r="AA18" s="91"/>
      <c r="AB18" s="91"/>
      <c r="AC18" s="91"/>
      <c r="AD18" s="91"/>
      <c r="AE18" s="91"/>
      <c r="AF18" s="91"/>
      <c r="AG18" s="91"/>
      <c r="AH18" s="91"/>
      <c r="AI18" s="92"/>
      <c r="AJ18" s="92"/>
      <c r="AK18" s="92"/>
      <c r="AL18" s="92"/>
      <c r="AM18" s="92"/>
      <c r="AN18" s="92"/>
      <c r="AO18" s="92"/>
      <c r="AP18" s="92"/>
      <c r="AQ18" s="92"/>
      <c r="AR18" s="92"/>
      <c r="AS18" s="92"/>
      <c r="AT18" s="92"/>
      <c r="AU18" s="92"/>
      <c r="AV18" s="92"/>
      <c r="AW18" s="92"/>
      <c r="AX18" s="92"/>
      <c r="AY18" s="92"/>
      <c r="AZ18" s="92"/>
      <c r="BA18" s="92"/>
      <c r="BB18" s="92"/>
      <c r="BC18" s="92"/>
    </row>
    <row r="19" spans="1:55" s="92" customFormat="1" ht="14" x14ac:dyDescent="0.15">
      <c r="X19" s="91"/>
      <c r="Y19" s="91"/>
      <c r="Z19" s="91"/>
      <c r="AA19" s="91"/>
      <c r="AB19" s="91"/>
      <c r="AC19" s="91"/>
      <c r="AD19" s="91"/>
      <c r="AE19" s="91"/>
      <c r="AF19" s="91"/>
      <c r="AG19" s="91"/>
      <c r="AH19" s="91"/>
    </row>
    <row r="20" spans="1:55" s="92" customFormat="1" ht="15" thickBot="1" x14ac:dyDescent="0.2">
      <c r="X20" s="91"/>
      <c r="Y20" s="91"/>
      <c r="Z20" s="91"/>
      <c r="AA20" s="91"/>
      <c r="AB20" s="91"/>
      <c r="AC20" s="91"/>
      <c r="AD20" s="91"/>
      <c r="AE20" s="91"/>
      <c r="AF20" s="91"/>
      <c r="AG20" s="91"/>
      <c r="AH20" s="91"/>
    </row>
    <row r="21" spans="1:55" ht="14" x14ac:dyDescent="0.15">
      <c r="A21" s="111" t="s">
        <v>30</v>
      </c>
      <c r="B21" s="112"/>
      <c r="C21" s="112"/>
      <c r="D21" s="133"/>
      <c r="E21" s="133"/>
      <c r="F21" s="133"/>
      <c r="G21" s="134"/>
      <c r="H21" s="134"/>
      <c r="I21" s="112"/>
      <c r="J21" s="112"/>
      <c r="K21" s="112"/>
      <c r="L21" s="112"/>
      <c r="M21" s="112"/>
      <c r="N21" s="112"/>
      <c r="O21" s="112"/>
      <c r="P21" s="112"/>
      <c r="Q21" s="112"/>
      <c r="R21" s="112"/>
      <c r="S21" s="112"/>
      <c r="T21" s="112"/>
      <c r="U21" s="112"/>
      <c r="V21" s="112"/>
      <c r="W21" s="113"/>
      <c r="X21" s="91"/>
      <c r="Y21" s="91"/>
      <c r="Z21" s="91"/>
      <c r="AA21" s="91"/>
      <c r="AB21" s="91"/>
      <c r="AC21" s="91"/>
      <c r="AD21" s="91"/>
      <c r="AE21" s="91"/>
      <c r="AF21" s="91"/>
      <c r="AG21" s="91"/>
      <c r="AH21" s="91"/>
      <c r="AI21" s="92"/>
      <c r="AJ21" s="92"/>
      <c r="AK21" s="92"/>
      <c r="AL21" s="92"/>
      <c r="AM21" s="92"/>
      <c r="AN21" s="92"/>
      <c r="AO21" s="92"/>
      <c r="AP21" s="92"/>
      <c r="AQ21" s="92"/>
      <c r="AR21" s="92"/>
      <c r="AS21" s="92"/>
      <c r="AT21" s="92"/>
      <c r="AU21" s="92"/>
      <c r="AV21" s="92"/>
      <c r="AW21" s="92"/>
      <c r="AX21" s="92"/>
      <c r="AY21" s="92"/>
      <c r="AZ21" s="92"/>
      <c r="BA21" s="92"/>
      <c r="BB21" s="92"/>
      <c r="BC21" s="92"/>
    </row>
    <row r="22" spans="1:55" ht="90" x14ac:dyDescent="0.15">
      <c r="A22" s="266" t="s">
        <v>147</v>
      </c>
      <c r="B22" s="267" t="s">
        <v>133</v>
      </c>
      <c r="C22" s="268" t="s">
        <v>184</v>
      </c>
      <c r="D22" s="268" t="s">
        <v>112</v>
      </c>
      <c r="E22" s="269" t="s">
        <v>186</v>
      </c>
      <c r="F22" s="268" t="s">
        <v>113</v>
      </c>
      <c r="G22" s="268" t="s">
        <v>74</v>
      </c>
      <c r="H22" s="275" t="s">
        <v>114</v>
      </c>
      <c r="I22" s="276" t="s">
        <v>121</v>
      </c>
      <c r="J22" s="270" t="s">
        <v>115</v>
      </c>
      <c r="K22" s="271" t="s">
        <v>119</v>
      </c>
      <c r="L22" s="271" t="s">
        <v>63</v>
      </c>
      <c r="M22" s="271" t="s">
        <v>91</v>
      </c>
      <c r="N22" s="271" t="s">
        <v>150</v>
      </c>
      <c r="O22" s="272" t="s">
        <v>200</v>
      </c>
      <c r="P22" s="277" t="s">
        <v>116</v>
      </c>
      <c r="Q22" s="277" t="s">
        <v>29</v>
      </c>
      <c r="R22" s="277" t="s">
        <v>226</v>
      </c>
      <c r="S22" s="277" t="s">
        <v>100</v>
      </c>
      <c r="T22" s="272" t="s">
        <v>101</v>
      </c>
      <c r="U22" s="272" t="s">
        <v>174</v>
      </c>
      <c r="V22" s="274" t="s">
        <v>142</v>
      </c>
      <c r="W22" s="273" t="s">
        <v>143</v>
      </c>
      <c r="X22" s="91"/>
      <c r="Y22" s="91"/>
      <c r="Z22" s="91"/>
      <c r="AA22" s="91"/>
      <c r="AB22" s="91"/>
      <c r="AC22" s="91"/>
      <c r="AD22" s="91"/>
      <c r="AE22" s="91"/>
      <c r="AF22" s="91"/>
      <c r="AG22" s="91"/>
      <c r="AH22" s="91"/>
      <c r="AI22" s="92"/>
      <c r="AJ22" s="92"/>
      <c r="AK22" s="92"/>
      <c r="AL22" s="92"/>
      <c r="AM22" s="92"/>
      <c r="AN22" s="92"/>
      <c r="AO22" s="92"/>
      <c r="AP22" s="92"/>
      <c r="AQ22" s="92"/>
      <c r="AR22" s="92"/>
      <c r="AS22" s="92"/>
      <c r="AT22" s="92"/>
      <c r="AU22" s="92"/>
      <c r="AV22" s="92"/>
      <c r="AW22" s="92"/>
      <c r="AX22" s="92"/>
      <c r="AY22" s="92"/>
      <c r="AZ22" s="92"/>
      <c r="BA22" s="92"/>
      <c r="BB22" s="92"/>
      <c r="BC22" s="92"/>
    </row>
    <row r="23" spans="1:55" ht="14" x14ac:dyDescent="0.15">
      <c r="A23" s="114" t="str">
        <f>'Tariffs 2016'!K7</f>
        <v>ActewAGL</v>
      </c>
      <c r="B23" s="38" t="str">
        <f>'Tariffs 2016'!L7</f>
        <v>Home plan Reward No Exit Fee</v>
      </c>
      <c r="C23" s="131">
        <f>91*'Tariffs 2016'!M7/100</f>
        <v>66.521000000000001</v>
      </c>
      <c r="D23" s="131">
        <f>($K$5)*'Tariffs 2016'!N7/100</f>
        <v>103.93827234000003</v>
      </c>
      <c r="E23" s="131">
        <v>0</v>
      </c>
      <c r="F23" s="131">
        <f>($L$5)*'Tariffs 2016'!AE7/100</f>
        <v>24.925887900000003</v>
      </c>
      <c r="G23" s="131">
        <f>SUM(C23:F23)</f>
        <v>195.38516024000003</v>
      </c>
      <c r="H23" s="131">
        <f>(G23-C23)*4</f>
        <v>515.45664096000019</v>
      </c>
      <c r="I23" s="116">
        <f t="shared" ref="I23" si="13">G23*4</f>
        <v>781.54064096000013</v>
      </c>
      <c r="J23" s="117">
        <f t="shared" ref="J23:J25" si="14">I23*1.1</f>
        <v>859.6947050560002</v>
      </c>
      <c r="K23" s="38">
        <f>'Tariffs 2016'!AT7</f>
        <v>0</v>
      </c>
      <c r="L23" s="38">
        <f>'Tariffs 2016'!AU7</f>
        <v>12</v>
      </c>
      <c r="M23" s="38">
        <f>'Tariffs 2016'!AV7</f>
        <v>0</v>
      </c>
      <c r="N23" s="38">
        <f>'Tariffs 2016'!AW7</f>
        <v>0</v>
      </c>
      <c r="O23" s="118">
        <f>($F$6*'Tariffs 2016'!AQ7/100)*4</f>
        <v>178.65624000000003</v>
      </c>
      <c r="P23" s="117">
        <f>I23-(H23*L23/100)</f>
        <v>719.68584404480009</v>
      </c>
      <c r="Q23" s="117">
        <f>P23</f>
        <v>719.68584404480009</v>
      </c>
      <c r="R23" s="117">
        <f>P23-O23</f>
        <v>541.02960404480007</v>
      </c>
      <c r="S23" s="117">
        <f>Q23-O23</f>
        <v>541.02960404480007</v>
      </c>
      <c r="T23" s="119">
        <f>R23*1.1</f>
        <v>595.13256444928015</v>
      </c>
      <c r="U23" s="119">
        <f>S23*1.1</f>
        <v>595.13256444928015</v>
      </c>
      <c r="V23" s="120">
        <f>'Tariffs 2016'!BD7</f>
        <v>12</v>
      </c>
      <c r="W23" s="121" t="str">
        <f>'Tariffs 2016'!BE7</f>
        <v>n</v>
      </c>
      <c r="X23" s="91"/>
      <c r="Y23" s="91"/>
      <c r="Z23" s="91"/>
      <c r="AA23" s="91"/>
      <c r="AB23" s="91"/>
      <c r="AC23" s="91"/>
      <c r="AD23" s="91"/>
      <c r="AE23" s="91"/>
      <c r="AF23" s="91"/>
      <c r="AG23" s="91"/>
      <c r="AH23" s="91"/>
      <c r="AI23" s="92"/>
      <c r="AJ23" s="92"/>
      <c r="AK23" s="92"/>
      <c r="AL23" s="92"/>
      <c r="AM23" s="92"/>
      <c r="AN23" s="92"/>
      <c r="AO23" s="92"/>
      <c r="AP23" s="92"/>
      <c r="AQ23" s="92"/>
      <c r="AR23" s="92"/>
      <c r="AS23" s="92"/>
      <c r="AT23" s="92"/>
      <c r="AU23" s="92"/>
      <c r="AV23" s="92"/>
      <c r="AW23" s="92"/>
      <c r="AX23" s="92"/>
      <c r="AY23" s="92"/>
      <c r="AZ23" s="92"/>
      <c r="BA23" s="92"/>
      <c r="BB23" s="92"/>
      <c r="BC23" s="92"/>
    </row>
    <row r="24" spans="1:55" ht="14" x14ac:dyDescent="0.15">
      <c r="A24" s="114" t="str">
        <f>'Tariffs 2016'!K8</f>
        <v>EnergyAustralia</v>
      </c>
      <c r="B24" s="38" t="str">
        <f>'Tariffs 2016'!L8</f>
        <v xml:space="preserve">Flexi Saver </v>
      </c>
      <c r="C24" s="131">
        <f>91*'Tariffs 2016'!M8/100</f>
        <v>65.965899999999991</v>
      </c>
      <c r="D24" s="131">
        <f>($K$5)*'Tariffs 2016'!N8/100</f>
        <v>109.360323009</v>
      </c>
      <c r="E24" s="131">
        <v>0</v>
      </c>
      <c r="F24" s="131">
        <f>($L$5)*'Tariffs 2016'!AE8/100</f>
        <v>23.601867618</v>
      </c>
      <c r="G24" s="131">
        <f t="shared" ref="G24:G25" si="15">SUM(C24:F24)</f>
        <v>198.92809062699999</v>
      </c>
      <c r="H24" s="131">
        <f t="shared" ref="H24:H25" si="16">(G24-C24)*4</f>
        <v>531.84876250799994</v>
      </c>
      <c r="I24" s="116">
        <f t="shared" ref="I24:I25" si="17">G24*4</f>
        <v>795.71236250799996</v>
      </c>
      <c r="J24" s="117">
        <f t="shared" si="14"/>
        <v>875.28359875880005</v>
      </c>
      <c r="K24" s="38">
        <f>'Tariffs 2016'!AT8</f>
        <v>0</v>
      </c>
      <c r="L24" s="38">
        <f>'Tariffs 2016'!AU8</f>
        <v>0</v>
      </c>
      <c r="M24" s="38">
        <f>'Tariffs 2016'!AV8</f>
        <v>0</v>
      </c>
      <c r="N24" s="38">
        <f>'Tariffs 2016'!AW8</f>
        <v>12</v>
      </c>
      <c r="O24" s="118">
        <f>($F$6*'Tariffs 2016'!AQ8/100)*4</f>
        <v>0</v>
      </c>
      <c r="P24" s="117">
        <f>I24</f>
        <v>795.71236250799996</v>
      </c>
      <c r="Q24" s="117">
        <f>P24-(H24*N24/100)</f>
        <v>731.89051100704</v>
      </c>
      <c r="R24" s="117">
        <f t="shared" ref="R24:R25" si="18">P24-O24</f>
        <v>795.71236250799996</v>
      </c>
      <c r="S24" s="117">
        <f t="shared" ref="S24:S25" si="19">Q24-O24</f>
        <v>731.89051100704</v>
      </c>
      <c r="T24" s="119">
        <f t="shared" ref="T24:T25" si="20">R24*1.1</f>
        <v>875.28359875880005</v>
      </c>
      <c r="U24" s="119">
        <f t="shared" ref="U24:U25" si="21">S24*1.1</f>
        <v>805.0795621077441</v>
      </c>
      <c r="V24" s="120">
        <f>'Tariffs 2016'!BD8</f>
        <v>0</v>
      </c>
      <c r="W24" s="121" t="str">
        <f>'Tariffs 2016'!BE8</f>
        <v>n</v>
      </c>
      <c r="X24" s="91"/>
      <c r="Y24" s="91"/>
      <c r="Z24" s="91"/>
      <c r="AA24" s="91"/>
      <c r="AB24" s="91"/>
      <c r="AC24" s="91"/>
      <c r="AD24" s="91"/>
      <c r="AE24" s="91"/>
      <c r="AF24" s="91"/>
      <c r="AG24" s="91"/>
      <c r="AH24" s="91"/>
      <c r="AI24" s="92"/>
      <c r="AJ24" s="92"/>
      <c r="AK24" s="92"/>
      <c r="AL24" s="92"/>
      <c r="AM24" s="92"/>
      <c r="AN24" s="92"/>
      <c r="AO24" s="92"/>
      <c r="AP24" s="92"/>
      <c r="AQ24" s="92"/>
      <c r="AR24" s="92"/>
      <c r="AS24" s="92"/>
      <c r="AT24" s="92"/>
      <c r="AU24" s="92"/>
      <c r="AV24" s="92"/>
      <c r="AW24" s="92"/>
      <c r="AX24" s="92"/>
      <c r="AY24" s="92"/>
      <c r="AZ24" s="92"/>
      <c r="BA24" s="92"/>
      <c r="BB24" s="92"/>
      <c r="BC24" s="92"/>
    </row>
    <row r="25" spans="1:55" ht="15" thickBot="1" x14ac:dyDescent="0.2">
      <c r="A25" s="122" t="str">
        <f>'Tariffs 2016'!K9</f>
        <v>Origin Energy</v>
      </c>
      <c r="B25" s="123" t="str">
        <f>'Tariffs 2016'!L9</f>
        <v>Saver</v>
      </c>
      <c r="C25" s="132">
        <f>91*'Tariffs 2016'!M9/100</f>
        <v>66.521000000000001</v>
      </c>
      <c r="D25" s="132">
        <f>($K$5)*'Tariffs 2016'!N9/100</f>
        <v>103.93827234000003</v>
      </c>
      <c r="E25" s="132">
        <v>0</v>
      </c>
      <c r="F25" s="132">
        <f>($L$5)*'Tariffs 2016'!AE9/100</f>
        <v>24.925887900000003</v>
      </c>
      <c r="G25" s="132">
        <f t="shared" si="15"/>
        <v>195.38516024000003</v>
      </c>
      <c r="H25" s="132">
        <f t="shared" si="16"/>
        <v>515.45664096000019</v>
      </c>
      <c r="I25" s="125">
        <f t="shared" si="17"/>
        <v>781.54064096000013</v>
      </c>
      <c r="J25" s="126">
        <f t="shared" si="14"/>
        <v>859.6947050560002</v>
      </c>
      <c r="K25" s="123">
        <f>'Tariffs 2016'!AT9</f>
        <v>0</v>
      </c>
      <c r="L25" s="123">
        <f>'Tariffs 2016'!AU9</f>
        <v>0</v>
      </c>
      <c r="M25" s="123">
        <f>'Tariffs 2016'!AV9</f>
        <v>0</v>
      </c>
      <c r="N25" s="123">
        <f>'Tariffs 2016'!AW9</f>
        <v>10</v>
      </c>
      <c r="O25" s="127">
        <f>($F$6*'Tariffs 2016'!AQ9/100)*4</f>
        <v>178.65624000000003</v>
      </c>
      <c r="P25" s="126">
        <f>I25</f>
        <v>781.54064096000013</v>
      </c>
      <c r="Q25" s="126">
        <f>P25-(H25*N25/100)</f>
        <v>729.99497686400014</v>
      </c>
      <c r="R25" s="126">
        <f t="shared" si="18"/>
        <v>602.88440096000011</v>
      </c>
      <c r="S25" s="126">
        <f t="shared" si="19"/>
        <v>551.33873686400011</v>
      </c>
      <c r="T25" s="128">
        <f t="shared" si="20"/>
        <v>663.17284105600015</v>
      </c>
      <c r="U25" s="128">
        <f t="shared" si="21"/>
        <v>606.47261055040019</v>
      </c>
      <c r="V25" s="129">
        <f>'Tariffs 2016'!BD9</f>
        <v>0</v>
      </c>
      <c r="W25" s="130" t="str">
        <f>'Tariffs 2016'!BE9</f>
        <v>n</v>
      </c>
      <c r="X25" s="91"/>
      <c r="Y25" s="91"/>
      <c r="Z25" s="91"/>
      <c r="AA25" s="91"/>
      <c r="AB25" s="91"/>
      <c r="AC25" s="91"/>
      <c r="AD25" s="91"/>
      <c r="AE25" s="91"/>
      <c r="AF25" s="91"/>
      <c r="AG25" s="91"/>
      <c r="AH25" s="91"/>
      <c r="AI25" s="92"/>
      <c r="AJ25" s="92"/>
      <c r="AK25" s="92"/>
      <c r="AL25" s="92"/>
      <c r="AM25" s="92"/>
      <c r="AN25" s="92"/>
      <c r="AO25" s="92"/>
      <c r="AP25" s="92"/>
      <c r="AQ25" s="92"/>
      <c r="AR25" s="92"/>
      <c r="AS25" s="92"/>
      <c r="AT25" s="92"/>
      <c r="AU25" s="92"/>
      <c r="AV25" s="92"/>
      <c r="AW25" s="92"/>
      <c r="AX25" s="92"/>
      <c r="AY25" s="92"/>
      <c r="AZ25" s="92"/>
      <c r="BA25" s="92"/>
      <c r="BB25" s="92"/>
      <c r="BC25" s="92"/>
    </row>
    <row r="26" spans="1:55" s="92" customFormat="1" ht="14" x14ac:dyDescent="0.15">
      <c r="X26" s="91"/>
      <c r="Y26" s="91"/>
      <c r="Z26" s="91"/>
      <c r="AA26" s="91"/>
      <c r="AB26" s="91"/>
      <c r="AC26" s="91"/>
      <c r="AD26" s="91"/>
      <c r="AE26" s="91"/>
      <c r="AF26" s="91"/>
      <c r="AG26" s="91"/>
      <c r="AH26" s="91"/>
    </row>
    <row r="27" spans="1:55" s="92" customFormat="1" ht="15" thickBot="1" x14ac:dyDescent="0.2">
      <c r="X27" s="91"/>
      <c r="Y27" s="91"/>
      <c r="Z27" s="91"/>
      <c r="AA27" s="91"/>
      <c r="AB27" s="91"/>
      <c r="AC27" s="91"/>
      <c r="AD27" s="91"/>
      <c r="AE27" s="91"/>
      <c r="AF27" s="91"/>
      <c r="AG27" s="91"/>
      <c r="AH27" s="91"/>
    </row>
    <row r="28" spans="1:55" ht="14" x14ac:dyDescent="0.15">
      <c r="A28" s="111" t="s">
        <v>178</v>
      </c>
      <c r="B28" s="112"/>
      <c r="C28" s="112"/>
      <c r="D28" s="112"/>
      <c r="E28" s="112"/>
      <c r="F28" s="112"/>
      <c r="G28" s="112"/>
      <c r="H28" s="112"/>
      <c r="I28" s="112"/>
      <c r="J28" s="112"/>
      <c r="K28" s="112"/>
      <c r="L28" s="112"/>
      <c r="M28" s="112"/>
      <c r="N28" s="112"/>
      <c r="O28" s="112"/>
      <c r="P28" s="112"/>
      <c r="Q28" s="112"/>
      <c r="R28" s="112"/>
      <c r="S28" s="112"/>
      <c r="T28" s="112"/>
      <c r="U28" s="112"/>
      <c r="V28" s="112"/>
      <c r="W28" s="113"/>
      <c r="X28" s="91"/>
      <c r="Y28" s="91"/>
      <c r="Z28" s="91"/>
      <c r="AA28" s="91"/>
      <c r="AB28" s="91"/>
      <c r="AC28" s="91"/>
      <c r="AD28" s="91"/>
      <c r="AE28" s="91"/>
      <c r="AF28" s="91"/>
      <c r="AG28" s="91"/>
      <c r="AH28" s="91"/>
      <c r="AI28" s="92"/>
      <c r="AJ28" s="92"/>
      <c r="AK28" s="92"/>
      <c r="AL28" s="92"/>
      <c r="AM28" s="92"/>
      <c r="AN28" s="92"/>
      <c r="AO28" s="92"/>
      <c r="AP28" s="92"/>
      <c r="AQ28" s="92"/>
      <c r="AR28" s="92"/>
      <c r="AS28" s="92"/>
      <c r="AT28" s="92"/>
      <c r="AU28" s="92"/>
      <c r="AV28" s="92"/>
      <c r="AW28" s="92"/>
      <c r="AX28" s="92"/>
      <c r="AY28" s="92"/>
      <c r="AZ28" s="92"/>
      <c r="BA28" s="92"/>
      <c r="BB28" s="92"/>
      <c r="BC28" s="92"/>
    </row>
    <row r="29" spans="1:55" ht="90" x14ac:dyDescent="0.15">
      <c r="A29" s="266" t="s">
        <v>147</v>
      </c>
      <c r="B29" s="267" t="s">
        <v>133</v>
      </c>
      <c r="C29" s="268" t="s">
        <v>184</v>
      </c>
      <c r="D29" s="268" t="s">
        <v>31</v>
      </c>
      <c r="E29" s="268" t="s">
        <v>32</v>
      </c>
      <c r="F29" s="268" t="s">
        <v>33</v>
      </c>
      <c r="G29" s="268" t="s">
        <v>74</v>
      </c>
      <c r="H29" s="275" t="s">
        <v>34</v>
      </c>
      <c r="I29" s="276" t="s">
        <v>121</v>
      </c>
      <c r="J29" s="270" t="s">
        <v>35</v>
      </c>
      <c r="K29" s="271" t="s">
        <v>119</v>
      </c>
      <c r="L29" s="271" t="s">
        <v>63</v>
      </c>
      <c r="M29" s="271" t="s">
        <v>91</v>
      </c>
      <c r="N29" s="271" t="s">
        <v>150</v>
      </c>
      <c r="O29" s="272" t="s">
        <v>200</v>
      </c>
      <c r="P29" s="277" t="s">
        <v>102</v>
      </c>
      <c r="Q29" s="277" t="s">
        <v>177</v>
      </c>
      <c r="R29" s="277" t="s">
        <v>226</v>
      </c>
      <c r="S29" s="277" t="s">
        <v>100</v>
      </c>
      <c r="T29" s="272" t="s">
        <v>101</v>
      </c>
      <c r="U29" s="272" t="s">
        <v>174</v>
      </c>
      <c r="V29" s="271" t="s">
        <v>142</v>
      </c>
      <c r="W29" s="273" t="s">
        <v>143</v>
      </c>
      <c r="X29" s="91"/>
      <c r="Y29" s="91"/>
      <c r="Z29" s="91"/>
      <c r="AA29" s="91"/>
      <c r="AB29" s="91"/>
      <c r="AC29" s="91"/>
      <c r="AD29" s="91"/>
      <c r="AE29" s="91"/>
      <c r="AF29" s="91"/>
      <c r="AG29" s="91"/>
      <c r="AH29" s="91"/>
      <c r="AI29" s="92"/>
      <c r="AJ29" s="92"/>
      <c r="AK29" s="92"/>
      <c r="AL29" s="92"/>
      <c r="AM29" s="92"/>
      <c r="AN29" s="92"/>
      <c r="AO29" s="92"/>
      <c r="AP29" s="92"/>
      <c r="AQ29" s="92"/>
      <c r="AR29" s="92"/>
      <c r="AS29" s="92"/>
      <c r="AT29" s="92"/>
      <c r="AU29" s="92"/>
      <c r="AV29" s="92"/>
      <c r="AW29" s="92"/>
      <c r="AX29" s="92"/>
      <c r="AY29" s="92"/>
      <c r="AZ29" s="92"/>
      <c r="BA29" s="92"/>
      <c r="BB29" s="92"/>
      <c r="BC29" s="92"/>
    </row>
    <row r="30" spans="1:55" ht="14" x14ac:dyDescent="0.15">
      <c r="A30" s="114" t="str">
        <f>'Tariffs 2016'!K10</f>
        <v>ActewAGL</v>
      </c>
      <c r="B30" s="38" t="str">
        <f>'Tariffs 2016'!L10</f>
        <v>Home plan Reward No Exit Fee</v>
      </c>
      <c r="C30" s="131">
        <f>91*'Tariffs 2016'!M10/100</f>
        <v>66.521000000000001</v>
      </c>
      <c r="D30" s="131">
        <f>($K$6)*'Tariffs 2016'!N10/100</f>
        <v>40.488933320000008</v>
      </c>
      <c r="E30" s="131">
        <f>($M$6)*'Tariffs 2016'!AH10/100</f>
        <v>68.121826249999998</v>
      </c>
      <c r="F30" s="131">
        <f>($L$6)*'Tariffs 2016'!W10/100</f>
        <v>30.715126380000005</v>
      </c>
      <c r="G30" s="131">
        <f>SUM(C30:F30)</f>
        <v>205.84688595000003</v>
      </c>
      <c r="H30" s="131">
        <f t="shared" ref="H30:H32" si="22">(G30-C30)*4</f>
        <v>557.30354380000017</v>
      </c>
      <c r="I30" s="116">
        <f t="shared" ref="I30:I32" si="23">G30*4</f>
        <v>823.38754380000012</v>
      </c>
      <c r="J30" s="117">
        <f t="shared" ref="J30:J32" si="24">I30*1.1</f>
        <v>905.72629818000019</v>
      </c>
      <c r="K30" s="38">
        <f>'Tariffs 2016'!AT10</f>
        <v>0</v>
      </c>
      <c r="L30" s="38">
        <f>'Tariffs 2016'!AU10</f>
        <v>12</v>
      </c>
      <c r="M30" s="38">
        <f>'Tariffs 2016'!AV10</f>
        <v>0</v>
      </c>
      <c r="N30" s="38">
        <f>'Tariffs 2016'!AW10</f>
        <v>0</v>
      </c>
      <c r="O30" s="118">
        <f>($F$6*'Tariffs 2016'!AQ10/100)*4</f>
        <v>178.65624000000003</v>
      </c>
      <c r="P30" s="117">
        <f>I30-(H30*L30/100)</f>
        <v>756.51111854400006</v>
      </c>
      <c r="Q30" s="117">
        <f>P30</f>
        <v>756.51111854400006</v>
      </c>
      <c r="R30" s="117">
        <f>P30-O30</f>
        <v>577.85487854400003</v>
      </c>
      <c r="S30" s="117">
        <f>Q30-O30</f>
        <v>577.85487854400003</v>
      </c>
      <c r="T30" s="119">
        <f>R30*1.1</f>
        <v>635.64036639840003</v>
      </c>
      <c r="U30" s="119">
        <f>S30*1.1</f>
        <v>635.64036639840003</v>
      </c>
      <c r="V30" s="120">
        <f>'Tariffs 2016'!BD10</f>
        <v>12</v>
      </c>
      <c r="W30" s="121" t="str">
        <f>'Tariffs 2016'!BE10</f>
        <v>n</v>
      </c>
      <c r="X30" s="91"/>
      <c r="Y30" s="91"/>
      <c r="Z30" s="91"/>
      <c r="AA30" s="91"/>
      <c r="AB30" s="91"/>
      <c r="AC30" s="91"/>
      <c r="AD30" s="91"/>
      <c r="AE30" s="91"/>
      <c r="AF30" s="91"/>
      <c r="AG30" s="91"/>
      <c r="AH30" s="91"/>
      <c r="AI30" s="92"/>
      <c r="AJ30" s="92"/>
      <c r="AK30" s="92"/>
      <c r="AL30" s="92"/>
      <c r="AM30" s="92"/>
      <c r="AN30" s="92"/>
      <c r="AO30" s="92"/>
      <c r="AP30" s="92"/>
      <c r="AQ30" s="92"/>
      <c r="AR30" s="92"/>
      <c r="AS30" s="92"/>
      <c r="AT30" s="92"/>
      <c r="AU30" s="92"/>
      <c r="AV30" s="92"/>
      <c r="AW30" s="92"/>
      <c r="AX30" s="92"/>
      <c r="AY30" s="92"/>
      <c r="AZ30" s="92"/>
      <c r="BA30" s="92"/>
      <c r="BB30" s="92"/>
      <c r="BC30" s="92"/>
    </row>
    <row r="31" spans="1:55" ht="14" x14ac:dyDescent="0.15">
      <c r="A31" s="114" t="str">
        <f>'Tariffs 2016'!K11</f>
        <v>EnergyAustralia</v>
      </c>
      <c r="B31" s="38" t="str">
        <f>'Tariffs 2016'!L11</f>
        <v xml:space="preserve">Flexi Saver </v>
      </c>
      <c r="C31" s="131">
        <f>91*'Tariffs 2016'!M11/100</f>
        <v>65.965899999999991</v>
      </c>
      <c r="D31" s="131">
        <f>($K$6)*'Tariffs 2016'!N11/100</f>
        <v>42.704567800000007</v>
      </c>
      <c r="E31" s="131">
        <f>($M$6)*'Tariffs 2016'!AH11/100</f>
        <v>77.672282940000017</v>
      </c>
      <c r="F31" s="131">
        <f>($L$6)*'Tariffs 2016'!W11/100</f>
        <v>28.511999514000003</v>
      </c>
      <c r="G31" s="131">
        <f t="shared" ref="G31:G32" si="25">SUM(C31:F31)</f>
        <v>214.85475025400001</v>
      </c>
      <c r="H31" s="131">
        <f t="shared" si="22"/>
        <v>595.55540101600013</v>
      </c>
      <c r="I31" s="116">
        <f t="shared" si="23"/>
        <v>859.41900101600004</v>
      </c>
      <c r="J31" s="117">
        <f t="shared" si="24"/>
        <v>945.36090111760006</v>
      </c>
      <c r="K31" s="38">
        <f>'Tariffs 2016'!AT11</f>
        <v>0</v>
      </c>
      <c r="L31" s="38">
        <f>'Tariffs 2016'!AU11</f>
        <v>0</v>
      </c>
      <c r="M31" s="38">
        <f>'Tariffs 2016'!AV11</f>
        <v>0</v>
      </c>
      <c r="N31" s="38">
        <f>'Tariffs 2016'!AW11</f>
        <v>12</v>
      </c>
      <c r="O31" s="118">
        <f>($F$6*'Tariffs 2016'!AQ11/100)*4</f>
        <v>0</v>
      </c>
      <c r="P31" s="117">
        <f>I31</f>
        <v>859.41900101600004</v>
      </c>
      <c r="Q31" s="117">
        <f>P31-(H31*N31/100)</f>
        <v>787.95235289408004</v>
      </c>
      <c r="R31" s="117">
        <f t="shared" ref="R31:R32" si="26">P31-O31</f>
        <v>859.41900101600004</v>
      </c>
      <c r="S31" s="117">
        <f t="shared" ref="S31:S32" si="27">Q31-O31</f>
        <v>787.95235289408004</v>
      </c>
      <c r="T31" s="119">
        <f t="shared" ref="T31:T32" si="28">R31*1.1</f>
        <v>945.36090111760006</v>
      </c>
      <c r="U31" s="119">
        <f t="shared" ref="U31:U32" si="29">S31*1.1</f>
        <v>866.74758818348812</v>
      </c>
      <c r="V31" s="120">
        <f>'Tariffs 2016'!BD11</f>
        <v>0</v>
      </c>
      <c r="W31" s="121" t="str">
        <f>'Tariffs 2016'!BE11</f>
        <v>n</v>
      </c>
      <c r="X31" s="91"/>
      <c r="Y31" s="91"/>
      <c r="Z31" s="91"/>
      <c r="AA31" s="91"/>
      <c r="AB31" s="91"/>
      <c r="AC31" s="91"/>
      <c r="AD31" s="91"/>
      <c r="AE31" s="91"/>
      <c r="AF31" s="91"/>
      <c r="AG31" s="91"/>
      <c r="AH31" s="91"/>
      <c r="AI31" s="92"/>
      <c r="AJ31" s="92"/>
      <c r="AK31" s="92"/>
      <c r="AL31" s="92"/>
      <c r="AM31" s="92"/>
      <c r="AN31" s="92"/>
      <c r="AO31" s="92"/>
      <c r="AP31" s="92"/>
      <c r="AQ31" s="92"/>
      <c r="AR31" s="92"/>
      <c r="AS31" s="92"/>
      <c r="AT31" s="92"/>
      <c r="AU31" s="92"/>
      <c r="AV31" s="92"/>
      <c r="AW31" s="92"/>
      <c r="AX31" s="92"/>
      <c r="AY31" s="92"/>
      <c r="AZ31" s="92"/>
      <c r="BA31" s="92"/>
      <c r="BB31" s="92"/>
      <c r="BC31" s="92"/>
    </row>
    <row r="32" spans="1:55" ht="15" thickBot="1" x14ac:dyDescent="0.2">
      <c r="A32" s="122" t="str">
        <f>'Tariffs 2016'!K12</f>
        <v>Origin Energy</v>
      </c>
      <c r="B32" s="123" t="str">
        <f>'Tariffs 2016'!L12</f>
        <v>Saver</v>
      </c>
      <c r="C32" s="132">
        <f>91*'Tariffs 2016'!M12/100</f>
        <v>66.521000000000001</v>
      </c>
      <c r="D32" s="132">
        <f>($K$6)*'Tariffs 2016'!N12/100</f>
        <v>40.488933320000008</v>
      </c>
      <c r="E32" s="132">
        <f>($M$6)*'Tariffs 2016'!AH12/100</f>
        <v>68.121826249999998</v>
      </c>
      <c r="F32" s="132">
        <f>($L$6)*'Tariffs 2016'!W12/100</f>
        <v>30.715126380000005</v>
      </c>
      <c r="G32" s="132">
        <f t="shared" si="25"/>
        <v>205.84688595000003</v>
      </c>
      <c r="H32" s="132">
        <f t="shared" si="22"/>
        <v>557.30354380000017</v>
      </c>
      <c r="I32" s="125">
        <f t="shared" si="23"/>
        <v>823.38754380000012</v>
      </c>
      <c r="J32" s="126">
        <f t="shared" si="24"/>
        <v>905.72629818000019</v>
      </c>
      <c r="K32" s="123">
        <f>'Tariffs 2016'!AT12</f>
        <v>0</v>
      </c>
      <c r="L32" s="123">
        <f>'Tariffs 2016'!AU12</f>
        <v>0</v>
      </c>
      <c r="M32" s="123">
        <f>'Tariffs 2016'!AV12</f>
        <v>0</v>
      </c>
      <c r="N32" s="123">
        <f>'Tariffs 2016'!AW12</f>
        <v>10</v>
      </c>
      <c r="O32" s="127">
        <f>($F$6*'Tariffs 2016'!AQ12/100)*4</f>
        <v>178.65624000000003</v>
      </c>
      <c r="P32" s="126">
        <f>I32</f>
        <v>823.38754380000012</v>
      </c>
      <c r="Q32" s="126">
        <f>P32-(H32*N32/100)</f>
        <v>767.65718942000012</v>
      </c>
      <c r="R32" s="126">
        <f t="shared" si="26"/>
        <v>644.73130380000009</v>
      </c>
      <c r="S32" s="126">
        <f t="shared" si="27"/>
        <v>589.0009494200001</v>
      </c>
      <c r="T32" s="128">
        <f t="shared" si="28"/>
        <v>709.20443418000013</v>
      </c>
      <c r="U32" s="128">
        <f t="shared" si="29"/>
        <v>647.90104436200011</v>
      </c>
      <c r="V32" s="129">
        <f>'Tariffs 2016'!BD12</f>
        <v>0</v>
      </c>
      <c r="W32" s="130" t="str">
        <f>'Tariffs 2016'!BE12</f>
        <v>n</v>
      </c>
      <c r="X32" s="91"/>
      <c r="Y32" s="91"/>
      <c r="Z32" s="91"/>
      <c r="AA32" s="91"/>
      <c r="AB32" s="91"/>
      <c r="AC32" s="91"/>
      <c r="AD32" s="91"/>
      <c r="AE32" s="91"/>
      <c r="AF32" s="91"/>
      <c r="AG32" s="91"/>
      <c r="AH32" s="91"/>
      <c r="AI32" s="92"/>
      <c r="AJ32" s="92"/>
      <c r="AK32" s="92"/>
      <c r="AL32" s="92"/>
      <c r="AM32" s="92"/>
      <c r="AN32" s="92"/>
      <c r="AO32" s="92"/>
      <c r="AP32" s="92"/>
      <c r="AQ32" s="92"/>
      <c r="AR32" s="92"/>
      <c r="AS32" s="92"/>
      <c r="AT32" s="92"/>
      <c r="AU32" s="92"/>
      <c r="AV32" s="92"/>
      <c r="AW32" s="92"/>
      <c r="AX32" s="92"/>
      <c r="AY32" s="92"/>
      <c r="AZ32" s="92"/>
      <c r="BA32" s="92"/>
      <c r="BB32" s="92"/>
      <c r="BC32" s="92"/>
    </row>
    <row r="33" spans="24:34" s="92" customFormat="1" ht="14" x14ac:dyDescent="0.15">
      <c r="X33" s="91"/>
      <c r="Y33" s="91"/>
      <c r="Z33" s="91"/>
      <c r="AA33" s="91"/>
      <c r="AB33" s="91"/>
      <c r="AC33" s="91"/>
      <c r="AD33" s="91"/>
      <c r="AE33" s="91"/>
      <c r="AF33" s="91"/>
      <c r="AG33" s="91"/>
      <c r="AH33" s="91"/>
    </row>
    <row r="34" spans="24:34" s="92" customFormat="1" ht="14" x14ac:dyDescent="0.15">
      <c r="X34" s="91"/>
      <c r="Y34" s="91"/>
      <c r="Z34" s="91"/>
      <c r="AA34" s="91"/>
      <c r="AB34" s="91"/>
      <c r="AC34" s="91"/>
      <c r="AD34" s="91"/>
      <c r="AE34" s="91"/>
      <c r="AF34" s="91"/>
      <c r="AG34" s="91"/>
      <c r="AH34" s="91"/>
    </row>
    <row r="35" spans="24:34" s="92" customFormat="1" ht="14" x14ac:dyDescent="0.15">
      <c r="X35" s="91"/>
      <c r="Y35" s="91"/>
      <c r="Z35" s="91"/>
      <c r="AA35" s="91"/>
      <c r="AB35" s="91"/>
      <c r="AC35" s="91"/>
      <c r="AD35" s="91"/>
      <c r="AE35" s="91"/>
      <c r="AF35" s="91"/>
      <c r="AG35" s="91"/>
      <c r="AH35" s="91"/>
    </row>
    <row r="36" spans="24:34" s="92" customFormat="1" ht="14" x14ac:dyDescent="0.15">
      <c r="X36" s="91"/>
      <c r="Y36" s="91"/>
      <c r="Z36" s="91"/>
      <c r="AA36" s="91"/>
      <c r="AB36" s="91"/>
      <c r="AC36" s="91"/>
      <c r="AD36" s="91"/>
      <c r="AE36" s="91"/>
      <c r="AF36" s="91"/>
      <c r="AG36" s="91"/>
      <c r="AH36" s="91"/>
    </row>
    <row r="37" spans="24:34" s="92" customFormat="1" ht="14" x14ac:dyDescent="0.15">
      <c r="X37" s="91"/>
      <c r="Y37" s="91"/>
      <c r="Z37" s="91"/>
      <c r="AA37" s="91"/>
      <c r="AB37" s="91"/>
      <c r="AC37" s="91"/>
      <c r="AD37" s="91"/>
      <c r="AE37" s="91"/>
      <c r="AF37" s="91"/>
      <c r="AG37" s="91"/>
      <c r="AH37" s="91"/>
    </row>
    <row r="38" spans="24:34" s="92" customFormat="1" ht="14" x14ac:dyDescent="0.15">
      <c r="X38" s="91"/>
      <c r="Y38" s="91"/>
      <c r="Z38" s="91"/>
      <c r="AA38" s="91"/>
      <c r="AB38" s="91"/>
      <c r="AC38" s="91"/>
      <c r="AD38" s="91"/>
      <c r="AE38" s="91"/>
      <c r="AF38" s="91"/>
      <c r="AG38" s="91"/>
      <c r="AH38" s="91"/>
    </row>
    <row r="39" spans="24:34" s="92" customFormat="1" ht="14" x14ac:dyDescent="0.15">
      <c r="X39" s="91"/>
      <c r="Y39" s="91"/>
      <c r="Z39" s="91"/>
      <c r="AA39" s="91"/>
      <c r="AB39" s="91"/>
      <c r="AC39" s="91"/>
      <c r="AD39" s="91"/>
      <c r="AE39" s="91"/>
      <c r="AF39" s="91"/>
      <c r="AG39" s="91"/>
      <c r="AH39" s="91"/>
    </row>
    <row r="40" spans="24:34" s="92" customFormat="1" ht="14" x14ac:dyDescent="0.15">
      <c r="X40" s="91"/>
      <c r="Y40" s="91"/>
      <c r="Z40" s="91"/>
      <c r="AA40" s="91"/>
      <c r="AB40" s="91"/>
      <c r="AC40" s="91"/>
      <c r="AD40" s="91"/>
      <c r="AE40" s="91"/>
      <c r="AF40" s="91"/>
      <c r="AG40" s="91"/>
      <c r="AH40" s="91"/>
    </row>
    <row r="41" spans="24:34" s="92" customFormat="1" ht="14" x14ac:dyDescent="0.15">
      <c r="X41" s="91"/>
      <c r="Y41" s="91"/>
      <c r="Z41" s="91"/>
      <c r="AA41" s="91"/>
      <c r="AB41" s="91"/>
      <c r="AC41" s="91"/>
      <c r="AD41" s="91"/>
      <c r="AE41" s="91"/>
      <c r="AF41" s="91"/>
      <c r="AG41" s="91"/>
      <c r="AH41" s="91"/>
    </row>
    <row r="42" spans="24:34" s="92" customFormat="1" ht="14" x14ac:dyDescent="0.15">
      <c r="X42" s="91"/>
      <c r="Y42" s="91"/>
      <c r="Z42" s="91"/>
      <c r="AA42" s="91"/>
      <c r="AB42" s="91"/>
      <c r="AC42" s="91"/>
      <c r="AD42" s="91"/>
      <c r="AE42" s="91"/>
      <c r="AF42" s="91"/>
      <c r="AG42" s="91"/>
      <c r="AH42" s="91"/>
    </row>
    <row r="43" spans="24:34" s="92" customFormat="1" ht="14" x14ac:dyDescent="0.15">
      <c r="X43" s="91"/>
      <c r="Y43" s="91"/>
      <c r="Z43" s="91"/>
      <c r="AA43" s="91"/>
      <c r="AB43" s="91"/>
      <c r="AC43" s="91"/>
      <c r="AD43" s="91"/>
      <c r="AE43" s="91"/>
      <c r="AF43" s="91"/>
      <c r="AG43" s="91"/>
      <c r="AH43" s="91"/>
    </row>
    <row r="44" spans="24:34" s="92" customFormat="1" ht="14" x14ac:dyDescent="0.15">
      <c r="X44" s="91"/>
      <c r="Y44" s="91"/>
      <c r="Z44" s="91"/>
      <c r="AA44" s="91"/>
      <c r="AB44" s="91"/>
      <c r="AC44" s="91"/>
      <c r="AD44" s="91"/>
      <c r="AE44" s="91"/>
      <c r="AF44" s="91"/>
      <c r="AG44" s="91"/>
      <c r="AH44" s="91"/>
    </row>
    <row r="45" spans="24:34" s="92" customFormat="1" ht="14" x14ac:dyDescent="0.15">
      <c r="X45" s="91"/>
      <c r="Y45" s="91"/>
      <c r="Z45" s="91"/>
      <c r="AA45" s="91"/>
      <c r="AB45" s="91"/>
      <c r="AC45" s="91"/>
      <c r="AD45" s="91"/>
      <c r="AE45" s="91"/>
      <c r="AF45" s="91"/>
      <c r="AG45" s="91"/>
      <c r="AH45" s="91"/>
    </row>
    <row r="46" spans="24:34" s="92" customFormat="1" ht="14" x14ac:dyDescent="0.15">
      <c r="X46" s="91"/>
      <c r="Y46" s="91"/>
      <c r="Z46" s="91"/>
      <c r="AA46" s="91"/>
      <c r="AB46" s="91"/>
      <c r="AC46" s="91"/>
      <c r="AD46" s="91"/>
      <c r="AE46" s="91"/>
      <c r="AF46" s="91"/>
      <c r="AG46" s="91"/>
      <c r="AH46" s="91"/>
    </row>
    <row r="47" spans="24:34" s="92" customFormat="1" ht="14" x14ac:dyDescent="0.15">
      <c r="X47" s="91"/>
      <c r="Y47" s="91"/>
      <c r="Z47" s="91"/>
      <c r="AA47" s="91"/>
      <c r="AB47" s="91"/>
      <c r="AC47" s="91"/>
      <c r="AD47" s="91"/>
      <c r="AE47" s="91"/>
      <c r="AF47" s="91"/>
      <c r="AG47" s="91"/>
      <c r="AH47" s="91"/>
    </row>
    <row r="48" spans="24:34" s="92" customFormat="1" ht="14" x14ac:dyDescent="0.15">
      <c r="X48" s="91"/>
      <c r="Y48" s="91"/>
      <c r="Z48" s="91"/>
      <c r="AA48" s="91"/>
      <c r="AB48" s="91"/>
      <c r="AC48" s="91"/>
      <c r="AD48" s="91"/>
      <c r="AE48" s="91"/>
      <c r="AF48" s="91"/>
      <c r="AG48" s="91"/>
      <c r="AH48" s="91"/>
    </row>
    <row r="49" spans="24:34" s="92" customFormat="1" ht="14" x14ac:dyDescent="0.15">
      <c r="X49" s="91"/>
      <c r="Y49" s="91"/>
      <c r="Z49" s="91"/>
      <c r="AA49" s="91"/>
      <c r="AB49" s="91"/>
      <c r="AC49" s="91"/>
      <c r="AD49" s="91"/>
      <c r="AE49" s="91"/>
      <c r="AF49" s="91"/>
      <c r="AG49" s="91"/>
      <c r="AH49" s="91"/>
    </row>
    <row r="50" spans="24:34" s="92" customFormat="1" ht="14" x14ac:dyDescent="0.15">
      <c r="X50" s="91"/>
      <c r="Y50" s="91"/>
      <c r="Z50" s="91"/>
      <c r="AA50" s="91"/>
      <c r="AB50" s="91"/>
      <c r="AC50" s="91"/>
      <c r="AD50" s="91"/>
      <c r="AE50" s="91"/>
      <c r="AF50" s="91"/>
      <c r="AG50" s="91"/>
      <c r="AH50" s="91"/>
    </row>
    <row r="51" spans="24:34" s="92" customFormat="1" ht="14" x14ac:dyDescent="0.15">
      <c r="X51" s="91"/>
      <c r="Y51" s="91"/>
      <c r="Z51" s="91"/>
      <c r="AA51" s="91"/>
      <c r="AB51" s="91"/>
      <c r="AC51" s="91"/>
      <c r="AD51" s="91"/>
      <c r="AE51" s="91"/>
      <c r="AF51" s="91"/>
      <c r="AG51" s="91"/>
      <c r="AH51" s="91"/>
    </row>
    <row r="52" spans="24:34" s="92" customFormat="1" ht="14" x14ac:dyDescent="0.15">
      <c r="X52" s="91"/>
      <c r="Y52" s="91"/>
      <c r="Z52" s="91"/>
      <c r="AA52" s="91"/>
      <c r="AB52" s="91"/>
      <c r="AC52" s="91"/>
      <c r="AD52" s="91"/>
      <c r="AE52" s="91"/>
      <c r="AF52" s="91"/>
      <c r="AG52" s="91"/>
      <c r="AH52" s="91"/>
    </row>
    <row r="53" spans="24:34" s="92" customFormat="1" ht="14" x14ac:dyDescent="0.15">
      <c r="X53" s="91"/>
      <c r="Y53" s="91"/>
      <c r="Z53" s="91"/>
      <c r="AA53" s="91"/>
      <c r="AB53" s="91"/>
      <c r="AC53" s="91"/>
      <c r="AD53" s="91"/>
      <c r="AE53" s="91"/>
      <c r="AF53" s="91"/>
      <c r="AG53" s="91"/>
      <c r="AH53" s="91"/>
    </row>
    <row r="54" spans="24:34" s="92" customFormat="1" ht="14" x14ac:dyDescent="0.15">
      <c r="X54" s="91"/>
      <c r="Y54" s="91"/>
      <c r="Z54" s="91"/>
      <c r="AA54" s="91"/>
      <c r="AB54" s="91"/>
      <c r="AC54" s="91"/>
      <c r="AD54" s="91"/>
      <c r="AE54" s="91"/>
      <c r="AF54" s="91"/>
      <c r="AG54" s="91"/>
      <c r="AH54" s="91"/>
    </row>
    <row r="55" spans="24:34" s="92" customFormat="1" ht="14" x14ac:dyDescent="0.15">
      <c r="X55" s="91"/>
      <c r="Y55" s="91"/>
      <c r="Z55" s="91"/>
      <c r="AA55" s="91"/>
      <c r="AB55" s="91"/>
      <c r="AC55" s="91"/>
      <c r="AD55" s="91"/>
      <c r="AE55" s="91"/>
      <c r="AF55" s="91"/>
      <c r="AG55" s="91"/>
      <c r="AH55" s="91"/>
    </row>
    <row r="56" spans="24:34" s="92" customFormat="1" ht="14" x14ac:dyDescent="0.15">
      <c r="X56" s="91"/>
      <c r="Y56" s="91"/>
      <c r="Z56" s="91"/>
      <c r="AA56" s="91"/>
      <c r="AB56" s="91"/>
      <c r="AC56" s="91"/>
      <c r="AD56" s="91"/>
      <c r="AE56" s="91"/>
      <c r="AF56" s="91"/>
      <c r="AG56" s="91"/>
      <c r="AH56" s="91"/>
    </row>
    <row r="57" spans="24:34" s="92" customFormat="1" ht="14" x14ac:dyDescent="0.15">
      <c r="X57" s="91"/>
      <c r="Y57" s="91"/>
      <c r="Z57" s="91"/>
      <c r="AA57" s="91"/>
      <c r="AB57" s="91"/>
      <c r="AC57" s="91"/>
      <c r="AD57" s="91"/>
      <c r="AE57" s="91"/>
      <c r="AF57" s="91"/>
      <c r="AG57" s="91"/>
      <c r="AH57" s="91"/>
    </row>
    <row r="58" spans="24:34" s="92" customFormat="1" ht="14" x14ac:dyDescent="0.15">
      <c r="X58" s="91"/>
      <c r="Y58" s="91"/>
      <c r="Z58" s="91"/>
      <c r="AA58" s="91"/>
      <c r="AB58" s="91"/>
      <c r="AC58" s="91"/>
      <c r="AD58" s="91"/>
      <c r="AE58" s="91"/>
      <c r="AF58" s="91"/>
      <c r="AG58" s="91"/>
      <c r="AH58" s="91"/>
    </row>
    <row r="59" spans="24:34" s="92" customFormat="1" ht="14" x14ac:dyDescent="0.15">
      <c r="X59" s="91"/>
      <c r="Y59" s="91"/>
      <c r="Z59" s="91"/>
      <c r="AA59" s="91"/>
      <c r="AB59" s="91"/>
      <c r="AC59" s="91"/>
      <c r="AD59" s="91"/>
      <c r="AE59" s="91"/>
      <c r="AF59" s="91"/>
      <c r="AG59" s="91"/>
      <c r="AH59" s="91"/>
    </row>
    <row r="60" spans="24:34" s="92" customFormat="1" ht="14" x14ac:dyDescent="0.15">
      <c r="X60" s="91"/>
      <c r="Y60" s="91"/>
      <c r="Z60" s="91"/>
      <c r="AA60" s="91"/>
      <c r="AB60" s="91"/>
      <c r="AC60" s="91"/>
      <c r="AD60" s="91"/>
      <c r="AE60" s="91"/>
      <c r="AF60" s="91"/>
      <c r="AG60" s="91"/>
      <c r="AH60" s="91"/>
    </row>
    <row r="61" spans="24:34" s="92" customFormat="1" ht="14" x14ac:dyDescent="0.15">
      <c r="X61" s="91"/>
      <c r="Y61" s="91"/>
      <c r="Z61" s="91"/>
      <c r="AA61" s="91"/>
      <c r="AB61" s="91"/>
      <c r="AC61" s="91"/>
      <c r="AD61" s="91"/>
      <c r="AE61" s="91"/>
      <c r="AF61" s="91"/>
      <c r="AG61" s="91"/>
      <c r="AH61" s="91"/>
    </row>
    <row r="62" spans="24:34" s="92" customFormat="1" ht="14" x14ac:dyDescent="0.15">
      <c r="X62" s="91"/>
      <c r="Y62" s="91"/>
      <c r="Z62" s="91"/>
      <c r="AA62" s="91"/>
      <c r="AB62" s="91"/>
      <c r="AC62" s="91"/>
      <c r="AD62" s="91"/>
      <c r="AE62" s="91"/>
      <c r="AF62" s="91"/>
      <c r="AG62" s="91"/>
      <c r="AH62" s="91"/>
    </row>
    <row r="63" spans="24:34" s="92" customFormat="1" ht="14" x14ac:dyDescent="0.15">
      <c r="X63" s="91"/>
      <c r="Y63" s="91"/>
      <c r="Z63" s="91"/>
      <c r="AA63" s="91"/>
      <c r="AB63" s="91"/>
      <c r="AC63" s="91"/>
      <c r="AD63" s="91"/>
      <c r="AE63" s="91"/>
      <c r="AF63" s="91"/>
      <c r="AG63" s="91"/>
      <c r="AH63" s="91"/>
    </row>
    <row r="64" spans="24:34" s="92" customFormat="1" ht="14" x14ac:dyDescent="0.15">
      <c r="X64" s="91"/>
      <c r="Y64" s="91"/>
      <c r="Z64" s="91"/>
      <c r="AA64" s="91"/>
      <c r="AB64" s="91"/>
      <c r="AC64" s="91"/>
      <c r="AD64" s="91"/>
      <c r="AE64" s="91"/>
      <c r="AF64" s="91"/>
      <c r="AG64" s="91"/>
      <c r="AH64" s="91"/>
    </row>
    <row r="65" spans="1:55" ht="14" x14ac:dyDescent="0.15">
      <c r="A65" s="92"/>
      <c r="B65" s="92"/>
      <c r="C65" s="92"/>
      <c r="D65" s="92"/>
      <c r="E65" s="92"/>
      <c r="F65" s="92"/>
      <c r="G65" s="92"/>
      <c r="H65" s="92"/>
      <c r="I65" s="92"/>
      <c r="J65" s="92"/>
      <c r="K65" s="92"/>
      <c r="L65" s="92"/>
      <c r="M65" s="92"/>
      <c r="N65" s="92"/>
      <c r="O65" s="92"/>
      <c r="P65" s="92"/>
      <c r="Q65" s="92"/>
      <c r="R65" s="92"/>
      <c r="S65" s="92"/>
      <c r="T65" s="92"/>
      <c r="U65" s="92"/>
      <c r="V65" s="92"/>
      <c r="W65" s="92"/>
      <c r="X65" s="91"/>
      <c r="Y65" s="91"/>
      <c r="Z65" s="91"/>
      <c r="AA65" s="91"/>
      <c r="AB65" s="91"/>
      <c r="AC65" s="91"/>
      <c r="AD65" s="91"/>
      <c r="AE65" s="91"/>
      <c r="AF65" s="91"/>
      <c r="AG65" s="91"/>
      <c r="AH65" s="91"/>
      <c r="AI65" s="92"/>
      <c r="AJ65" s="92"/>
      <c r="AK65" s="92"/>
      <c r="AL65" s="92"/>
      <c r="AM65" s="92"/>
      <c r="AN65" s="92"/>
      <c r="AO65" s="92"/>
      <c r="AP65" s="92"/>
      <c r="AQ65" s="92"/>
      <c r="AR65" s="92"/>
      <c r="AS65" s="92"/>
      <c r="AT65" s="92"/>
      <c r="AU65" s="92"/>
      <c r="AV65" s="92"/>
      <c r="AW65" s="92"/>
      <c r="AX65" s="92"/>
      <c r="AY65" s="92"/>
      <c r="AZ65" s="92"/>
      <c r="BA65" s="92"/>
      <c r="BB65" s="92"/>
      <c r="BC65" s="92"/>
    </row>
    <row r="66" spans="1:55" ht="14" x14ac:dyDescent="0.15">
      <c r="A66" s="92"/>
      <c r="B66" s="92"/>
      <c r="C66" s="92"/>
      <c r="D66" s="92"/>
      <c r="E66" s="92"/>
      <c r="F66" s="92"/>
      <c r="G66" s="92"/>
      <c r="H66" s="92"/>
      <c r="I66" s="92"/>
      <c r="J66" s="92"/>
      <c r="K66" s="92"/>
      <c r="L66" s="92"/>
      <c r="M66" s="92"/>
      <c r="N66" s="92"/>
      <c r="O66" s="92"/>
      <c r="P66" s="92"/>
      <c r="Q66" s="92"/>
      <c r="R66" s="92"/>
      <c r="S66" s="92"/>
      <c r="T66" s="92"/>
      <c r="U66" s="92"/>
      <c r="V66" s="92"/>
      <c r="W66" s="92"/>
      <c r="X66" s="91"/>
      <c r="Y66" s="91"/>
      <c r="Z66" s="91"/>
      <c r="AA66" s="91"/>
      <c r="AB66" s="91"/>
      <c r="AC66" s="91"/>
      <c r="AD66" s="91"/>
      <c r="AE66" s="91"/>
      <c r="AF66" s="91"/>
      <c r="AG66" s="91"/>
      <c r="AH66" s="91"/>
      <c r="AI66" s="92"/>
      <c r="AJ66" s="92"/>
      <c r="AK66" s="92"/>
      <c r="AL66" s="92"/>
      <c r="AM66" s="92"/>
      <c r="AN66" s="92"/>
      <c r="AO66" s="92"/>
      <c r="AP66" s="92"/>
      <c r="AQ66" s="92"/>
      <c r="AR66" s="92"/>
      <c r="AS66" s="92"/>
      <c r="AT66" s="92"/>
      <c r="AU66" s="92"/>
      <c r="AV66" s="92"/>
      <c r="AW66" s="92"/>
      <c r="AX66" s="92"/>
      <c r="AY66" s="92"/>
      <c r="AZ66" s="92"/>
      <c r="BA66" s="92"/>
      <c r="BB66" s="92"/>
      <c r="BC66" s="92"/>
    </row>
    <row r="67" spans="1:55" ht="14" x14ac:dyDescent="0.15">
      <c r="A67" s="92"/>
      <c r="B67" s="92"/>
      <c r="C67" s="92"/>
      <c r="D67" s="92"/>
      <c r="E67" s="92"/>
      <c r="F67" s="92"/>
      <c r="G67" s="92"/>
      <c r="H67" s="92"/>
      <c r="I67" s="92"/>
      <c r="J67" s="92"/>
      <c r="K67" s="92"/>
      <c r="L67" s="92"/>
      <c r="M67" s="92"/>
      <c r="N67" s="92"/>
      <c r="O67" s="92"/>
      <c r="P67" s="92"/>
      <c r="Q67" s="92"/>
      <c r="R67" s="92"/>
      <c r="S67" s="92"/>
      <c r="T67" s="92"/>
      <c r="U67" s="92"/>
      <c r="V67" s="92"/>
      <c r="W67" s="92"/>
      <c r="X67" s="91"/>
      <c r="Y67" s="91"/>
      <c r="Z67" s="91"/>
      <c r="AA67" s="91"/>
      <c r="AB67" s="91"/>
      <c r="AC67" s="91"/>
      <c r="AD67" s="91"/>
      <c r="AE67" s="91"/>
      <c r="AF67" s="91"/>
      <c r="AG67" s="91"/>
      <c r="AH67" s="91"/>
      <c r="AI67" s="92"/>
      <c r="AJ67" s="92"/>
      <c r="AK67" s="92"/>
      <c r="AL67" s="92"/>
      <c r="AM67" s="92"/>
      <c r="AN67" s="92"/>
      <c r="AO67" s="92"/>
      <c r="AP67" s="92"/>
      <c r="AQ67" s="92"/>
      <c r="AR67" s="92"/>
      <c r="AS67" s="92"/>
      <c r="AT67" s="92"/>
      <c r="AU67" s="92"/>
      <c r="AV67" s="92"/>
      <c r="AW67" s="92"/>
      <c r="AX67" s="92"/>
      <c r="AY67" s="92"/>
      <c r="AZ67" s="92"/>
      <c r="BA67" s="92"/>
      <c r="BB67" s="92"/>
      <c r="BC67" s="92"/>
    </row>
    <row r="68" spans="1:55" ht="14" x14ac:dyDescent="0.15">
      <c r="A68" s="92"/>
      <c r="B68" s="92"/>
      <c r="C68" s="92"/>
      <c r="D68" s="92"/>
      <c r="E68" s="92"/>
      <c r="F68" s="92"/>
      <c r="G68" s="92"/>
      <c r="H68" s="92"/>
      <c r="I68" s="92"/>
      <c r="J68" s="92"/>
      <c r="K68" s="92"/>
      <c r="L68" s="92"/>
      <c r="M68" s="92"/>
      <c r="N68" s="92"/>
      <c r="O68" s="92"/>
      <c r="P68" s="92"/>
      <c r="Q68" s="92"/>
      <c r="R68" s="92"/>
      <c r="S68" s="92"/>
      <c r="T68" s="92"/>
      <c r="U68" s="92"/>
      <c r="V68" s="92"/>
      <c r="W68" s="92"/>
      <c r="X68" s="91"/>
      <c r="Y68" s="91"/>
      <c r="Z68" s="91"/>
      <c r="AA68" s="91"/>
      <c r="AB68" s="91"/>
      <c r="AC68" s="91"/>
      <c r="AD68" s="91"/>
      <c r="AE68" s="91"/>
      <c r="AF68" s="91"/>
      <c r="AG68" s="91"/>
      <c r="AH68" s="91"/>
      <c r="AI68" s="92"/>
      <c r="AJ68" s="92"/>
      <c r="AK68" s="92"/>
      <c r="AL68" s="92"/>
      <c r="AM68" s="92"/>
      <c r="AN68" s="92"/>
      <c r="AO68" s="92"/>
      <c r="AP68" s="92"/>
      <c r="AQ68" s="92"/>
      <c r="AR68" s="92"/>
      <c r="AS68" s="92"/>
      <c r="AT68" s="92"/>
      <c r="AU68" s="92"/>
      <c r="AV68" s="92"/>
      <c r="AW68" s="92"/>
      <c r="AX68" s="92"/>
      <c r="AY68" s="92"/>
      <c r="AZ68" s="92"/>
      <c r="BA68" s="92"/>
      <c r="BB68" s="92"/>
      <c r="BC68" s="92"/>
    </row>
    <row r="69" spans="1:55" ht="14" x14ac:dyDescent="0.15">
      <c r="A69" s="92"/>
      <c r="B69" s="92"/>
      <c r="C69" s="92"/>
      <c r="D69" s="92"/>
      <c r="E69" s="92"/>
      <c r="F69" s="92"/>
      <c r="G69" s="92"/>
      <c r="H69" s="92"/>
      <c r="I69" s="92"/>
      <c r="J69" s="92"/>
      <c r="K69" s="92"/>
      <c r="L69" s="92"/>
      <c r="M69" s="92"/>
      <c r="N69" s="92"/>
      <c r="O69" s="92"/>
      <c r="P69" s="92"/>
      <c r="Q69" s="92"/>
      <c r="R69" s="92"/>
      <c r="S69" s="92"/>
      <c r="T69" s="92"/>
      <c r="U69" s="92"/>
      <c r="V69" s="92"/>
      <c r="W69" s="92"/>
      <c r="X69" s="91"/>
      <c r="Y69" s="91"/>
      <c r="Z69" s="91"/>
      <c r="AA69" s="91"/>
      <c r="AB69" s="91"/>
      <c r="AC69" s="91"/>
      <c r="AD69" s="91"/>
      <c r="AE69" s="91"/>
      <c r="AF69" s="91"/>
      <c r="AG69" s="91"/>
      <c r="AH69" s="91"/>
      <c r="AI69" s="92"/>
      <c r="AJ69" s="92"/>
      <c r="AK69" s="92"/>
      <c r="AL69" s="92"/>
      <c r="AM69" s="92"/>
      <c r="AN69" s="92"/>
      <c r="AO69" s="92"/>
      <c r="AP69" s="92"/>
      <c r="AQ69" s="92"/>
      <c r="AR69" s="92"/>
      <c r="AS69" s="92"/>
      <c r="AT69" s="92"/>
      <c r="AU69" s="92"/>
      <c r="AV69" s="92"/>
      <c r="AW69" s="92"/>
      <c r="AX69" s="92"/>
      <c r="AY69" s="92"/>
      <c r="AZ69" s="92"/>
      <c r="BA69" s="92"/>
      <c r="BB69" s="92"/>
      <c r="BC69" s="92"/>
    </row>
    <row r="70" spans="1:55" ht="14" x14ac:dyDescent="0.15">
      <c r="A70" s="92"/>
      <c r="B70" s="92"/>
      <c r="C70" s="92"/>
      <c r="D70" s="92"/>
      <c r="E70" s="92"/>
      <c r="F70" s="92"/>
      <c r="G70" s="92"/>
      <c r="H70" s="92"/>
      <c r="I70" s="92"/>
      <c r="J70" s="92"/>
      <c r="K70" s="92"/>
      <c r="L70" s="92"/>
      <c r="M70" s="92"/>
      <c r="N70" s="92"/>
      <c r="O70" s="92"/>
      <c r="P70" s="92"/>
      <c r="Q70" s="92"/>
      <c r="R70" s="92"/>
      <c r="S70" s="92"/>
      <c r="T70" s="92"/>
      <c r="U70" s="92"/>
      <c r="V70" s="92"/>
      <c r="W70" s="92"/>
      <c r="X70" s="91"/>
      <c r="Y70" s="91"/>
      <c r="Z70" s="91"/>
      <c r="AA70" s="91"/>
      <c r="AB70" s="91"/>
      <c r="AC70" s="91"/>
      <c r="AD70" s="91"/>
      <c r="AE70" s="91"/>
      <c r="AF70" s="91"/>
      <c r="AG70" s="91"/>
      <c r="AH70" s="91"/>
      <c r="AI70" s="92"/>
      <c r="AJ70" s="92"/>
      <c r="AK70" s="92"/>
      <c r="AL70" s="92"/>
      <c r="AM70" s="92"/>
      <c r="AN70" s="92"/>
      <c r="AO70" s="92"/>
      <c r="AP70" s="92"/>
      <c r="AQ70" s="92"/>
      <c r="AR70" s="92"/>
      <c r="AS70" s="92"/>
      <c r="AT70" s="92"/>
      <c r="AU70" s="92"/>
      <c r="AV70" s="92"/>
      <c r="AW70" s="92"/>
      <c r="AX70" s="92"/>
      <c r="AY70" s="92"/>
      <c r="AZ70" s="92"/>
      <c r="BA70" s="92"/>
      <c r="BB70" s="92"/>
      <c r="BC70" s="92"/>
    </row>
    <row r="71" spans="1:55" ht="14" x14ac:dyDescent="0.15">
      <c r="A71" s="92"/>
      <c r="B71" s="92"/>
      <c r="C71" s="92"/>
      <c r="D71" s="92"/>
      <c r="E71" s="92"/>
      <c r="F71" s="92"/>
      <c r="G71" s="92"/>
      <c r="H71" s="92"/>
      <c r="I71" s="92"/>
      <c r="J71" s="92"/>
      <c r="K71" s="92"/>
      <c r="L71" s="92"/>
      <c r="M71" s="92"/>
      <c r="N71" s="92"/>
      <c r="O71" s="92"/>
      <c r="P71" s="92"/>
      <c r="Q71" s="92"/>
      <c r="R71" s="92"/>
      <c r="S71" s="92"/>
      <c r="T71" s="92"/>
      <c r="U71" s="92"/>
      <c r="V71" s="92"/>
      <c r="W71" s="92"/>
      <c r="X71" s="91"/>
      <c r="Y71" s="91"/>
      <c r="Z71" s="91"/>
      <c r="AA71" s="91"/>
      <c r="AB71" s="91"/>
      <c r="AC71" s="91"/>
      <c r="AD71" s="91"/>
      <c r="AE71" s="91"/>
      <c r="AF71" s="91"/>
      <c r="AG71" s="91"/>
      <c r="AH71" s="91"/>
      <c r="AI71" s="92"/>
      <c r="AJ71" s="92"/>
      <c r="AK71" s="92"/>
      <c r="AL71" s="92"/>
      <c r="AM71" s="92"/>
      <c r="AN71" s="92"/>
      <c r="AO71" s="92"/>
      <c r="AP71" s="92"/>
      <c r="AQ71" s="92"/>
      <c r="AR71" s="92"/>
      <c r="AS71" s="92"/>
      <c r="AT71" s="92"/>
      <c r="AU71" s="92"/>
      <c r="AV71" s="92"/>
      <c r="AW71" s="92"/>
      <c r="AX71" s="92"/>
      <c r="AY71" s="92"/>
      <c r="AZ71" s="92"/>
      <c r="BA71" s="92"/>
      <c r="BB71" s="92"/>
      <c r="BC71" s="92"/>
    </row>
    <row r="72" spans="1:55" ht="14" x14ac:dyDescent="0.15">
      <c r="A72" s="92"/>
      <c r="B72" s="92"/>
      <c r="C72" s="92"/>
      <c r="D72" s="92"/>
      <c r="E72" s="92"/>
      <c r="F72" s="92"/>
      <c r="G72" s="92"/>
      <c r="H72" s="92"/>
      <c r="I72" s="92"/>
      <c r="J72" s="92"/>
      <c r="K72" s="92"/>
      <c r="L72" s="92"/>
      <c r="M72" s="92"/>
      <c r="N72" s="92"/>
      <c r="O72" s="92"/>
      <c r="P72" s="92"/>
      <c r="Q72" s="92"/>
      <c r="R72" s="92"/>
      <c r="S72" s="92"/>
      <c r="T72" s="92"/>
      <c r="U72" s="92"/>
      <c r="V72" s="92"/>
      <c r="W72" s="92"/>
      <c r="X72" s="91"/>
      <c r="Y72" s="91"/>
      <c r="Z72" s="91"/>
      <c r="AA72" s="91"/>
      <c r="AB72" s="91"/>
      <c r="AC72" s="91"/>
      <c r="AD72" s="91"/>
      <c r="AE72" s="91"/>
      <c r="AF72" s="91"/>
      <c r="AG72" s="91"/>
      <c r="AH72" s="91"/>
      <c r="AI72" s="92"/>
      <c r="AJ72" s="92"/>
      <c r="AK72" s="92"/>
      <c r="AL72" s="92"/>
      <c r="AM72" s="92"/>
      <c r="AN72" s="92"/>
      <c r="AO72" s="92"/>
      <c r="AP72" s="92"/>
      <c r="AQ72" s="92"/>
      <c r="AR72" s="92"/>
      <c r="AS72" s="92"/>
      <c r="AT72" s="92"/>
      <c r="AU72" s="92"/>
      <c r="AV72" s="92"/>
      <c r="AW72" s="92"/>
      <c r="AX72" s="92"/>
      <c r="AY72" s="92"/>
      <c r="AZ72" s="92"/>
      <c r="BA72" s="92"/>
      <c r="BB72" s="92"/>
      <c r="BC72" s="92"/>
    </row>
    <row r="73" spans="1:55" ht="14" x14ac:dyDescent="0.15">
      <c r="A73" s="92"/>
      <c r="B73" s="92"/>
      <c r="C73" s="92"/>
      <c r="D73" s="92"/>
      <c r="E73" s="92"/>
      <c r="F73" s="92"/>
      <c r="G73" s="92"/>
      <c r="H73" s="92"/>
      <c r="I73" s="92"/>
      <c r="J73" s="92"/>
      <c r="K73" s="92"/>
      <c r="L73" s="92"/>
      <c r="M73" s="92"/>
      <c r="N73" s="92"/>
      <c r="O73" s="92"/>
      <c r="P73" s="92"/>
      <c r="Q73" s="92"/>
      <c r="R73" s="92"/>
      <c r="S73" s="92"/>
      <c r="T73" s="92"/>
      <c r="U73" s="92"/>
      <c r="V73" s="92"/>
      <c r="W73" s="92"/>
      <c r="X73" s="91"/>
      <c r="Y73" s="91"/>
      <c r="Z73" s="91"/>
      <c r="AA73" s="91"/>
      <c r="AB73" s="91"/>
      <c r="AC73" s="91"/>
      <c r="AD73" s="91"/>
      <c r="AE73" s="91"/>
      <c r="AF73" s="91"/>
      <c r="AG73" s="91"/>
      <c r="AH73" s="91"/>
      <c r="AI73" s="92"/>
      <c r="AJ73" s="92"/>
      <c r="AK73" s="92"/>
      <c r="AL73" s="92"/>
      <c r="AM73" s="92"/>
      <c r="AN73" s="92"/>
      <c r="AO73" s="92"/>
      <c r="AP73" s="92"/>
      <c r="AQ73" s="92"/>
      <c r="AR73" s="92"/>
      <c r="AS73" s="92"/>
      <c r="AT73" s="92"/>
      <c r="AU73" s="92"/>
      <c r="AV73" s="92"/>
      <c r="AW73" s="92"/>
      <c r="AX73" s="92"/>
      <c r="AY73" s="92"/>
      <c r="AZ73" s="92"/>
      <c r="BA73" s="92"/>
      <c r="BB73" s="92"/>
      <c r="BC73" s="92"/>
    </row>
    <row r="74" spans="1:55" ht="14" x14ac:dyDescent="0.15">
      <c r="A74" s="92"/>
      <c r="B74" s="92"/>
      <c r="C74" s="92"/>
      <c r="D74" s="92"/>
      <c r="E74" s="92"/>
      <c r="F74" s="92"/>
      <c r="G74" s="92"/>
      <c r="H74" s="92"/>
      <c r="I74" s="92"/>
      <c r="J74" s="92"/>
      <c r="K74" s="92"/>
      <c r="L74" s="92"/>
      <c r="M74" s="92"/>
      <c r="N74" s="92"/>
      <c r="O74" s="92"/>
      <c r="P74" s="92"/>
      <c r="Q74" s="92"/>
      <c r="R74" s="92"/>
      <c r="S74" s="92"/>
      <c r="T74" s="92"/>
      <c r="U74" s="92"/>
      <c r="V74" s="92"/>
      <c r="W74" s="92"/>
      <c r="X74" s="91"/>
      <c r="Y74" s="91"/>
      <c r="Z74" s="91"/>
      <c r="AA74" s="91"/>
      <c r="AB74" s="91"/>
      <c r="AC74" s="91"/>
      <c r="AD74" s="91"/>
      <c r="AE74" s="91"/>
      <c r="AF74" s="91"/>
      <c r="AG74" s="91"/>
      <c r="AH74" s="91"/>
      <c r="AI74" s="92"/>
      <c r="AJ74" s="92"/>
      <c r="AK74" s="92"/>
      <c r="AL74" s="92"/>
      <c r="AM74" s="92"/>
      <c r="AN74" s="92"/>
      <c r="AO74" s="92"/>
      <c r="AP74" s="92"/>
      <c r="AQ74" s="92"/>
      <c r="AR74" s="92"/>
      <c r="AS74" s="92"/>
      <c r="AT74" s="92"/>
      <c r="AU74" s="92"/>
      <c r="AV74" s="92"/>
      <c r="AW74" s="92"/>
      <c r="AX74" s="92"/>
      <c r="AY74" s="92"/>
      <c r="AZ74" s="92"/>
      <c r="BA74" s="92"/>
      <c r="BB74" s="92"/>
      <c r="BC74" s="92"/>
    </row>
    <row r="75" spans="1:55" ht="14" x14ac:dyDescent="0.15">
      <c r="A75" s="92"/>
      <c r="B75" s="92"/>
      <c r="C75" s="92"/>
      <c r="D75" s="92"/>
      <c r="E75" s="92"/>
      <c r="F75" s="92"/>
      <c r="G75" s="92"/>
      <c r="H75" s="92"/>
      <c r="I75" s="92"/>
      <c r="J75" s="92"/>
      <c r="K75" s="92"/>
      <c r="L75" s="92"/>
      <c r="M75" s="92"/>
      <c r="N75" s="92"/>
      <c r="O75" s="92"/>
      <c r="P75" s="92"/>
      <c r="Q75" s="92"/>
      <c r="R75" s="92"/>
      <c r="S75" s="92"/>
      <c r="T75" s="92"/>
      <c r="U75" s="92"/>
      <c r="V75" s="92"/>
      <c r="W75" s="92"/>
      <c r="X75" s="91"/>
      <c r="Y75" s="91"/>
      <c r="Z75" s="91"/>
      <c r="AA75" s="91"/>
      <c r="AB75" s="91"/>
      <c r="AC75" s="91"/>
      <c r="AD75" s="91"/>
      <c r="AE75" s="91"/>
      <c r="AF75" s="91"/>
      <c r="AG75" s="91"/>
      <c r="AH75" s="91"/>
      <c r="AI75" s="92"/>
      <c r="AJ75" s="92"/>
      <c r="AK75" s="92"/>
      <c r="AL75" s="92"/>
      <c r="AM75" s="92"/>
      <c r="AN75" s="92"/>
      <c r="AO75" s="92"/>
      <c r="AP75" s="92"/>
      <c r="AQ75" s="92"/>
      <c r="AR75" s="92"/>
      <c r="AS75" s="92"/>
      <c r="AT75" s="92"/>
      <c r="AU75" s="92"/>
      <c r="AV75" s="92"/>
      <c r="AW75" s="92"/>
      <c r="AX75" s="92"/>
      <c r="AY75" s="92"/>
      <c r="AZ75" s="92"/>
      <c r="BA75" s="92"/>
      <c r="BB75" s="92"/>
      <c r="BC75" s="92"/>
    </row>
    <row r="76" spans="1:55" ht="14" x14ac:dyDescent="0.15">
      <c r="A76" s="92"/>
      <c r="B76" s="92"/>
      <c r="C76" s="92"/>
      <c r="D76" s="92"/>
      <c r="E76" s="92"/>
      <c r="F76" s="92"/>
      <c r="G76" s="92"/>
      <c r="H76" s="92"/>
      <c r="I76" s="92"/>
      <c r="J76" s="92"/>
      <c r="K76" s="92"/>
      <c r="L76" s="92"/>
      <c r="M76" s="92"/>
      <c r="N76" s="92"/>
      <c r="O76" s="92"/>
      <c r="P76" s="92"/>
      <c r="Q76" s="92"/>
      <c r="R76" s="92"/>
      <c r="S76" s="92"/>
      <c r="T76" s="92"/>
      <c r="U76" s="92"/>
      <c r="V76" s="92"/>
      <c r="W76" s="92"/>
      <c r="X76" s="91"/>
      <c r="Y76" s="91"/>
      <c r="Z76" s="91"/>
      <c r="AA76" s="91"/>
      <c r="AB76" s="91"/>
      <c r="AC76" s="91"/>
      <c r="AD76" s="91"/>
      <c r="AE76" s="91"/>
      <c r="AF76" s="91"/>
      <c r="AG76" s="91"/>
      <c r="AH76" s="91"/>
      <c r="AI76" s="92"/>
      <c r="AJ76" s="92"/>
      <c r="AK76" s="92"/>
      <c r="AL76" s="92"/>
      <c r="AM76" s="92"/>
      <c r="AN76" s="92"/>
      <c r="AO76" s="92"/>
      <c r="AP76" s="92"/>
      <c r="AQ76" s="92"/>
      <c r="AR76" s="92"/>
      <c r="AS76" s="92"/>
      <c r="AT76" s="92"/>
      <c r="AU76" s="92"/>
      <c r="AV76" s="92"/>
      <c r="AW76" s="92"/>
      <c r="AX76" s="92"/>
      <c r="AY76" s="92"/>
      <c r="AZ76" s="92"/>
      <c r="BA76" s="92"/>
      <c r="BB76" s="92"/>
      <c r="BC76" s="92"/>
    </row>
    <row r="77" spans="1:55" ht="14" x14ac:dyDescent="0.15">
      <c r="A77" s="92"/>
      <c r="B77" s="92"/>
      <c r="C77" s="92"/>
      <c r="D77" s="92"/>
      <c r="E77" s="92"/>
      <c r="F77" s="92"/>
      <c r="G77" s="92"/>
      <c r="H77" s="92"/>
      <c r="I77" s="92"/>
      <c r="J77" s="92"/>
      <c r="K77" s="92"/>
      <c r="L77" s="92"/>
      <c r="M77" s="92"/>
      <c r="N77" s="92"/>
      <c r="O77" s="92"/>
      <c r="P77" s="92"/>
      <c r="Q77" s="92"/>
      <c r="R77" s="92"/>
      <c r="S77" s="92"/>
      <c r="T77" s="92"/>
      <c r="U77" s="92"/>
      <c r="V77" s="92"/>
      <c r="W77" s="92"/>
      <c r="X77" s="91"/>
      <c r="Y77" s="91"/>
      <c r="Z77" s="91"/>
      <c r="AA77" s="91"/>
      <c r="AB77" s="91"/>
      <c r="AC77" s="91"/>
      <c r="AD77" s="91"/>
      <c r="AE77" s="91"/>
      <c r="AF77" s="91"/>
      <c r="AG77" s="91"/>
      <c r="AH77" s="91"/>
      <c r="AI77" s="92"/>
      <c r="AJ77" s="92"/>
      <c r="AK77" s="92"/>
      <c r="AL77" s="92"/>
      <c r="AM77" s="92"/>
      <c r="AN77" s="92"/>
      <c r="AO77" s="92"/>
      <c r="AP77" s="92"/>
      <c r="AQ77" s="92"/>
      <c r="AR77" s="92"/>
      <c r="AS77" s="92"/>
      <c r="AT77" s="92"/>
      <c r="AU77" s="92"/>
      <c r="AV77" s="92"/>
      <c r="AW77" s="92"/>
      <c r="AX77" s="92"/>
      <c r="AY77" s="92"/>
      <c r="AZ77" s="92"/>
      <c r="BA77" s="92"/>
      <c r="BB77" s="92"/>
      <c r="BC77" s="92"/>
    </row>
    <row r="78" spans="1:55" ht="14" x14ac:dyDescent="0.15">
      <c r="A78" s="92"/>
      <c r="B78" s="92"/>
      <c r="C78" s="92"/>
      <c r="D78" s="92"/>
      <c r="E78" s="92"/>
      <c r="F78" s="92"/>
      <c r="G78" s="92"/>
      <c r="H78" s="92"/>
      <c r="I78" s="92"/>
      <c r="J78" s="92"/>
      <c r="K78" s="92"/>
      <c r="L78" s="92"/>
      <c r="M78" s="92"/>
      <c r="N78" s="92"/>
      <c r="O78" s="92"/>
      <c r="P78" s="92"/>
      <c r="Q78" s="92"/>
      <c r="R78" s="92"/>
      <c r="S78" s="92"/>
      <c r="T78" s="92"/>
      <c r="U78" s="92"/>
      <c r="V78" s="92"/>
      <c r="W78" s="92"/>
      <c r="X78" s="91"/>
      <c r="Y78" s="91"/>
      <c r="Z78" s="91"/>
      <c r="AA78" s="91"/>
      <c r="AB78" s="91"/>
      <c r="AC78" s="91"/>
      <c r="AD78" s="91"/>
      <c r="AE78" s="91"/>
      <c r="AF78" s="91"/>
      <c r="AG78" s="91"/>
      <c r="AH78" s="91"/>
      <c r="AI78" s="92"/>
      <c r="AJ78" s="92"/>
      <c r="AK78" s="92"/>
      <c r="AL78" s="92"/>
      <c r="AM78" s="92"/>
      <c r="AN78" s="92"/>
      <c r="AO78" s="92"/>
      <c r="AP78" s="92"/>
      <c r="AQ78" s="92"/>
      <c r="AR78" s="92"/>
      <c r="AS78" s="92"/>
      <c r="AT78" s="92"/>
      <c r="AU78" s="92"/>
      <c r="AV78" s="92"/>
      <c r="AW78" s="92"/>
      <c r="AX78" s="92"/>
      <c r="AY78" s="92"/>
      <c r="AZ78" s="92"/>
      <c r="BA78" s="92"/>
      <c r="BB78" s="92"/>
      <c r="BC78" s="92"/>
    </row>
    <row r="79" spans="1:55" ht="14" x14ac:dyDescent="0.15">
      <c r="A79" s="92"/>
      <c r="B79" s="92"/>
      <c r="C79" s="92"/>
      <c r="D79" s="92"/>
      <c r="E79" s="92"/>
      <c r="F79" s="92"/>
      <c r="G79" s="92"/>
      <c r="H79" s="92"/>
      <c r="I79" s="92"/>
      <c r="J79" s="92"/>
      <c r="K79" s="92"/>
      <c r="L79" s="92"/>
      <c r="M79" s="92"/>
      <c r="N79" s="92"/>
      <c r="O79" s="92"/>
      <c r="P79" s="92"/>
      <c r="Q79" s="92"/>
      <c r="R79" s="92"/>
      <c r="S79" s="92"/>
      <c r="T79" s="92"/>
      <c r="U79" s="92"/>
      <c r="V79" s="92"/>
      <c r="W79" s="92"/>
      <c r="X79" s="91"/>
      <c r="Y79" s="91"/>
      <c r="Z79" s="91"/>
      <c r="AA79" s="91"/>
      <c r="AB79" s="91"/>
      <c r="AC79" s="91"/>
      <c r="AD79" s="91"/>
      <c r="AE79" s="91"/>
      <c r="AF79" s="91"/>
      <c r="AG79" s="91"/>
      <c r="AH79" s="91"/>
      <c r="AI79" s="92"/>
      <c r="AJ79" s="92"/>
      <c r="AK79" s="92"/>
      <c r="AL79" s="92"/>
      <c r="AM79" s="92"/>
      <c r="AN79" s="92"/>
      <c r="AO79" s="92"/>
      <c r="AP79" s="92"/>
      <c r="AQ79" s="92"/>
      <c r="AR79" s="92"/>
      <c r="AS79" s="92"/>
      <c r="AT79" s="92"/>
      <c r="AU79" s="92"/>
      <c r="AV79" s="92"/>
      <c r="AW79" s="92"/>
      <c r="AX79" s="92"/>
      <c r="AY79" s="92"/>
      <c r="AZ79" s="92"/>
      <c r="BA79" s="92"/>
      <c r="BB79" s="92"/>
      <c r="BC79" s="92"/>
    </row>
    <row r="80" spans="1:55" ht="14" x14ac:dyDescent="0.15">
      <c r="A80" s="92"/>
      <c r="B80" s="92"/>
      <c r="C80" s="92"/>
      <c r="D80" s="92"/>
      <c r="E80" s="92"/>
      <c r="F80" s="92"/>
      <c r="G80" s="92"/>
      <c r="H80" s="92"/>
      <c r="I80" s="92"/>
      <c r="J80" s="92"/>
      <c r="K80" s="92"/>
      <c r="L80" s="92"/>
      <c r="M80" s="92"/>
      <c r="N80" s="92"/>
      <c r="O80" s="92"/>
      <c r="P80" s="92"/>
      <c r="Q80" s="92"/>
      <c r="R80" s="92"/>
      <c r="S80" s="92"/>
      <c r="T80" s="92"/>
      <c r="U80" s="92"/>
      <c r="V80" s="92"/>
      <c r="W80" s="92"/>
      <c r="X80" s="91"/>
      <c r="Y80" s="91"/>
      <c r="Z80" s="91"/>
      <c r="AA80" s="91"/>
      <c r="AB80" s="91"/>
      <c r="AC80" s="91"/>
      <c r="AD80" s="91"/>
      <c r="AE80" s="91"/>
      <c r="AF80" s="91"/>
      <c r="AG80" s="91"/>
      <c r="AH80" s="91"/>
      <c r="AI80" s="92"/>
      <c r="AJ80" s="92"/>
      <c r="AK80" s="92"/>
      <c r="AL80" s="92"/>
      <c r="AM80" s="92"/>
      <c r="AN80" s="92"/>
      <c r="AO80" s="92"/>
      <c r="AP80" s="92"/>
      <c r="AQ80" s="92"/>
      <c r="AR80" s="92"/>
      <c r="AS80" s="92"/>
      <c r="AT80" s="92"/>
      <c r="AU80" s="92"/>
      <c r="AV80" s="92"/>
      <c r="AW80" s="92"/>
      <c r="AX80" s="92"/>
      <c r="AY80" s="92"/>
      <c r="AZ80" s="92"/>
      <c r="BA80" s="92"/>
      <c r="BB80" s="92"/>
      <c r="BC80" s="92"/>
    </row>
    <row r="81" spans="1:55" ht="14" x14ac:dyDescent="0.15">
      <c r="A81" s="92"/>
      <c r="B81" s="92"/>
      <c r="C81" s="92"/>
      <c r="D81" s="92"/>
      <c r="E81" s="92"/>
      <c r="F81" s="92"/>
      <c r="G81" s="92"/>
      <c r="H81" s="92"/>
      <c r="I81" s="92"/>
      <c r="J81" s="92"/>
      <c r="K81" s="92"/>
      <c r="L81" s="92"/>
      <c r="M81" s="92"/>
      <c r="N81" s="92"/>
      <c r="O81" s="92"/>
      <c r="P81" s="92"/>
      <c r="Q81" s="92"/>
      <c r="R81" s="92"/>
      <c r="S81" s="92"/>
      <c r="T81" s="92"/>
      <c r="U81" s="92"/>
      <c r="V81" s="92"/>
      <c r="W81" s="92"/>
      <c r="X81" s="91"/>
      <c r="Y81" s="91"/>
      <c r="Z81" s="91"/>
      <c r="AA81" s="91"/>
      <c r="AB81" s="91"/>
      <c r="AC81" s="91"/>
      <c r="AD81" s="91"/>
      <c r="AE81" s="91"/>
      <c r="AF81" s="91"/>
      <c r="AG81" s="91"/>
      <c r="AH81" s="91"/>
      <c r="AI81" s="92"/>
      <c r="AJ81" s="92"/>
      <c r="AK81" s="92"/>
      <c r="AL81" s="92"/>
      <c r="AM81" s="92"/>
      <c r="AN81" s="92"/>
      <c r="AO81" s="92"/>
      <c r="AP81" s="92"/>
      <c r="AQ81" s="92"/>
      <c r="AR81" s="92"/>
      <c r="AS81" s="92"/>
      <c r="AT81" s="92"/>
      <c r="AU81" s="92"/>
      <c r="AV81" s="92"/>
      <c r="AW81" s="92"/>
      <c r="AX81" s="92"/>
      <c r="AY81" s="92"/>
      <c r="AZ81" s="92"/>
      <c r="BA81" s="92"/>
      <c r="BB81" s="92"/>
      <c r="BC81" s="92"/>
    </row>
    <row r="82" spans="1:55" ht="14" x14ac:dyDescent="0.15">
      <c r="A82" s="92"/>
      <c r="B82" s="92"/>
      <c r="C82" s="92"/>
      <c r="D82" s="92"/>
      <c r="E82" s="92"/>
      <c r="F82" s="92"/>
      <c r="G82" s="92"/>
      <c r="H82" s="92"/>
      <c r="I82" s="92"/>
      <c r="J82" s="92"/>
      <c r="K82" s="92"/>
      <c r="L82" s="92"/>
      <c r="M82" s="92"/>
      <c r="N82" s="92"/>
      <c r="O82" s="92"/>
      <c r="P82" s="92"/>
      <c r="Q82" s="92"/>
      <c r="R82" s="92"/>
      <c r="S82" s="92"/>
      <c r="T82" s="92"/>
      <c r="U82" s="92"/>
      <c r="V82" s="92"/>
      <c r="W82" s="92"/>
      <c r="X82" s="91"/>
      <c r="Y82" s="91"/>
      <c r="Z82" s="91"/>
      <c r="AA82" s="91"/>
      <c r="AB82" s="91"/>
      <c r="AC82" s="91"/>
      <c r="AD82" s="91"/>
      <c r="AE82" s="91"/>
      <c r="AF82" s="91"/>
      <c r="AG82" s="91"/>
      <c r="AH82" s="91"/>
      <c r="AI82" s="92"/>
      <c r="AJ82" s="92"/>
      <c r="AK82" s="92"/>
      <c r="AL82" s="92"/>
      <c r="AM82" s="92"/>
      <c r="AN82" s="92"/>
      <c r="AO82" s="92"/>
      <c r="AP82" s="92"/>
      <c r="AQ82" s="92"/>
      <c r="AR82" s="92"/>
      <c r="AS82" s="92"/>
      <c r="AT82" s="92"/>
      <c r="AU82" s="92"/>
      <c r="AV82" s="92"/>
      <c r="AW82" s="92"/>
      <c r="AX82" s="92"/>
      <c r="AY82" s="92"/>
      <c r="AZ82" s="92"/>
      <c r="BA82" s="92"/>
      <c r="BB82" s="92"/>
      <c r="BC82" s="92"/>
    </row>
    <row r="83" spans="1:55" ht="14" x14ac:dyDescent="0.15">
      <c r="A83" s="92"/>
      <c r="B83" s="92"/>
      <c r="C83" s="92"/>
      <c r="D83" s="92"/>
      <c r="E83" s="92"/>
      <c r="F83" s="92"/>
      <c r="G83" s="92"/>
      <c r="H83" s="92"/>
      <c r="I83" s="92"/>
      <c r="J83" s="92"/>
      <c r="K83" s="92"/>
      <c r="L83" s="92"/>
      <c r="M83" s="92"/>
      <c r="N83" s="92"/>
      <c r="O83" s="92"/>
      <c r="P83" s="92"/>
      <c r="Q83" s="92"/>
      <c r="R83" s="92"/>
      <c r="S83" s="92"/>
      <c r="T83" s="92"/>
      <c r="U83" s="92"/>
      <c r="V83" s="92"/>
      <c r="W83" s="92"/>
      <c r="X83" s="91"/>
      <c r="Y83" s="91"/>
      <c r="Z83" s="91"/>
      <c r="AA83" s="91"/>
      <c r="AB83" s="91"/>
      <c r="AC83" s="91"/>
      <c r="AD83" s="91"/>
      <c r="AE83" s="91"/>
      <c r="AF83" s="91"/>
      <c r="AG83" s="91"/>
      <c r="AH83" s="91"/>
      <c r="AI83" s="92"/>
      <c r="AJ83" s="92"/>
      <c r="AK83" s="92"/>
      <c r="AL83" s="92"/>
      <c r="AM83" s="92"/>
      <c r="AN83" s="92"/>
      <c r="AO83" s="92"/>
      <c r="AP83" s="92"/>
      <c r="AQ83" s="92"/>
      <c r="AR83" s="92"/>
      <c r="AS83" s="92"/>
      <c r="AT83" s="92"/>
      <c r="AU83" s="92"/>
      <c r="AV83" s="92"/>
      <c r="AW83" s="92"/>
      <c r="AX83" s="92"/>
      <c r="AY83" s="92"/>
      <c r="AZ83" s="92"/>
      <c r="BA83" s="92"/>
      <c r="BB83" s="92"/>
      <c r="BC83" s="92"/>
    </row>
    <row r="84" spans="1:55" ht="14" x14ac:dyDescent="0.15">
      <c r="A84" s="92"/>
      <c r="B84" s="92"/>
      <c r="C84" s="92"/>
      <c r="D84" s="92"/>
      <c r="E84" s="92"/>
      <c r="F84" s="92"/>
      <c r="G84" s="92"/>
      <c r="H84" s="92"/>
      <c r="I84" s="92"/>
      <c r="J84" s="92"/>
      <c r="K84" s="92"/>
      <c r="L84" s="92"/>
      <c r="M84" s="92"/>
      <c r="N84" s="92"/>
      <c r="O84" s="92"/>
      <c r="P84" s="92"/>
      <c r="Q84" s="92"/>
      <c r="R84" s="92"/>
      <c r="S84" s="92"/>
      <c r="T84" s="92"/>
      <c r="U84" s="92"/>
      <c r="V84" s="92"/>
      <c r="W84" s="92"/>
      <c r="X84" s="91"/>
      <c r="Y84" s="91"/>
      <c r="Z84" s="91"/>
      <c r="AA84" s="91"/>
      <c r="AB84" s="91"/>
      <c r="AC84" s="91"/>
      <c r="AD84" s="91"/>
      <c r="AE84" s="91"/>
      <c r="AF84" s="91"/>
      <c r="AG84" s="91"/>
      <c r="AH84" s="91"/>
      <c r="AI84" s="92"/>
      <c r="AJ84" s="92"/>
      <c r="AK84" s="92"/>
      <c r="AL84" s="92"/>
      <c r="AM84" s="92"/>
      <c r="AN84" s="92"/>
      <c r="AO84" s="92"/>
      <c r="AP84" s="92"/>
      <c r="AQ84" s="92"/>
      <c r="AR84" s="92"/>
      <c r="AS84" s="92"/>
      <c r="AT84" s="92"/>
      <c r="AU84" s="92"/>
      <c r="AV84" s="92"/>
      <c r="AW84" s="92"/>
      <c r="AX84" s="92"/>
      <c r="AY84" s="92"/>
      <c r="AZ84" s="92"/>
      <c r="BA84" s="92"/>
      <c r="BB84" s="92"/>
      <c r="BC84" s="92"/>
    </row>
    <row r="85" spans="1:55" ht="14" x14ac:dyDescent="0.15">
      <c r="A85" s="92"/>
      <c r="B85" s="92"/>
      <c r="C85" s="92"/>
      <c r="D85" s="92"/>
      <c r="E85" s="92"/>
      <c r="F85" s="92"/>
      <c r="G85" s="92"/>
      <c r="H85" s="92"/>
      <c r="I85" s="92"/>
      <c r="J85" s="92"/>
      <c r="K85" s="92"/>
      <c r="L85" s="92"/>
      <c r="M85" s="92"/>
      <c r="N85" s="92"/>
      <c r="O85" s="92"/>
      <c r="P85" s="92"/>
      <c r="Q85" s="92"/>
      <c r="R85" s="92"/>
      <c r="S85" s="92"/>
      <c r="T85" s="92"/>
      <c r="U85" s="92"/>
      <c r="V85" s="92"/>
      <c r="W85" s="92"/>
      <c r="X85" s="91"/>
      <c r="Y85" s="91"/>
      <c r="Z85" s="91"/>
      <c r="AA85" s="91"/>
      <c r="AB85" s="91"/>
      <c r="AC85" s="91"/>
      <c r="AD85" s="91"/>
      <c r="AE85" s="91"/>
      <c r="AF85" s="91"/>
      <c r="AG85" s="91"/>
      <c r="AH85" s="91"/>
      <c r="AI85" s="92"/>
      <c r="AJ85" s="92"/>
      <c r="AK85" s="92"/>
      <c r="AL85" s="92"/>
      <c r="AM85" s="92"/>
      <c r="AN85" s="92"/>
      <c r="AO85" s="92"/>
      <c r="AP85" s="92"/>
      <c r="AQ85" s="92"/>
      <c r="AR85" s="92"/>
      <c r="AS85" s="92"/>
      <c r="AT85" s="92"/>
      <c r="AU85" s="92"/>
      <c r="AV85" s="92"/>
      <c r="AW85" s="92"/>
      <c r="AX85" s="92"/>
      <c r="AY85" s="92"/>
      <c r="AZ85" s="92"/>
      <c r="BA85" s="92"/>
      <c r="BB85" s="92"/>
      <c r="BC85" s="92"/>
    </row>
    <row r="86" spans="1:55" ht="14" x14ac:dyDescent="0.15">
      <c r="A86" s="92"/>
      <c r="B86" s="92"/>
      <c r="C86" s="92"/>
      <c r="D86" s="92"/>
      <c r="E86" s="92"/>
      <c r="F86" s="92"/>
      <c r="G86" s="92"/>
      <c r="H86" s="92"/>
      <c r="I86" s="92"/>
      <c r="J86" s="92"/>
      <c r="K86" s="92"/>
      <c r="L86" s="92"/>
      <c r="M86" s="92"/>
      <c r="N86" s="92"/>
      <c r="O86" s="92"/>
      <c r="P86" s="92"/>
      <c r="Q86" s="92"/>
      <c r="R86" s="92"/>
      <c r="S86" s="92"/>
      <c r="T86" s="92"/>
      <c r="U86" s="92"/>
      <c r="V86" s="92"/>
      <c r="W86" s="92"/>
      <c r="X86" s="91"/>
      <c r="Y86" s="91"/>
      <c r="Z86" s="91"/>
      <c r="AA86" s="91"/>
      <c r="AB86" s="91"/>
      <c r="AC86" s="91"/>
      <c r="AD86" s="91"/>
      <c r="AE86" s="91"/>
      <c r="AF86" s="91"/>
      <c r="AG86" s="91"/>
      <c r="AH86" s="91"/>
      <c r="AI86" s="92"/>
      <c r="AJ86" s="92"/>
      <c r="AK86" s="92"/>
      <c r="AL86" s="92"/>
      <c r="AM86" s="92"/>
      <c r="AN86" s="92"/>
      <c r="AO86" s="92"/>
      <c r="AP86" s="92"/>
      <c r="AQ86" s="92"/>
      <c r="AR86" s="92"/>
      <c r="AS86" s="92"/>
      <c r="AT86" s="92"/>
      <c r="AU86" s="92"/>
      <c r="AV86" s="92"/>
      <c r="AW86" s="92"/>
      <c r="AX86" s="92"/>
      <c r="AY86" s="92"/>
      <c r="AZ86" s="92"/>
      <c r="BA86" s="92"/>
      <c r="BB86" s="92"/>
      <c r="BC86" s="92"/>
    </row>
    <row r="87" spans="1:55" ht="14" x14ac:dyDescent="0.15">
      <c r="A87" s="92"/>
      <c r="B87" s="92"/>
      <c r="C87" s="92"/>
      <c r="D87" s="92"/>
      <c r="E87" s="92"/>
      <c r="F87" s="92"/>
      <c r="G87" s="92"/>
      <c r="H87" s="92"/>
      <c r="I87" s="92"/>
      <c r="J87" s="92"/>
      <c r="K87" s="92"/>
      <c r="L87" s="92"/>
      <c r="M87" s="92"/>
      <c r="N87" s="92"/>
      <c r="O87" s="92"/>
      <c r="P87" s="92"/>
      <c r="Q87" s="92"/>
      <c r="R87" s="92"/>
      <c r="S87" s="92"/>
      <c r="T87" s="92"/>
      <c r="U87" s="92"/>
      <c r="V87" s="92"/>
      <c r="W87" s="92"/>
      <c r="X87" s="91"/>
      <c r="Y87" s="91"/>
      <c r="Z87" s="91"/>
      <c r="AA87" s="91"/>
      <c r="AB87" s="91"/>
      <c r="AC87" s="91"/>
      <c r="AD87" s="91"/>
      <c r="AE87" s="91"/>
      <c r="AF87" s="91"/>
      <c r="AG87" s="91"/>
      <c r="AH87" s="91"/>
      <c r="AI87" s="92"/>
      <c r="AJ87" s="92"/>
      <c r="AK87" s="92"/>
      <c r="AL87" s="92"/>
      <c r="AM87" s="92"/>
      <c r="AN87" s="92"/>
      <c r="AO87" s="92"/>
      <c r="AP87" s="92"/>
      <c r="AQ87" s="92"/>
      <c r="AR87" s="92"/>
      <c r="AS87" s="92"/>
      <c r="AT87" s="92"/>
      <c r="AU87" s="92"/>
      <c r="AV87" s="92"/>
      <c r="AW87" s="92"/>
      <c r="AX87" s="92"/>
      <c r="AY87" s="92"/>
      <c r="AZ87" s="92"/>
      <c r="BA87" s="92"/>
      <c r="BB87" s="92"/>
      <c r="BC87" s="92"/>
    </row>
    <row r="88" spans="1:55" ht="14" x14ac:dyDescent="0.15">
      <c r="A88" s="92"/>
      <c r="B88" s="92"/>
      <c r="C88" s="92"/>
      <c r="D88" s="92"/>
      <c r="E88" s="92"/>
      <c r="F88" s="92"/>
      <c r="G88" s="92"/>
      <c r="H88" s="92"/>
      <c r="I88" s="92"/>
      <c r="J88" s="92"/>
      <c r="K88" s="92"/>
      <c r="L88" s="92"/>
      <c r="M88" s="92"/>
      <c r="N88" s="92"/>
      <c r="O88" s="92"/>
      <c r="P88" s="92"/>
      <c r="Q88" s="92"/>
      <c r="R88" s="92"/>
      <c r="S88" s="92"/>
      <c r="T88" s="92"/>
      <c r="U88" s="92"/>
      <c r="V88" s="92"/>
      <c r="W88" s="92"/>
      <c r="X88" s="91"/>
      <c r="Y88" s="91"/>
      <c r="Z88" s="91"/>
      <c r="AA88" s="91"/>
      <c r="AB88" s="91"/>
      <c r="AC88" s="91"/>
      <c r="AD88" s="91"/>
      <c r="AE88" s="91"/>
      <c r="AF88" s="91"/>
      <c r="AG88" s="91"/>
      <c r="AH88" s="91"/>
      <c r="AI88" s="92"/>
      <c r="AJ88" s="92"/>
      <c r="AK88" s="92"/>
      <c r="AL88" s="92"/>
      <c r="AM88" s="92"/>
      <c r="AN88" s="92"/>
      <c r="AO88" s="92"/>
      <c r="AP88" s="92"/>
      <c r="AQ88" s="92"/>
      <c r="AR88" s="92"/>
      <c r="AS88" s="92"/>
      <c r="AT88" s="92"/>
      <c r="AU88" s="92"/>
      <c r="AV88" s="92"/>
      <c r="AW88" s="92"/>
      <c r="AX88" s="92"/>
      <c r="AY88" s="92"/>
      <c r="AZ88" s="92"/>
      <c r="BA88" s="92"/>
      <c r="BB88" s="92"/>
      <c r="BC88" s="92"/>
    </row>
    <row r="89" spans="1:55" ht="14" x14ac:dyDescent="0.15">
      <c r="A89" s="92"/>
      <c r="B89" s="92"/>
      <c r="C89" s="92"/>
      <c r="D89" s="92"/>
      <c r="E89" s="92"/>
      <c r="F89" s="92"/>
      <c r="G89" s="92"/>
      <c r="H89" s="92"/>
      <c r="I89" s="92"/>
      <c r="J89" s="92"/>
      <c r="K89" s="92"/>
      <c r="L89" s="92"/>
      <c r="M89" s="92"/>
      <c r="N89" s="92"/>
      <c r="O89" s="92"/>
      <c r="P89" s="92"/>
      <c r="Q89" s="92"/>
      <c r="R89" s="92"/>
      <c r="S89" s="92"/>
      <c r="T89" s="92"/>
      <c r="U89" s="92"/>
      <c r="V89" s="92"/>
      <c r="W89" s="92"/>
      <c r="X89" s="91"/>
      <c r="Y89" s="91"/>
      <c r="Z89" s="91"/>
      <c r="AA89" s="91"/>
      <c r="AB89" s="91"/>
      <c r="AC89" s="91"/>
      <c r="AD89" s="91"/>
      <c r="AE89" s="91"/>
      <c r="AF89" s="91"/>
      <c r="AG89" s="91"/>
      <c r="AH89" s="91"/>
      <c r="AI89" s="92"/>
      <c r="AJ89" s="92"/>
      <c r="AK89" s="92"/>
      <c r="AL89" s="92"/>
      <c r="AM89" s="92"/>
      <c r="AN89" s="92"/>
      <c r="AO89" s="92"/>
      <c r="AP89" s="92"/>
      <c r="AQ89" s="92"/>
      <c r="AR89" s="92"/>
      <c r="AS89" s="92"/>
      <c r="AT89" s="92"/>
      <c r="AU89" s="92"/>
      <c r="AV89" s="92"/>
      <c r="AW89" s="92"/>
      <c r="AX89" s="92"/>
      <c r="AY89" s="92"/>
      <c r="AZ89" s="92"/>
      <c r="BA89" s="92"/>
      <c r="BB89" s="92"/>
      <c r="BC89" s="92"/>
    </row>
    <row r="90" spans="1:55" ht="14" x14ac:dyDescent="0.15">
      <c r="A90" s="92"/>
      <c r="B90" s="92"/>
      <c r="C90" s="92"/>
      <c r="D90" s="92"/>
      <c r="E90" s="92"/>
      <c r="F90" s="92"/>
      <c r="G90" s="92"/>
      <c r="H90" s="92"/>
      <c r="I90" s="92"/>
      <c r="J90" s="92"/>
      <c r="K90" s="92"/>
      <c r="L90" s="92"/>
      <c r="M90" s="92"/>
      <c r="N90" s="92"/>
      <c r="O90" s="92"/>
      <c r="P90" s="92"/>
      <c r="Q90" s="92"/>
      <c r="R90" s="92"/>
      <c r="S90" s="92"/>
      <c r="T90" s="92"/>
      <c r="U90" s="92"/>
      <c r="V90" s="92"/>
      <c r="W90" s="92"/>
      <c r="X90" s="91"/>
      <c r="Y90" s="91"/>
      <c r="Z90" s="91"/>
      <c r="AA90" s="91"/>
      <c r="AB90" s="91"/>
      <c r="AC90" s="91"/>
      <c r="AD90" s="91"/>
      <c r="AE90" s="91"/>
      <c r="AF90" s="91"/>
      <c r="AG90" s="91"/>
      <c r="AH90" s="91"/>
      <c r="AI90" s="92"/>
      <c r="AJ90" s="92"/>
      <c r="AK90" s="92"/>
      <c r="AL90" s="92"/>
      <c r="AM90" s="92"/>
      <c r="AN90" s="92"/>
      <c r="AO90" s="92"/>
      <c r="AP90" s="92"/>
      <c r="AQ90" s="92"/>
      <c r="AR90" s="92"/>
      <c r="AS90" s="92"/>
      <c r="AT90" s="92"/>
      <c r="AU90" s="92"/>
      <c r="AV90" s="92"/>
      <c r="AW90" s="92"/>
      <c r="AX90" s="92"/>
      <c r="AY90" s="92"/>
      <c r="AZ90" s="92"/>
      <c r="BA90" s="92"/>
      <c r="BB90" s="92"/>
      <c r="BC90" s="92"/>
    </row>
    <row r="91" spans="1:55" ht="14" x14ac:dyDescent="0.15">
      <c r="A91" s="92"/>
      <c r="B91" s="92"/>
      <c r="C91" s="92"/>
      <c r="D91" s="92"/>
      <c r="E91" s="92"/>
      <c r="F91" s="92"/>
      <c r="G91" s="92"/>
      <c r="H91" s="92"/>
      <c r="I91" s="92"/>
      <c r="J91" s="92"/>
      <c r="K91" s="92"/>
      <c r="L91" s="92"/>
      <c r="M91" s="92"/>
      <c r="N91" s="92"/>
      <c r="O91" s="92"/>
      <c r="P91" s="92"/>
      <c r="Q91" s="92"/>
      <c r="R91" s="92"/>
      <c r="S91" s="92"/>
      <c r="T91" s="92"/>
      <c r="U91" s="92"/>
      <c r="V91" s="92"/>
      <c r="W91" s="92"/>
      <c r="X91" s="91"/>
      <c r="Y91" s="91"/>
      <c r="Z91" s="91"/>
      <c r="AA91" s="91"/>
      <c r="AB91" s="91"/>
      <c r="AC91" s="91"/>
      <c r="AD91" s="91"/>
      <c r="AE91" s="91"/>
      <c r="AF91" s="91"/>
      <c r="AG91" s="91"/>
      <c r="AH91" s="91"/>
      <c r="AI91" s="92"/>
      <c r="AJ91" s="92"/>
      <c r="AK91" s="92"/>
      <c r="AL91" s="92"/>
      <c r="AM91" s="92"/>
      <c r="AN91" s="92"/>
      <c r="AO91" s="92"/>
      <c r="AP91" s="92"/>
      <c r="AQ91" s="92"/>
      <c r="AR91" s="92"/>
      <c r="AS91" s="92"/>
      <c r="AT91" s="92"/>
      <c r="AU91" s="92"/>
      <c r="AV91" s="92"/>
      <c r="AW91" s="92"/>
      <c r="AX91" s="92"/>
      <c r="AY91" s="92"/>
      <c r="AZ91" s="92"/>
      <c r="BA91" s="92"/>
      <c r="BB91" s="92"/>
      <c r="BC91" s="92"/>
    </row>
    <row r="92" spans="1:55" ht="14" x14ac:dyDescent="0.15">
      <c r="A92" s="92"/>
      <c r="B92" s="92"/>
      <c r="C92" s="92"/>
      <c r="D92" s="92"/>
      <c r="E92" s="92"/>
      <c r="F92" s="92"/>
      <c r="G92" s="92"/>
      <c r="H92" s="92"/>
      <c r="I92" s="92"/>
      <c r="J92" s="92"/>
      <c r="K92" s="92"/>
      <c r="L92" s="92"/>
      <c r="M92" s="92"/>
      <c r="N92" s="92"/>
      <c r="O92" s="92"/>
      <c r="P92" s="92"/>
      <c r="Q92" s="92"/>
      <c r="R92" s="92"/>
      <c r="S92" s="92"/>
      <c r="T92" s="92"/>
      <c r="U92" s="92"/>
      <c r="V92" s="92"/>
      <c r="W92" s="92"/>
      <c r="X92" s="91"/>
      <c r="Y92" s="91"/>
      <c r="Z92" s="91"/>
      <c r="AA92" s="91"/>
      <c r="AB92" s="91"/>
      <c r="AC92" s="91"/>
      <c r="AD92" s="91"/>
      <c r="AE92" s="91"/>
      <c r="AF92" s="91"/>
      <c r="AG92" s="91"/>
      <c r="AH92" s="91"/>
      <c r="AI92" s="92"/>
      <c r="AJ92" s="92"/>
      <c r="AK92" s="92"/>
      <c r="AL92" s="92"/>
      <c r="AM92" s="92"/>
      <c r="AN92" s="92"/>
      <c r="AO92" s="92"/>
      <c r="AP92" s="92"/>
      <c r="AQ92" s="92"/>
      <c r="AR92" s="92"/>
      <c r="AS92" s="92"/>
      <c r="AT92" s="92"/>
      <c r="AU92" s="92"/>
      <c r="AV92" s="92"/>
      <c r="AW92" s="92"/>
      <c r="AX92" s="92"/>
      <c r="AY92" s="92"/>
      <c r="AZ92" s="92"/>
      <c r="BA92" s="92"/>
      <c r="BB92" s="92"/>
      <c r="BC92" s="92"/>
    </row>
    <row r="93" spans="1:55" ht="14" x14ac:dyDescent="0.15">
      <c r="A93" s="92"/>
      <c r="B93" s="92"/>
      <c r="C93" s="92"/>
      <c r="D93" s="92"/>
      <c r="E93" s="92"/>
      <c r="F93" s="92"/>
      <c r="G93" s="92"/>
      <c r="H93" s="92"/>
      <c r="I93" s="92"/>
      <c r="J93" s="92"/>
      <c r="K93" s="92"/>
      <c r="L93" s="92"/>
      <c r="M93" s="92"/>
      <c r="N93" s="92"/>
      <c r="O93" s="92"/>
      <c r="P93" s="92"/>
      <c r="Q93" s="92"/>
      <c r="R93" s="92"/>
      <c r="S93" s="92"/>
      <c r="T93" s="92"/>
      <c r="U93" s="92"/>
      <c r="V93" s="92"/>
      <c r="W93" s="92"/>
      <c r="X93" s="91"/>
      <c r="Y93" s="91"/>
      <c r="Z93" s="91"/>
      <c r="AA93" s="91"/>
      <c r="AB93" s="91"/>
      <c r="AC93" s="91"/>
      <c r="AD93" s="91"/>
      <c r="AE93" s="91"/>
      <c r="AF93" s="91"/>
      <c r="AG93" s="91"/>
      <c r="AH93" s="91"/>
      <c r="AI93" s="92"/>
      <c r="AJ93" s="92"/>
      <c r="AK93" s="92"/>
      <c r="AL93" s="92"/>
      <c r="AM93" s="92"/>
      <c r="AN93" s="92"/>
      <c r="AO93" s="92"/>
      <c r="AP93" s="92"/>
      <c r="AQ93" s="92"/>
      <c r="AR93" s="92"/>
      <c r="AS93" s="92"/>
      <c r="AT93" s="92"/>
      <c r="AU93" s="92"/>
      <c r="AV93" s="92"/>
      <c r="AW93" s="92"/>
      <c r="AX93" s="92"/>
      <c r="AY93" s="92"/>
      <c r="AZ93" s="92"/>
      <c r="BA93" s="92"/>
      <c r="BB93" s="92"/>
      <c r="BC93" s="92"/>
    </row>
    <row r="94" spans="1:55" ht="14" x14ac:dyDescent="0.15">
      <c r="A94" s="92"/>
      <c r="B94" s="92"/>
      <c r="C94" s="92"/>
      <c r="D94" s="92"/>
      <c r="E94" s="92"/>
      <c r="F94" s="92"/>
      <c r="G94" s="92"/>
      <c r="H94" s="92"/>
      <c r="I94" s="92"/>
      <c r="J94" s="92"/>
      <c r="K94" s="92"/>
      <c r="L94" s="92"/>
      <c r="M94" s="92"/>
      <c r="N94" s="92"/>
      <c r="O94" s="92"/>
      <c r="P94" s="92"/>
      <c r="Q94" s="92"/>
      <c r="R94" s="92"/>
      <c r="S94" s="92"/>
      <c r="T94" s="92"/>
      <c r="U94" s="92"/>
      <c r="V94" s="92"/>
      <c r="W94" s="92"/>
      <c r="X94" s="91"/>
      <c r="Y94" s="91"/>
      <c r="Z94" s="91"/>
      <c r="AA94" s="91"/>
      <c r="AB94" s="91"/>
      <c r="AC94" s="91"/>
      <c r="AD94" s="91"/>
      <c r="AE94" s="91"/>
      <c r="AF94" s="91"/>
      <c r="AG94" s="91"/>
      <c r="AH94" s="91"/>
      <c r="AI94" s="92"/>
      <c r="AJ94" s="92"/>
      <c r="AK94" s="92"/>
      <c r="AL94" s="92"/>
      <c r="AM94" s="92"/>
      <c r="AN94" s="92"/>
      <c r="AO94" s="92"/>
      <c r="AP94" s="92"/>
      <c r="AQ94" s="92"/>
      <c r="AR94" s="92"/>
      <c r="AS94" s="92"/>
      <c r="AT94" s="92"/>
      <c r="AU94" s="92"/>
      <c r="AV94" s="92"/>
      <c r="AW94" s="92"/>
      <c r="AX94" s="92"/>
      <c r="AY94" s="92"/>
      <c r="AZ94" s="92"/>
      <c r="BA94" s="92"/>
      <c r="BB94" s="92"/>
      <c r="BC94" s="92"/>
    </row>
    <row r="95" spans="1:55" ht="14" x14ac:dyDescent="0.15">
      <c r="A95" s="92"/>
      <c r="B95" s="92"/>
      <c r="C95" s="92"/>
      <c r="D95" s="92"/>
      <c r="E95" s="92"/>
      <c r="F95" s="92"/>
      <c r="G95" s="92"/>
      <c r="H95" s="92"/>
      <c r="I95" s="92"/>
      <c r="J95" s="92"/>
      <c r="K95" s="92"/>
      <c r="L95" s="92"/>
      <c r="M95" s="92"/>
      <c r="N95" s="92"/>
      <c r="O95" s="92"/>
      <c r="P95" s="92"/>
      <c r="Q95" s="92"/>
      <c r="R95" s="92"/>
      <c r="S95" s="92"/>
      <c r="T95" s="92"/>
      <c r="U95" s="92"/>
      <c r="V95" s="92"/>
      <c r="W95" s="92"/>
      <c r="X95" s="91"/>
      <c r="Y95" s="91"/>
      <c r="Z95" s="91"/>
      <c r="AA95" s="91"/>
      <c r="AB95" s="91"/>
      <c r="AC95" s="91"/>
      <c r="AD95" s="91"/>
      <c r="AE95" s="91"/>
      <c r="AF95" s="91"/>
      <c r="AG95" s="91"/>
      <c r="AH95" s="91"/>
      <c r="AI95" s="92"/>
      <c r="AJ95" s="92"/>
      <c r="AK95" s="92"/>
      <c r="AL95" s="92"/>
      <c r="AM95" s="92"/>
      <c r="AN95" s="92"/>
      <c r="AO95" s="92"/>
      <c r="AP95" s="92"/>
      <c r="AQ95" s="92"/>
      <c r="AR95" s="92"/>
      <c r="AS95" s="92"/>
      <c r="AT95" s="92"/>
      <c r="AU95" s="92"/>
      <c r="AV95" s="92"/>
      <c r="AW95" s="92"/>
      <c r="AX95" s="92"/>
      <c r="AY95" s="92"/>
      <c r="AZ95" s="92"/>
      <c r="BA95" s="92"/>
      <c r="BB95" s="92"/>
      <c r="BC95" s="92"/>
    </row>
    <row r="96" spans="1:55" ht="14" x14ac:dyDescent="0.15">
      <c r="A96" s="92"/>
      <c r="B96" s="92"/>
      <c r="C96" s="92"/>
      <c r="D96" s="92"/>
      <c r="E96" s="92"/>
      <c r="F96" s="92"/>
      <c r="G96" s="92"/>
      <c r="H96" s="92"/>
      <c r="I96" s="92"/>
      <c r="J96" s="92"/>
      <c r="K96" s="92"/>
      <c r="L96" s="92"/>
      <c r="M96" s="92"/>
      <c r="N96" s="92"/>
      <c r="O96" s="92"/>
      <c r="P96" s="92"/>
      <c r="Q96" s="92"/>
      <c r="R96" s="92"/>
      <c r="S96" s="92"/>
      <c r="T96" s="92"/>
      <c r="U96" s="92"/>
      <c r="V96" s="92"/>
      <c r="W96" s="92"/>
      <c r="X96" s="91"/>
      <c r="Y96" s="91"/>
      <c r="Z96" s="91"/>
      <c r="AA96" s="91"/>
      <c r="AB96" s="91"/>
      <c r="AC96" s="91"/>
      <c r="AD96" s="91"/>
      <c r="AE96" s="91"/>
      <c r="AF96" s="91"/>
      <c r="AG96" s="91"/>
      <c r="AH96" s="91"/>
      <c r="AI96" s="92"/>
      <c r="AJ96" s="92"/>
      <c r="AK96" s="92"/>
      <c r="AL96" s="92"/>
      <c r="AM96" s="92"/>
      <c r="AN96" s="92"/>
      <c r="AO96" s="92"/>
      <c r="AP96" s="92"/>
      <c r="AQ96" s="92"/>
      <c r="AR96" s="92"/>
      <c r="AS96" s="92"/>
      <c r="AT96" s="92"/>
      <c r="AU96" s="92"/>
      <c r="AV96" s="92"/>
      <c r="AW96" s="92"/>
      <c r="AX96" s="92"/>
      <c r="AY96" s="92"/>
      <c r="AZ96" s="92"/>
      <c r="BA96" s="92"/>
      <c r="BB96" s="92"/>
      <c r="BC96" s="92"/>
    </row>
    <row r="97" spans="1:55" ht="14" x14ac:dyDescent="0.15">
      <c r="A97" s="92"/>
      <c r="B97" s="92"/>
      <c r="C97" s="92"/>
      <c r="D97" s="92"/>
      <c r="E97" s="92"/>
      <c r="F97" s="92"/>
      <c r="G97" s="92"/>
      <c r="H97" s="92"/>
      <c r="I97" s="92"/>
      <c r="J97" s="92"/>
      <c r="K97" s="92"/>
      <c r="L97" s="92"/>
      <c r="M97" s="92"/>
      <c r="N97" s="92"/>
      <c r="O97" s="92"/>
      <c r="P97" s="92"/>
      <c r="Q97" s="92"/>
      <c r="R97" s="92"/>
      <c r="S97" s="92"/>
      <c r="T97" s="92"/>
      <c r="U97" s="92"/>
      <c r="V97" s="92"/>
      <c r="W97" s="92"/>
      <c r="X97" s="91"/>
      <c r="Y97" s="91"/>
      <c r="Z97" s="91"/>
      <c r="AA97" s="91"/>
      <c r="AB97" s="91"/>
      <c r="AC97" s="91"/>
      <c r="AD97" s="91"/>
      <c r="AE97" s="91"/>
      <c r="AF97" s="91"/>
      <c r="AG97" s="91"/>
      <c r="AH97" s="91"/>
      <c r="AI97" s="92"/>
      <c r="AJ97" s="92"/>
      <c r="AK97" s="92"/>
      <c r="AL97" s="92"/>
      <c r="AM97" s="92"/>
      <c r="AN97" s="92"/>
      <c r="AO97" s="92"/>
      <c r="AP97" s="92"/>
      <c r="AQ97" s="92"/>
      <c r="AR97" s="92"/>
      <c r="AS97" s="92"/>
      <c r="AT97" s="92"/>
      <c r="AU97" s="92"/>
      <c r="AV97" s="92"/>
      <c r="AW97" s="92"/>
      <c r="AX97" s="92"/>
      <c r="AY97" s="92"/>
      <c r="AZ97" s="92"/>
      <c r="BA97" s="92"/>
      <c r="BB97" s="92"/>
      <c r="BC97" s="92"/>
    </row>
    <row r="98" spans="1:55" ht="14" x14ac:dyDescent="0.15">
      <c r="A98" s="92"/>
      <c r="B98" s="92"/>
      <c r="C98" s="92"/>
      <c r="D98" s="92"/>
      <c r="E98" s="92"/>
      <c r="F98" s="92"/>
      <c r="G98" s="92"/>
      <c r="H98" s="92"/>
      <c r="I98" s="92"/>
      <c r="J98" s="92"/>
      <c r="K98" s="92"/>
      <c r="L98" s="92"/>
      <c r="M98" s="92"/>
      <c r="N98" s="92"/>
      <c r="O98" s="92"/>
      <c r="P98" s="92"/>
      <c r="Q98" s="92"/>
      <c r="R98" s="92"/>
      <c r="S98" s="92"/>
      <c r="T98" s="92"/>
      <c r="U98" s="92"/>
      <c r="V98" s="92"/>
      <c r="W98" s="92"/>
      <c r="X98" s="91"/>
      <c r="Y98" s="91"/>
      <c r="Z98" s="91"/>
      <c r="AA98" s="91"/>
      <c r="AB98" s="91"/>
      <c r="AC98" s="91"/>
      <c r="AD98" s="91"/>
      <c r="AE98" s="91"/>
      <c r="AF98" s="91"/>
      <c r="AG98" s="91"/>
      <c r="AH98" s="91"/>
      <c r="AI98" s="92"/>
      <c r="AJ98" s="92"/>
      <c r="AK98" s="92"/>
      <c r="AL98" s="92"/>
      <c r="AM98" s="92"/>
      <c r="AN98" s="92"/>
      <c r="AO98" s="92"/>
      <c r="AP98" s="92"/>
      <c r="AQ98" s="92"/>
      <c r="AR98" s="92"/>
      <c r="AS98" s="92"/>
      <c r="AT98" s="92"/>
      <c r="AU98" s="92"/>
      <c r="AV98" s="92"/>
      <c r="AW98" s="92"/>
      <c r="AX98" s="92"/>
      <c r="AY98" s="92"/>
      <c r="AZ98" s="92"/>
      <c r="BA98" s="92"/>
      <c r="BB98" s="92"/>
      <c r="BC98" s="92"/>
    </row>
    <row r="99" spans="1:55" ht="14" x14ac:dyDescent="0.15">
      <c r="A99" s="92"/>
      <c r="B99" s="92"/>
      <c r="C99" s="92"/>
      <c r="D99" s="92"/>
      <c r="E99" s="92"/>
      <c r="F99" s="92"/>
      <c r="G99" s="92"/>
      <c r="H99" s="92"/>
      <c r="I99" s="92"/>
      <c r="J99" s="92"/>
      <c r="K99" s="92"/>
      <c r="L99" s="92"/>
      <c r="M99" s="92"/>
      <c r="N99" s="92"/>
      <c r="O99" s="92"/>
      <c r="P99" s="92"/>
      <c r="Q99" s="92"/>
      <c r="R99" s="92"/>
      <c r="S99" s="92"/>
      <c r="T99" s="92"/>
      <c r="U99" s="92"/>
      <c r="V99" s="92"/>
      <c r="W99" s="92"/>
      <c r="X99" s="91"/>
      <c r="Y99" s="91"/>
      <c r="Z99" s="91"/>
      <c r="AA99" s="91"/>
      <c r="AB99" s="91"/>
      <c r="AC99" s="91"/>
      <c r="AD99" s="91"/>
      <c r="AE99" s="91"/>
      <c r="AF99" s="91"/>
      <c r="AG99" s="91"/>
      <c r="AH99" s="91"/>
      <c r="AI99" s="92"/>
      <c r="AJ99" s="92"/>
      <c r="AK99" s="92"/>
      <c r="AL99" s="92"/>
      <c r="AM99" s="92"/>
      <c r="AN99" s="92"/>
      <c r="AO99" s="92"/>
      <c r="AP99" s="92"/>
      <c r="AQ99" s="92"/>
      <c r="AR99" s="92"/>
      <c r="AS99" s="92"/>
      <c r="AT99" s="92"/>
      <c r="AU99" s="92"/>
      <c r="AV99" s="92"/>
      <c r="AW99" s="92"/>
      <c r="AX99" s="92"/>
      <c r="AY99" s="92"/>
      <c r="AZ99" s="92"/>
      <c r="BA99" s="92"/>
      <c r="BB99" s="92"/>
      <c r="BC99" s="92"/>
    </row>
    <row r="100" spans="1:55" ht="14" x14ac:dyDescent="0.15">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1"/>
      <c r="Y100" s="91"/>
      <c r="Z100" s="91"/>
      <c r="AA100" s="91"/>
      <c r="AB100" s="91"/>
      <c r="AC100" s="91"/>
      <c r="AD100" s="91"/>
      <c r="AE100" s="91"/>
      <c r="AF100" s="91"/>
      <c r="AG100" s="91"/>
      <c r="AH100" s="91"/>
      <c r="AI100" s="92"/>
      <c r="AJ100" s="92"/>
      <c r="AK100" s="92"/>
      <c r="AL100" s="92"/>
      <c r="AM100" s="92"/>
      <c r="AN100" s="92"/>
      <c r="AO100" s="92"/>
      <c r="AP100" s="92"/>
      <c r="AQ100" s="92"/>
      <c r="AR100" s="92"/>
      <c r="AS100" s="92"/>
      <c r="AT100" s="92"/>
      <c r="AU100" s="92"/>
      <c r="AV100" s="92"/>
      <c r="AW100" s="92"/>
      <c r="AX100" s="92"/>
      <c r="AY100" s="92"/>
      <c r="AZ100" s="92"/>
      <c r="BA100" s="92"/>
      <c r="BB100" s="92"/>
      <c r="BC100" s="92"/>
    </row>
    <row r="101" spans="1:55" ht="14" x14ac:dyDescent="0.15">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1"/>
      <c r="Y101" s="91"/>
      <c r="Z101" s="91"/>
      <c r="AA101" s="91"/>
      <c r="AB101" s="91"/>
      <c r="AC101" s="91"/>
      <c r="AD101" s="91"/>
      <c r="AE101" s="91"/>
      <c r="AF101" s="91"/>
      <c r="AG101" s="91"/>
      <c r="AH101" s="91"/>
      <c r="AI101" s="92"/>
      <c r="AJ101" s="92"/>
      <c r="AK101" s="92"/>
      <c r="AL101" s="92"/>
      <c r="AM101" s="92"/>
      <c r="AN101" s="92"/>
      <c r="AO101" s="92"/>
      <c r="AP101" s="92"/>
      <c r="AQ101" s="92"/>
      <c r="AR101" s="92"/>
      <c r="AS101" s="92"/>
      <c r="AT101" s="92"/>
      <c r="AU101" s="92"/>
      <c r="AV101" s="92"/>
      <c r="AW101" s="92"/>
      <c r="AX101" s="92"/>
      <c r="AY101" s="92"/>
      <c r="AZ101" s="92"/>
      <c r="BA101" s="92"/>
      <c r="BB101" s="92"/>
      <c r="BC101" s="92"/>
    </row>
    <row r="102" spans="1:55" ht="14" x14ac:dyDescent="0.15">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1"/>
      <c r="Y102" s="91"/>
      <c r="Z102" s="91"/>
      <c r="AA102" s="91"/>
      <c r="AB102" s="91"/>
      <c r="AC102" s="91"/>
      <c r="AD102" s="91"/>
      <c r="AE102" s="91"/>
      <c r="AF102" s="91"/>
      <c r="AG102" s="91"/>
      <c r="AH102" s="91"/>
      <c r="AI102" s="92"/>
      <c r="AJ102" s="92"/>
      <c r="AK102" s="92"/>
      <c r="AL102" s="92"/>
      <c r="AM102" s="92"/>
      <c r="AN102" s="92"/>
      <c r="AO102" s="92"/>
      <c r="AP102" s="92"/>
      <c r="AQ102" s="92"/>
      <c r="AR102" s="92"/>
      <c r="AS102" s="92"/>
      <c r="AT102" s="92"/>
      <c r="AU102" s="92"/>
      <c r="AV102" s="92"/>
      <c r="AW102" s="92"/>
      <c r="AX102" s="92"/>
      <c r="AY102" s="92"/>
      <c r="AZ102" s="92"/>
      <c r="BA102" s="92"/>
      <c r="BB102" s="92"/>
      <c r="BC102" s="92"/>
    </row>
    <row r="103" spans="1:55" ht="14" x14ac:dyDescent="0.15">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1"/>
      <c r="Y103" s="91"/>
      <c r="Z103" s="91"/>
      <c r="AA103" s="91"/>
      <c r="AB103" s="91"/>
      <c r="AC103" s="91"/>
      <c r="AD103" s="91"/>
      <c r="AE103" s="91"/>
      <c r="AF103" s="91"/>
      <c r="AG103" s="91"/>
      <c r="AH103" s="91"/>
      <c r="AI103" s="92"/>
      <c r="AJ103" s="92"/>
      <c r="AK103" s="92"/>
      <c r="AL103" s="92"/>
      <c r="AM103" s="92"/>
      <c r="AN103" s="92"/>
      <c r="AO103" s="92"/>
      <c r="AP103" s="92"/>
      <c r="AQ103" s="92"/>
      <c r="AR103" s="92"/>
      <c r="AS103" s="92"/>
      <c r="AT103" s="92"/>
      <c r="AU103" s="92"/>
      <c r="AV103" s="92"/>
      <c r="AW103" s="92"/>
      <c r="AX103" s="92"/>
      <c r="AY103" s="92"/>
      <c r="AZ103" s="92"/>
      <c r="BA103" s="92"/>
      <c r="BB103" s="92"/>
      <c r="BC103" s="92"/>
    </row>
    <row r="104" spans="1:55" ht="14" x14ac:dyDescent="0.15">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1"/>
      <c r="Y104" s="91"/>
      <c r="Z104" s="91"/>
      <c r="AA104" s="91"/>
      <c r="AB104" s="91"/>
      <c r="AC104" s="91"/>
      <c r="AD104" s="91"/>
      <c r="AE104" s="91"/>
      <c r="AF104" s="91"/>
      <c r="AG104" s="91"/>
      <c r="AH104" s="91"/>
      <c r="AI104" s="92"/>
      <c r="AJ104" s="92"/>
      <c r="AK104" s="92"/>
      <c r="AL104" s="92"/>
      <c r="AM104" s="92"/>
      <c r="AN104" s="92"/>
      <c r="AO104" s="92"/>
      <c r="AP104" s="92"/>
      <c r="AQ104" s="92"/>
      <c r="AR104" s="92"/>
      <c r="AS104" s="92"/>
      <c r="AT104" s="92"/>
      <c r="AU104" s="92"/>
      <c r="AV104" s="92"/>
      <c r="AW104" s="92"/>
      <c r="AX104" s="92"/>
      <c r="AY104" s="92"/>
      <c r="AZ104" s="92"/>
      <c r="BA104" s="92"/>
      <c r="BB104" s="92"/>
      <c r="BC104" s="92"/>
    </row>
    <row r="105" spans="1:55" x14ac:dyDescent="0.15">
      <c r="A105" s="92"/>
      <c r="B105" s="92"/>
      <c r="C105" s="92"/>
      <c r="D105" s="92"/>
      <c r="E105" s="92"/>
      <c r="F105" s="92"/>
      <c r="G105" s="92"/>
      <c r="H105" s="92"/>
      <c r="I105" s="92"/>
      <c r="J105" s="92"/>
      <c r="K105" s="92"/>
      <c r="L105" s="92"/>
      <c r="M105" s="92"/>
      <c r="N105" s="92"/>
      <c r="O105" s="92"/>
      <c r="P105" s="92"/>
      <c r="Q105" s="92"/>
      <c r="R105" s="92"/>
      <c r="S105" s="92"/>
      <c r="T105" s="92"/>
      <c r="U105" s="92"/>
      <c r="V105" s="92"/>
      <c r="W105" s="92"/>
    </row>
    <row r="106" spans="1:55" x14ac:dyDescent="0.15">
      <c r="A106" s="92"/>
      <c r="B106" s="92"/>
      <c r="C106" s="92"/>
      <c r="D106" s="92"/>
      <c r="E106" s="92"/>
      <c r="F106" s="92"/>
      <c r="G106" s="92"/>
      <c r="H106" s="92"/>
      <c r="I106" s="92"/>
      <c r="J106" s="92"/>
      <c r="K106" s="92"/>
      <c r="L106" s="92"/>
      <c r="M106" s="92"/>
      <c r="N106" s="92"/>
      <c r="O106" s="92"/>
      <c r="P106" s="92"/>
      <c r="Q106" s="92"/>
      <c r="R106" s="92"/>
      <c r="S106" s="92"/>
      <c r="T106" s="92"/>
      <c r="U106" s="92"/>
      <c r="V106" s="92"/>
      <c r="W106" s="92"/>
    </row>
    <row r="107" spans="1:55" x14ac:dyDescent="0.15">
      <c r="A107" s="92"/>
      <c r="B107" s="92"/>
      <c r="C107" s="92"/>
      <c r="D107" s="92"/>
      <c r="E107" s="92"/>
      <c r="F107" s="92"/>
      <c r="G107" s="92"/>
      <c r="H107" s="92"/>
      <c r="I107" s="92"/>
      <c r="J107" s="92"/>
      <c r="K107" s="92"/>
      <c r="L107" s="92"/>
      <c r="M107" s="92"/>
      <c r="N107" s="92"/>
      <c r="O107" s="92"/>
      <c r="P107" s="92"/>
      <c r="Q107" s="92"/>
      <c r="R107" s="92"/>
      <c r="S107" s="92"/>
      <c r="T107" s="92"/>
      <c r="U107" s="92"/>
      <c r="V107" s="92"/>
      <c r="W107" s="92"/>
    </row>
    <row r="108" spans="1:55" x14ac:dyDescent="0.15">
      <c r="A108" s="92"/>
      <c r="B108" s="92"/>
      <c r="C108" s="92"/>
      <c r="D108" s="92"/>
      <c r="E108" s="92"/>
      <c r="F108" s="92"/>
      <c r="G108" s="92"/>
      <c r="H108" s="92"/>
      <c r="I108" s="92"/>
      <c r="J108" s="92"/>
      <c r="K108" s="92"/>
      <c r="L108" s="92"/>
      <c r="M108" s="92"/>
      <c r="N108" s="92"/>
      <c r="O108" s="92"/>
      <c r="P108" s="92"/>
      <c r="Q108" s="92"/>
      <c r="R108" s="92"/>
      <c r="S108" s="92"/>
      <c r="T108" s="92"/>
      <c r="U108" s="92"/>
      <c r="V108" s="92"/>
      <c r="W108" s="92"/>
    </row>
    <row r="109" spans="1:55" x14ac:dyDescent="0.15">
      <c r="A109" s="92"/>
      <c r="B109" s="92"/>
      <c r="C109" s="92"/>
      <c r="D109" s="92"/>
      <c r="E109" s="92"/>
      <c r="F109" s="92"/>
      <c r="G109" s="92"/>
      <c r="H109" s="92"/>
      <c r="I109" s="92"/>
      <c r="J109" s="92"/>
      <c r="K109" s="92"/>
      <c r="L109" s="92"/>
      <c r="M109" s="92"/>
      <c r="N109" s="92"/>
      <c r="O109" s="92"/>
      <c r="P109" s="92"/>
      <c r="Q109" s="92"/>
      <c r="R109" s="92"/>
      <c r="S109" s="92"/>
      <c r="T109" s="92"/>
      <c r="U109" s="92"/>
      <c r="V109" s="92"/>
      <c r="W109" s="92"/>
    </row>
    <row r="110" spans="1:55" x14ac:dyDescent="0.15">
      <c r="A110" s="92"/>
      <c r="B110" s="92"/>
      <c r="C110" s="92"/>
      <c r="D110" s="92"/>
      <c r="E110" s="92"/>
      <c r="F110" s="92"/>
      <c r="G110" s="92"/>
      <c r="H110" s="92"/>
      <c r="I110" s="92"/>
      <c r="J110" s="92"/>
      <c r="K110" s="92"/>
      <c r="L110" s="92"/>
      <c r="M110" s="92"/>
      <c r="N110" s="92"/>
      <c r="O110" s="92"/>
      <c r="P110" s="92"/>
      <c r="Q110" s="92"/>
      <c r="R110" s="92"/>
      <c r="S110" s="92"/>
      <c r="T110" s="92"/>
      <c r="U110" s="92"/>
      <c r="V110" s="92"/>
      <c r="W110" s="92"/>
    </row>
    <row r="111" spans="1:55" x14ac:dyDescent="0.15">
      <c r="A111" s="92"/>
      <c r="B111" s="92"/>
      <c r="C111" s="92"/>
      <c r="D111" s="92"/>
      <c r="E111" s="92"/>
      <c r="F111" s="92"/>
      <c r="G111" s="92"/>
      <c r="H111" s="92"/>
      <c r="I111" s="92"/>
      <c r="J111" s="92"/>
      <c r="K111" s="92"/>
      <c r="L111" s="92"/>
      <c r="M111" s="92"/>
      <c r="N111" s="92"/>
      <c r="O111" s="92"/>
      <c r="P111" s="92"/>
      <c r="Q111" s="92"/>
      <c r="R111" s="92"/>
      <c r="S111" s="92"/>
      <c r="T111" s="92"/>
      <c r="U111" s="92"/>
      <c r="V111" s="92"/>
      <c r="W111" s="92"/>
    </row>
    <row r="112" spans="1:55" x14ac:dyDescent="0.15">
      <c r="A112" s="92"/>
      <c r="B112" s="92"/>
      <c r="C112" s="92"/>
      <c r="D112" s="92"/>
      <c r="E112" s="92"/>
      <c r="F112" s="92"/>
      <c r="G112" s="92"/>
      <c r="H112" s="92"/>
      <c r="I112" s="92"/>
      <c r="J112" s="92"/>
      <c r="K112" s="92"/>
      <c r="L112" s="92"/>
      <c r="M112" s="92"/>
      <c r="N112" s="92"/>
      <c r="O112" s="92"/>
      <c r="P112" s="92"/>
      <c r="Q112" s="92"/>
      <c r="R112" s="92"/>
      <c r="S112" s="92"/>
      <c r="T112" s="92"/>
      <c r="U112" s="92"/>
      <c r="V112" s="92"/>
      <c r="W112" s="92"/>
    </row>
    <row r="113" spans="1:23" x14ac:dyDescent="0.15">
      <c r="A113" s="92"/>
      <c r="B113" s="92"/>
      <c r="C113" s="92"/>
      <c r="D113" s="92"/>
      <c r="E113" s="92"/>
      <c r="F113" s="92"/>
      <c r="G113" s="92"/>
      <c r="H113" s="92"/>
      <c r="I113" s="92"/>
      <c r="J113" s="92"/>
      <c r="K113" s="92"/>
      <c r="L113" s="92"/>
      <c r="M113" s="92"/>
      <c r="N113" s="92"/>
      <c r="O113" s="92"/>
      <c r="P113" s="92"/>
      <c r="Q113" s="92"/>
      <c r="R113" s="92"/>
      <c r="S113" s="92"/>
      <c r="T113" s="92"/>
      <c r="U113" s="92"/>
      <c r="V113" s="92"/>
      <c r="W113" s="92"/>
    </row>
    <row r="114" spans="1:23" x14ac:dyDescent="0.15">
      <c r="A114" s="92"/>
      <c r="B114" s="92"/>
      <c r="C114" s="92"/>
      <c r="D114" s="92"/>
      <c r="E114" s="92"/>
      <c r="F114" s="92"/>
      <c r="G114" s="92"/>
      <c r="H114" s="92"/>
      <c r="I114" s="92"/>
      <c r="J114" s="92"/>
      <c r="K114" s="92"/>
      <c r="L114" s="92"/>
      <c r="M114" s="92"/>
      <c r="N114" s="92"/>
      <c r="O114" s="92"/>
      <c r="P114" s="92"/>
      <c r="Q114" s="92"/>
      <c r="R114" s="92"/>
      <c r="S114" s="92"/>
      <c r="T114" s="92"/>
      <c r="U114" s="92"/>
      <c r="V114" s="92"/>
      <c r="W114" s="92"/>
    </row>
    <row r="115" spans="1:23" x14ac:dyDescent="0.15">
      <c r="A115" s="92"/>
      <c r="B115" s="92"/>
      <c r="C115" s="92"/>
      <c r="D115" s="92"/>
      <c r="E115" s="92"/>
      <c r="F115" s="92"/>
      <c r="G115" s="92"/>
      <c r="H115" s="92"/>
      <c r="I115" s="92"/>
      <c r="J115" s="92"/>
      <c r="K115" s="92"/>
      <c r="L115" s="92"/>
      <c r="M115" s="92"/>
      <c r="N115" s="92"/>
      <c r="O115" s="92"/>
      <c r="P115" s="92"/>
      <c r="Q115" s="92"/>
      <c r="R115" s="92"/>
      <c r="S115" s="92"/>
      <c r="T115" s="92"/>
      <c r="U115" s="92"/>
      <c r="V115" s="92"/>
      <c r="W115" s="92"/>
    </row>
    <row r="116" spans="1:23" x14ac:dyDescent="0.15">
      <c r="A116" s="92"/>
      <c r="B116" s="92"/>
      <c r="C116" s="92"/>
      <c r="D116" s="92"/>
      <c r="E116" s="92"/>
      <c r="F116" s="92"/>
      <c r="G116" s="92"/>
      <c r="H116" s="92"/>
      <c r="I116" s="92"/>
      <c r="J116" s="92"/>
      <c r="K116" s="92"/>
      <c r="L116" s="92"/>
      <c r="M116" s="92"/>
      <c r="N116" s="92"/>
      <c r="O116" s="92"/>
      <c r="P116" s="92"/>
      <c r="Q116" s="92"/>
      <c r="R116" s="92"/>
      <c r="S116" s="92"/>
      <c r="T116" s="92"/>
      <c r="U116" s="92"/>
      <c r="V116" s="92"/>
      <c r="W116" s="92"/>
    </row>
    <row r="117" spans="1:23" x14ac:dyDescent="0.15">
      <c r="A117" s="92"/>
      <c r="B117" s="92"/>
      <c r="C117" s="92"/>
      <c r="D117" s="92"/>
      <c r="E117" s="92"/>
      <c r="F117" s="92"/>
      <c r="G117" s="92"/>
      <c r="H117" s="92"/>
      <c r="I117" s="92"/>
      <c r="J117" s="92"/>
      <c r="K117" s="92"/>
      <c r="L117" s="92"/>
      <c r="M117" s="92"/>
      <c r="N117" s="92"/>
      <c r="O117" s="92"/>
      <c r="P117" s="92"/>
      <c r="Q117" s="92"/>
      <c r="R117" s="92"/>
      <c r="S117" s="92"/>
      <c r="T117" s="92"/>
      <c r="U117" s="92"/>
      <c r="V117" s="92"/>
      <c r="W117" s="92"/>
    </row>
    <row r="118" spans="1:23" x14ac:dyDescent="0.15">
      <c r="A118" s="92"/>
      <c r="B118" s="92"/>
      <c r="C118" s="92"/>
      <c r="D118" s="92"/>
      <c r="E118" s="92"/>
      <c r="F118" s="92"/>
      <c r="G118" s="92"/>
      <c r="H118" s="92"/>
      <c r="I118" s="92"/>
      <c r="J118" s="92"/>
      <c r="K118" s="92"/>
      <c r="L118" s="92"/>
      <c r="M118" s="92"/>
      <c r="N118" s="92"/>
      <c r="O118" s="92"/>
      <c r="P118" s="92"/>
      <c r="Q118" s="92"/>
      <c r="R118" s="92"/>
      <c r="S118" s="92"/>
      <c r="T118" s="92"/>
      <c r="U118" s="92"/>
      <c r="V118" s="92"/>
      <c r="W118" s="92"/>
    </row>
    <row r="119" spans="1:23" x14ac:dyDescent="0.15">
      <c r="A119" s="92"/>
      <c r="B119" s="92"/>
      <c r="C119" s="92"/>
      <c r="D119" s="92"/>
      <c r="E119" s="92"/>
      <c r="F119" s="92"/>
      <c r="G119" s="92"/>
      <c r="H119" s="92"/>
      <c r="I119" s="92"/>
      <c r="J119" s="92"/>
      <c r="K119" s="92"/>
      <c r="L119" s="92"/>
      <c r="M119" s="92"/>
      <c r="N119" s="92"/>
      <c r="O119" s="92"/>
      <c r="P119" s="92"/>
      <c r="Q119" s="92"/>
      <c r="R119" s="92"/>
      <c r="S119" s="92"/>
      <c r="T119" s="92"/>
      <c r="U119" s="92"/>
      <c r="V119" s="92"/>
      <c r="W119" s="92"/>
    </row>
    <row r="120" spans="1:23" x14ac:dyDescent="0.15">
      <c r="A120" s="92"/>
      <c r="B120" s="92"/>
      <c r="C120" s="92"/>
      <c r="D120" s="92"/>
      <c r="E120" s="92"/>
      <c r="F120" s="92"/>
      <c r="G120" s="92"/>
      <c r="H120" s="92"/>
      <c r="I120" s="92"/>
      <c r="J120" s="92"/>
      <c r="K120" s="92"/>
      <c r="L120" s="92"/>
      <c r="M120" s="92"/>
      <c r="N120" s="92"/>
      <c r="O120" s="92"/>
      <c r="P120" s="92"/>
      <c r="Q120" s="92"/>
      <c r="R120" s="92"/>
      <c r="S120" s="92"/>
      <c r="T120" s="92"/>
      <c r="U120" s="92"/>
      <c r="V120" s="92"/>
      <c r="W120" s="92"/>
    </row>
    <row r="121" spans="1:23" x14ac:dyDescent="0.15">
      <c r="A121" s="92"/>
      <c r="B121" s="92"/>
      <c r="C121" s="92"/>
      <c r="D121" s="92"/>
      <c r="E121" s="92"/>
      <c r="F121" s="92"/>
      <c r="G121" s="92"/>
      <c r="H121" s="92"/>
      <c r="I121" s="92"/>
      <c r="J121" s="92"/>
      <c r="K121" s="92"/>
      <c r="L121" s="92"/>
      <c r="M121" s="92"/>
      <c r="N121" s="92"/>
      <c r="O121" s="92"/>
      <c r="P121" s="92"/>
      <c r="Q121" s="92"/>
      <c r="R121" s="92"/>
      <c r="S121" s="92"/>
      <c r="T121" s="92"/>
      <c r="U121" s="92"/>
      <c r="V121" s="92"/>
      <c r="W121" s="92"/>
    </row>
    <row r="122" spans="1:23" x14ac:dyDescent="0.15">
      <c r="A122" s="92"/>
      <c r="B122" s="92"/>
      <c r="C122" s="92"/>
      <c r="D122" s="92"/>
      <c r="E122" s="92"/>
      <c r="F122" s="92"/>
      <c r="G122" s="92"/>
      <c r="H122" s="92"/>
      <c r="I122" s="92"/>
      <c r="J122" s="92"/>
      <c r="K122" s="92"/>
      <c r="L122" s="92"/>
      <c r="M122" s="92"/>
      <c r="N122" s="92"/>
      <c r="O122" s="92"/>
      <c r="P122" s="92"/>
      <c r="Q122" s="92"/>
      <c r="R122" s="92"/>
      <c r="S122" s="92"/>
      <c r="T122" s="92"/>
      <c r="U122" s="92"/>
      <c r="V122" s="92"/>
      <c r="W122" s="92"/>
    </row>
    <row r="123" spans="1:23" x14ac:dyDescent="0.15">
      <c r="A123" s="92"/>
      <c r="B123" s="92"/>
      <c r="C123" s="92"/>
      <c r="D123" s="92"/>
      <c r="E123" s="92"/>
      <c r="F123" s="92"/>
      <c r="G123" s="92"/>
      <c r="H123" s="92"/>
      <c r="I123" s="92"/>
      <c r="J123" s="92"/>
      <c r="K123" s="92"/>
      <c r="L123" s="92"/>
      <c r="M123" s="92"/>
      <c r="N123" s="92"/>
      <c r="O123" s="92"/>
      <c r="P123" s="92"/>
      <c r="Q123" s="92"/>
      <c r="R123" s="92"/>
      <c r="S123" s="92"/>
      <c r="T123" s="92"/>
      <c r="U123" s="92"/>
      <c r="V123" s="92"/>
      <c r="W123" s="92"/>
    </row>
    <row r="124" spans="1:23" x14ac:dyDescent="0.15">
      <c r="A124" s="92"/>
      <c r="B124" s="92"/>
      <c r="C124" s="92"/>
      <c r="D124" s="92"/>
      <c r="E124" s="92"/>
      <c r="F124" s="92"/>
      <c r="G124" s="92"/>
      <c r="H124" s="92"/>
      <c r="I124" s="92"/>
      <c r="J124" s="92"/>
      <c r="K124" s="92"/>
      <c r="L124" s="92"/>
      <c r="M124" s="92"/>
      <c r="N124" s="92"/>
      <c r="O124" s="92"/>
      <c r="P124" s="92"/>
      <c r="Q124" s="92"/>
      <c r="R124" s="92"/>
      <c r="S124" s="92"/>
      <c r="T124" s="92"/>
      <c r="U124" s="92"/>
      <c r="V124" s="92"/>
      <c r="W124" s="92"/>
    </row>
    <row r="125" spans="1:23" x14ac:dyDescent="0.15">
      <c r="A125" s="92"/>
      <c r="B125" s="92"/>
      <c r="C125" s="92"/>
      <c r="D125" s="92"/>
      <c r="E125" s="92"/>
      <c r="F125" s="92"/>
      <c r="G125" s="92"/>
      <c r="H125" s="92"/>
      <c r="I125" s="92"/>
      <c r="J125" s="92"/>
      <c r="K125" s="92"/>
      <c r="L125" s="92"/>
      <c r="M125" s="92"/>
      <c r="N125" s="92"/>
      <c r="O125" s="92"/>
      <c r="P125" s="92"/>
      <c r="Q125" s="92"/>
      <c r="R125" s="92"/>
      <c r="S125" s="92"/>
      <c r="T125" s="92"/>
      <c r="U125" s="92"/>
      <c r="V125" s="92"/>
      <c r="W125" s="92"/>
    </row>
    <row r="126" spans="1:23" x14ac:dyDescent="0.15">
      <c r="A126" s="92"/>
      <c r="B126" s="92"/>
      <c r="C126" s="92"/>
      <c r="D126" s="92"/>
      <c r="E126" s="92"/>
      <c r="F126" s="92"/>
      <c r="G126" s="92"/>
      <c r="H126" s="92"/>
      <c r="I126" s="92"/>
      <c r="J126" s="92"/>
      <c r="K126" s="92"/>
      <c r="L126" s="92"/>
      <c r="M126" s="92"/>
      <c r="N126" s="92"/>
      <c r="O126" s="92"/>
      <c r="P126" s="92"/>
      <c r="Q126" s="92"/>
      <c r="R126" s="92"/>
      <c r="S126" s="92"/>
      <c r="T126" s="92"/>
      <c r="U126" s="92"/>
      <c r="V126" s="92"/>
      <c r="W126" s="92"/>
    </row>
    <row r="127" spans="1:23" x14ac:dyDescent="0.15">
      <c r="A127" s="92"/>
      <c r="B127" s="92"/>
      <c r="C127" s="92"/>
      <c r="D127" s="92"/>
      <c r="E127" s="92"/>
      <c r="F127" s="92"/>
      <c r="G127" s="92"/>
      <c r="H127" s="92"/>
      <c r="I127" s="92"/>
      <c r="J127" s="92"/>
      <c r="K127" s="92"/>
      <c r="L127" s="92"/>
      <c r="M127" s="92"/>
      <c r="N127" s="92"/>
      <c r="O127" s="92"/>
      <c r="P127" s="92"/>
      <c r="Q127" s="92"/>
      <c r="R127" s="92"/>
      <c r="S127" s="92"/>
      <c r="T127" s="92"/>
      <c r="U127" s="92"/>
      <c r="V127" s="92"/>
      <c r="W127" s="92"/>
    </row>
    <row r="128" spans="1:23" x14ac:dyDescent="0.15">
      <c r="A128" s="92"/>
      <c r="B128" s="92"/>
      <c r="C128" s="92"/>
      <c r="D128" s="92"/>
      <c r="E128" s="92"/>
      <c r="F128" s="92"/>
      <c r="G128" s="92"/>
      <c r="H128" s="92"/>
      <c r="I128" s="92"/>
      <c r="J128" s="92"/>
      <c r="K128" s="92"/>
      <c r="L128" s="92"/>
      <c r="M128" s="92"/>
      <c r="N128" s="92"/>
      <c r="O128" s="92"/>
      <c r="P128" s="92"/>
      <c r="Q128" s="92"/>
      <c r="R128" s="92"/>
      <c r="S128" s="92"/>
      <c r="T128" s="92"/>
      <c r="U128" s="92"/>
      <c r="V128" s="92"/>
      <c r="W128" s="92"/>
    </row>
    <row r="129" spans="1:23" x14ac:dyDescent="0.15">
      <c r="A129" s="92"/>
      <c r="B129" s="92"/>
      <c r="C129" s="92"/>
      <c r="D129" s="92"/>
      <c r="E129" s="92"/>
      <c r="F129" s="92"/>
      <c r="G129" s="92"/>
      <c r="H129" s="92"/>
      <c r="I129" s="92"/>
      <c r="J129" s="92"/>
      <c r="K129" s="92"/>
      <c r="L129" s="92"/>
      <c r="M129" s="92"/>
      <c r="N129" s="92"/>
      <c r="O129" s="92"/>
      <c r="P129" s="92"/>
      <c r="Q129" s="92"/>
      <c r="R129" s="92"/>
      <c r="S129" s="92"/>
      <c r="T129" s="92"/>
      <c r="U129" s="92"/>
      <c r="V129" s="92"/>
      <c r="W129" s="92"/>
    </row>
    <row r="130" spans="1:23" x14ac:dyDescent="0.15">
      <c r="A130" s="92"/>
      <c r="B130" s="92"/>
      <c r="C130" s="92"/>
      <c r="D130" s="92"/>
      <c r="E130" s="92"/>
      <c r="F130" s="92"/>
      <c r="G130" s="92"/>
      <c r="H130" s="92"/>
      <c r="I130" s="92"/>
      <c r="J130" s="92"/>
      <c r="K130" s="92"/>
      <c r="L130" s="92"/>
      <c r="M130" s="92"/>
      <c r="N130" s="92"/>
      <c r="O130" s="92"/>
      <c r="P130" s="92"/>
      <c r="Q130" s="92"/>
      <c r="R130" s="92"/>
      <c r="S130" s="92"/>
      <c r="T130" s="92"/>
      <c r="U130" s="92"/>
      <c r="V130" s="92"/>
      <c r="W130" s="92"/>
    </row>
  </sheetData>
  <sheetProtection algorithmName="SHA-512" hashValue="4hPnGSip7RSG5Ys+OgiFuAl8WXONWpfw2sKqDX2JabPztDMaF0V5oaEOfvXU4tYALA398N2SjAlO1jB6H6yDXg==" saltValue="/qVYMhCKnnRQgjKxqlnUGw==" spinCount="100000" sheet="1" objects="1" scenarios="1"/>
  <phoneticPr fontId="5" type="noConversion"/>
  <dataValidations count="2">
    <dataValidation type="decimal" showInputMessage="1" showErrorMessage="1" errorTitle="Incorrect entry" error="Enter 1.5 or 3.0 only" sqref="C4" xr:uid="{00000000-0002-0000-0200-000000000000}">
      <formula1>1.5</formula1>
      <formula2>3</formula2>
    </dataValidation>
    <dataValidation type="whole" showInputMessage="1" showErrorMessage="1" errorTitle="Incorrect number" error="Please enter quarterly consumption between 700-4000kWh" sqref="C5" xr:uid="{00000000-0002-0000-0200-000001000000}">
      <formula1>700</formula1>
      <formula2>4000</formula2>
    </dataValidation>
  </dataValidations>
  <pageMargins left="0.75" right="0.75" top="1" bottom="1" header="0.5" footer="0.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82D41-B210-428A-BB9D-A06018CACEE7}"/>
</file>

<file path=customXml/itemProps2.xml><?xml version="1.0" encoding="utf-8"?>
<ds:datastoreItem xmlns:ds="http://schemas.openxmlformats.org/officeDocument/2006/customXml" ds:itemID="{38ADC837-BD33-47C0-8BF4-8FBD76AADB7B}"/>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Summary</vt:lpstr>
      <vt:lpstr>Bills 2023</vt:lpstr>
      <vt:lpstr>Bills 2022</vt:lpstr>
      <vt:lpstr>Bills 2021</vt:lpstr>
      <vt:lpstr>Bills 2020</vt:lpstr>
      <vt:lpstr>Bills 2019</vt:lpstr>
      <vt:lpstr>Bills 2018</vt:lpstr>
      <vt:lpstr>Bills 2017</vt:lpstr>
      <vt:lpstr>Bills 2016</vt:lpstr>
      <vt:lpstr>Tariffs 2023</vt:lpstr>
      <vt:lpstr>Tariffs 2022</vt:lpstr>
      <vt:lpstr>Tariffs 2021</vt:lpstr>
      <vt:lpstr>Tariffs 2020</vt:lpstr>
      <vt:lpstr>Tariffs 2019</vt:lpstr>
      <vt:lpstr>Tariffs 2018</vt:lpstr>
      <vt:lpstr>Tariffs 2017</vt:lpstr>
      <vt:lpstr>Tariffs 2016</vt:lpstr>
      <vt:lpstr>Tariffs 2014</vt:lpstr>
      <vt:lpstr>Tariffs 2013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Mauseth</dc:creator>
  <cp:lastModifiedBy>May Mauseth</cp:lastModifiedBy>
  <dcterms:created xsi:type="dcterms:W3CDTF">2013-08-20T06:41:03Z</dcterms:created>
  <dcterms:modified xsi:type="dcterms:W3CDTF">2023-11-27T03:10:58Z</dcterms:modified>
</cp:coreProperties>
</file>