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SA/SA Workbooks/Locked workbooks/"/>
    </mc:Choice>
  </mc:AlternateContent>
  <xr:revisionPtr revIDLastSave="0" documentId="13_ncr:1_{FCBD252E-2D35-F444-8866-F2915B49B07D}" xr6:coauthVersionLast="47" xr6:coauthVersionMax="47" xr10:uidLastSave="{00000000-0000-0000-0000-000000000000}"/>
  <workbookProtection workbookAlgorithmName="SHA-512" workbookHashValue="k6kROQbJK8YxTvU7sGEY/hoe1BWhRmulnWCT6k9TRriQdJ3Q2fYojbsP2QQtcddm6lq0uVxv952gvdIsz5FGqA==" workbookSaltValue="iyBJ8D4uB13ME3kTxVoZMQ==" workbookSpinCount="100000" lockStructure="1"/>
  <bookViews>
    <workbookView xWindow="1980" yWindow="3620" windowWidth="42820" windowHeight="19880" tabRatio="500" activeTab="1" xr2:uid="{00000000-000D-0000-FFFF-FFFF00000000}"/>
  </bookViews>
  <sheets>
    <sheet name="Summary" sheetId="1" r:id="rId1"/>
    <sheet name="Bills Jul'23" sheetId="25" r:id="rId2"/>
    <sheet name="Bills Jul'22" sheetId="23" r:id="rId3"/>
    <sheet name="Bills Jul'21" sheetId="21" r:id="rId4"/>
    <sheet name="Bills Jul'20" sheetId="19" r:id="rId5"/>
    <sheet name="Bills Jul'19" sheetId="17" r:id="rId6"/>
    <sheet name="Bills Jul'18" sheetId="15" r:id="rId7"/>
    <sheet name="Bills Jul'17" sheetId="13" r:id="rId8"/>
    <sheet name="Bills Jul'16" sheetId="11" r:id="rId9"/>
    <sheet name="Bills Jul'15" sheetId="8" r:id="rId10"/>
    <sheet name="Bills Jul'14" sheetId="6" r:id="rId11"/>
    <sheet name="Bills Jul'13" sheetId="4" r:id="rId12"/>
    <sheet name="Bills Jul'12" sheetId="2" r:id="rId13"/>
    <sheet name="Tariffs 2023" sheetId="24" state="hidden" r:id="rId14"/>
    <sheet name="Tariffs 2022" sheetId="22" state="hidden" r:id="rId15"/>
    <sheet name="Tariffs 2021" sheetId="20" state="hidden" r:id="rId16"/>
    <sheet name="Tariffs 2020" sheetId="18" state="hidden" r:id="rId17"/>
    <sheet name="Tariffs 2019" sheetId="16" state="hidden" r:id="rId18"/>
    <sheet name="Tariffs 2018" sheetId="14" state="hidden" r:id="rId19"/>
    <sheet name="Tariffs 2017" sheetId="12" state="hidden" r:id="rId20"/>
    <sheet name="Tariffs 2016" sheetId="10" state="hidden" r:id="rId21"/>
    <sheet name="Tariffs Jul'15" sheetId="9" state="hidden" r:id="rId22"/>
    <sheet name="Tariffs Jul'14" sheetId="7" state="hidden" r:id="rId23"/>
    <sheet name="Tariffs Jul'13" sheetId="5" state="hidden" r:id="rId24"/>
    <sheet name="Tariffs Jul'12" sheetId="3" state="hidden" r:id="rId25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5" i="25" l="1"/>
  <c r="B15" i="25"/>
  <c r="C15" i="25"/>
  <c r="D15" i="25"/>
  <c r="H15" i="25" s="1"/>
  <c r="I15" i="25" s="1"/>
  <c r="E15" i="25"/>
  <c r="F15" i="25"/>
  <c r="G15" i="25"/>
  <c r="L15" i="25"/>
  <c r="M15" i="25"/>
  <c r="N15" i="25"/>
  <c r="O15" i="25"/>
  <c r="P15" i="25"/>
  <c r="Q15" i="25"/>
  <c r="A16" i="25"/>
  <c r="Q16" i="25" s="1"/>
  <c r="B16" i="25"/>
  <c r="C16" i="25"/>
  <c r="D16" i="25"/>
  <c r="E16" i="25"/>
  <c r="H16" i="25" s="1"/>
  <c r="I16" i="25" s="1"/>
  <c r="F16" i="25"/>
  <c r="G16" i="25"/>
  <c r="L16" i="25"/>
  <c r="M16" i="25"/>
  <c r="N16" i="25"/>
  <c r="O16" i="25"/>
  <c r="O20" i="25"/>
  <c r="N20" i="25"/>
  <c r="M20" i="25"/>
  <c r="L20" i="25"/>
  <c r="G20" i="25"/>
  <c r="F20" i="25"/>
  <c r="E20" i="25"/>
  <c r="D20" i="25"/>
  <c r="C20" i="25"/>
  <c r="B20" i="25"/>
  <c r="A20" i="25"/>
  <c r="Q20" i="25" s="1"/>
  <c r="O19" i="25"/>
  <c r="N19" i="25"/>
  <c r="M19" i="25"/>
  <c r="L19" i="25"/>
  <c r="G19" i="25"/>
  <c r="F19" i="25"/>
  <c r="E19" i="25"/>
  <c r="D19" i="25"/>
  <c r="C19" i="25"/>
  <c r="B19" i="25"/>
  <c r="A19" i="25"/>
  <c r="Q19" i="25" s="1"/>
  <c r="O18" i="25"/>
  <c r="N18" i="25"/>
  <c r="M18" i="25"/>
  <c r="L18" i="25"/>
  <c r="G18" i="25"/>
  <c r="F18" i="25"/>
  <c r="E18" i="25"/>
  <c r="D18" i="25"/>
  <c r="C18" i="25"/>
  <c r="B18" i="25"/>
  <c r="A18" i="25"/>
  <c r="O17" i="25"/>
  <c r="N17" i="25"/>
  <c r="M17" i="25"/>
  <c r="L17" i="25"/>
  <c r="G17" i="25"/>
  <c r="F17" i="25"/>
  <c r="E17" i="25"/>
  <c r="D17" i="25"/>
  <c r="H17" i="25" s="1"/>
  <c r="C17" i="25"/>
  <c r="B17" i="25"/>
  <c r="A17" i="25"/>
  <c r="Q17" i="25" s="1"/>
  <c r="O14" i="25"/>
  <c r="N14" i="25"/>
  <c r="M14" i="25"/>
  <c r="L14" i="25"/>
  <c r="G14" i="25"/>
  <c r="F14" i="25"/>
  <c r="E14" i="25"/>
  <c r="D14" i="25"/>
  <c r="C14" i="25"/>
  <c r="B14" i="25"/>
  <c r="A14" i="25"/>
  <c r="Q14" i="25" s="1"/>
  <c r="O13" i="25"/>
  <c r="N13" i="25"/>
  <c r="M13" i="25"/>
  <c r="L13" i="25"/>
  <c r="G13" i="25"/>
  <c r="F13" i="25"/>
  <c r="E13" i="25"/>
  <c r="D13" i="25"/>
  <c r="C13" i="25"/>
  <c r="B13" i="25"/>
  <c r="A13" i="25"/>
  <c r="Q13" i="25" s="1"/>
  <c r="O12" i="25"/>
  <c r="N12" i="25"/>
  <c r="M12" i="25"/>
  <c r="L12" i="25"/>
  <c r="G12" i="25"/>
  <c r="F12" i="25"/>
  <c r="E12" i="25"/>
  <c r="D12" i="25"/>
  <c r="C12" i="25"/>
  <c r="B12" i="25"/>
  <c r="A12" i="25"/>
  <c r="O11" i="25"/>
  <c r="N11" i="25"/>
  <c r="M11" i="25"/>
  <c r="L11" i="25"/>
  <c r="G11" i="25"/>
  <c r="F11" i="25"/>
  <c r="E11" i="25"/>
  <c r="D11" i="25"/>
  <c r="C11" i="25"/>
  <c r="B11" i="25"/>
  <c r="A11" i="25"/>
  <c r="Q11" i="25" s="1"/>
  <c r="O10" i="25"/>
  <c r="N10" i="25"/>
  <c r="M10" i="25"/>
  <c r="L10" i="25"/>
  <c r="G10" i="25"/>
  <c r="F10" i="25"/>
  <c r="E10" i="25"/>
  <c r="D10" i="25"/>
  <c r="C10" i="25"/>
  <c r="B10" i="25"/>
  <c r="A10" i="25"/>
  <c r="Q10" i="25" s="1"/>
  <c r="O9" i="25"/>
  <c r="N9" i="25"/>
  <c r="M9" i="25"/>
  <c r="L9" i="25"/>
  <c r="G9" i="25"/>
  <c r="F9" i="25"/>
  <c r="E9" i="25"/>
  <c r="D9" i="25"/>
  <c r="C9" i="25"/>
  <c r="B9" i="25"/>
  <c r="A9" i="25"/>
  <c r="Q9" i="25" s="1"/>
  <c r="O8" i="25"/>
  <c r="N8" i="25"/>
  <c r="M8" i="25"/>
  <c r="L8" i="25"/>
  <c r="G8" i="25"/>
  <c r="F8" i="25"/>
  <c r="E8" i="25"/>
  <c r="D8" i="25"/>
  <c r="C8" i="25"/>
  <c r="B8" i="25"/>
  <c r="A8" i="25"/>
  <c r="Q8" i="25" s="1"/>
  <c r="Q18" i="25"/>
  <c r="Q12" i="25"/>
  <c r="X18" i="23"/>
  <c r="W18" i="23"/>
  <c r="V18" i="23"/>
  <c r="O18" i="23"/>
  <c r="N18" i="23"/>
  <c r="M18" i="23"/>
  <c r="L18" i="23"/>
  <c r="G18" i="23"/>
  <c r="F18" i="23"/>
  <c r="E18" i="23"/>
  <c r="D18" i="23"/>
  <c r="C18" i="23"/>
  <c r="B18" i="23"/>
  <c r="A18" i="23"/>
  <c r="Q18" i="23" s="1"/>
  <c r="X17" i="23"/>
  <c r="W17" i="23"/>
  <c r="V17" i="23"/>
  <c r="O17" i="23"/>
  <c r="N17" i="23"/>
  <c r="M17" i="23"/>
  <c r="L17" i="23"/>
  <c r="G17" i="23"/>
  <c r="F17" i="23"/>
  <c r="E17" i="23"/>
  <c r="D17" i="23"/>
  <c r="C17" i="23"/>
  <c r="B17" i="23"/>
  <c r="A17" i="23"/>
  <c r="Q17" i="23" s="1"/>
  <c r="X16" i="23"/>
  <c r="W16" i="23"/>
  <c r="V16" i="23"/>
  <c r="O16" i="23"/>
  <c r="N16" i="23"/>
  <c r="M16" i="23"/>
  <c r="L16" i="23"/>
  <c r="G16" i="23"/>
  <c r="F16" i="23"/>
  <c r="E16" i="23"/>
  <c r="D16" i="23"/>
  <c r="C16" i="23"/>
  <c r="B16" i="23"/>
  <c r="A16" i="23"/>
  <c r="X15" i="23"/>
  <c r="W15" i="23"/>
  <c r="V15" i="23"/>
  <c r="O15" i="23"/>
  <c r="N15" i="23"/>
  <c r="M15" i="23"/>
  <c r="L15" i="23"/>
  <c r="G15" i="23"/>
  <c r="F15" i="23"/>
  <c r="E15" i="23"/>
  <c r="D15" i="23"/>
  <c r="C15" i="23"/>
  <c r="B15" i="23"/>
  <c r="A15" i="23"/>
  <c r="Q15" i="23" s="1"/>
  <c r="X14" i="23"/>
  <c r="W14" i="23"/>
  <c r="V14" i="23"/>
  <c r="O14" i="23"/>
  <c r="N14" i="23"/>
  <c r="M14" i="23"/>
  <c r="L14" i="23"/>
  <c r="G14" i="23"/>
  <c r="F14" i="23"/>
  <c r="E14" i="23"/>
  <c r="D14" i="23"/>
  <c r="C14" i="23"/>
  <c r="B14" i="23"/>
  <c r="A14" i="23"/>
  <c r="Q14" i="23" s="1"/>
  <c r="X13" i="23"/>
  <c r="W13" i="23"/>
  <c r="V13" i="23"/>
  <c r="O13" i="23"/>
  <c r="N13" i="23"/>
  <c r="M13" i="23"/>
  <c r="L13" i="23"/>
  <c r="G13" i="23"/>
  <c r="F13" i="23"/>
  <c r="E13" i="23"/>
  <c r="D13" i="23"/>
  <c r="C13" i="23"/>
  <c r="B13" i="23"/>
  <c r="A13" i="23"/>
  <c r="Q13" i="23" s="1"/>
  <c r="X12" i="23"/>
  <c r="W12" i="23"/>
  <c r="V12" i="23"/>
  <c r="O12" i="23"/>
  <c r="N12" i="23"/>
  <c r="M12" i="23"/>
  <c r="L12" i="23"/>
  <c r="G12" i="23"/>
  <c r="F12" i="23"/>
  <c r="E12" i="23"/>
  <c r="D12" i="23"/>
  <c r="C12" i="23"/>
  <c r="B12" i="23"/>
  <c r="A12" i="23"/>
  <c r="Q12" i="23" s="1"/>
  <c r="X11" i="23"/>
  <c r="W11" i="23"/>
  <c r="V11" i="23"/>
  <c r="O11" i="23"/>
  <c r="N11" i="23"/>
  <c r="M11" i="23"/>
  <c r="L11" i="23"/>
  <c r="G11" i="23"/>
  <c r="F11" i="23"/>
  <c r="E11" i="23"/>
  <c r="D11" i="23"/>
  <c r="C11" i="23"/>
  <c r="B11" i="23"/>
  <c r="A11" i="23"/>
  <c r="Q11" i="23" s="1"/>
  <c r="X10" i="23"/>
  <c r="W10" i="23"/>
  <c r="V10" i="23"/>
  <c r="O10" i="23"/>
  <c r="N10" i="23"/>
  <c r="M10" i="23"/>
  <c r="L10" i="23"/>
  <c r="G10" i="23"/>
  <c r="F10" i="23"/>
  <c r="E10" i="23"/>
  <c r="D10" i="23"/>
  <c r="C10" i="23"/>
  <c r="B10" i="23"/>
  <c r="A10" i="23"/>
  <c r="Q10" i="23" s="1"/>
  <c r="X9" i="23"/>
  <c r="W9" i="23"/>
  <c r="V9" i="23"/>
  <c r="O9" i="23"/>
  <c r="N9" i="23"/>
  <c r="M9" i="23"/>
  <c r="L9" i="23"/>
  <c r="G9" i="23"/>
  <c r="F9" i="23"/>
  <c r="E9" i="23"/>
  <c r="D9" i="23"/>
  <c r="C9" i="23"/>
  <c r="B9" i="23"/>
  <c r="A9" i="23"/>
  <c r="Q9" i="23" s="1"/>
  <c r="X8" i="23"/>
  <c r="W8" i="23"/>
  <c r="V8" i="23"/>
  <c r="O8" i="23"/>
  <c r="N8" i="23"/>
  <c r="M8" i="23"/>
  <c r="L8" i="23"/>
  <c r="G8" i="23"/>
  <c r="F8" i="23"/>
  <c r="E8" i="23"/>
  <c r="D8" i="23"/>
  <c r="C8" i="23"/>
  <c r="B8" i="23"/>
  <c r="A8" i="23"/>
  <c r="Q8" i="23" s="1"/>
  <c r="Q16" i="23"/>
  <c r="A8" i="21"/>
  <c r="Q8" i="21" s="1"/>
  <c r="X19" i="21"/>
  <c r="X18" i="21"/>
  <c r="X17" i="21"/>
  <c r="X16" i="21"/>
  <c r="X15" i="21"/>
  <c r="X14" i="21"/>
  <c r="X13" i="21"/>
  <c r="X12" i="21"/>
  <c r="X11" i="21"/>
  <c r="X10" i="21"/>
  <c r="X9" i="21"/>
  <c r="X8" i="21"/>
  <c r="W19" i="21"/>
  <c r="W18" i="21"/>
  <c r="W17" i="21"/>
  <c r="W16" i="21"/>
  <c r="W15" i="21"/>
  <c r="W14" i="21"/>
  <c r="W13" i="21"/>
  <c r="W12" i="21"/>
  <c r="W11" i="21"/>
  <c r="W10" i="21"/>
  <c r="W9" i="21"/>
  <c r="W8" i="21"/>
  <c r="V19" i="21"/>
  <c r="V18" i="21"/>
  <c r="V17" i="21"/>
  <c r="V16" i="21"/>
  <c r="V15" i="21"/>
  <c r="V14" i="21"/>
  <c r="V13" i="21"/>
  <c r="V12" i="21"/>
  <c r="V11" i="21"/>
  <c r="V10" i="21"/>
  <c r="V9" i="21"/>
  <c r="V8" i="21"/>
  <c r="O19" i="21"/>
  <c r="O18" i="21"/>
  <c r="O17" i="21"/>
  <c r="O16" i="21"/>
  <c r="O15" i="21"/>
  <c r="O14" i="21"/>
  <c r="O13" i="21"/>
  <c r="O12" i="21"/>
  <c r="O11" i="21"/>
  <c r="O10" i="21"/>
  <c r="O9" i="21"/>
  <c r="O8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M19" i="21"/>
  <c r="M18" i="21"/>
  <c r="M17" i="21"/>
  <c r="M16" i="21"/>
  <c r="P16" i="21" s="1"/>
  <c r="M15" i="21"/>
  <c r="M14" i="21"/>
  <c r="M13" i="21"/>
  <c r="M12" i="21"/>
  <c r="M11" i="21"/>
  <c r="M10" i="21"/>
  <c r="M9" i="21"/>
  <c r="M8" i="21"/>
  <c r="P8" i="21" s="1"/>
  <c r="L19" i="21"/>
  <c r="L18" i="21"/>
  <c r="L17" i="21"/>
  <c r="L16" i="21"/>
  <c r="L15" i="21"/>
  <c r="L14" i="21"/>
  <c r="L13" i="21"/>
  <c r="L12" i="21"/>
  <c r="P12" i="21" s="1"/>
  <c r="L11" i="21"/>
  <c r="L10" i="21"/>
  <c r="L9" i="21"/>
  <c r="L8" i="21"/>
  <c r="G19" i="21"/>
  <c r="G18" i="21"/>
  <c r="G17" i="21"/>
  <c r="G16" i="21"/>
  <c r="G15" i="21"/>
  <c r="G14" i="21"/>
  <c r="G13" i="21"/>
  <c r="G12" i="21"/>
  <c r="G11" i="21"/>
  <c r="G10" i="21"/>
  <c r="G9" i="21"/>
  <c r="G8" i="21"/>
  <c r="F19" i="21"/>
  <c r="F18" i="21"/>
  <c r="F17" i="21"/>
  <c r="F16" i="21"/>
  <c r="F15" i="21"/>
  <c r="F14" i="21"/>
  <c r="F13" i="21"/>
  <c r="F12" i="21"/>
  <c r="F11" i="21"/>
  <c r="H11" i="21" s="1"/>
  <c r="F10" i="21"/>
  <c r="F9" i="21"/>
  <c r="F8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B19" i="21"/>
  <c r="B18" i="21"/>
  <c r="B17" i="21"/>
  <c r="B16" i="21"/>
  <c r="B15" i="21"/>
  <c r="B14" i="21"/>
  <c r="B13" i="21"/>
  <c r="B12" i="21"/>
  <c r="B11" i="21"/>
  <c r="B10" i="21"/>
  <c r="B9" i="21"/>
  <c r="B8" i="21"/>
  <c r="A19" i="21"/>
  <c r="A18" i="21"/>
  <c r="Q18" i="21" s="1"/>
  <c r="A17" i="21"/>
  <c r="Q17" i="21" s="1"/>
  <c r="A16" i="21"/>
  <c r="A15" i="21"/>
  <c r="A14" i="21"/>
  <c r="A13" i="21"/>
  <c r="Q13" i="21" s="1"/>
  <c r="A12" i="21"/>
  <c r="Q12" i="21" s="1"/>
  <c r="A11" i="21"/>
  <c r="A10" i="21"/>
  <c r="Q10" i="21" s="1"/>
  <c r="A9" i="21"/>
  <c r="P19" i="21"/>
  <c r="H19" i="21"/>
  <c r="Q19" i="21"/>
  <c r="P18" i="21"/>
  <c r="P17" i="21"/>
  <c r="Q16" i="21"/>
  <c r="P15" i="21"/>
  <c r="Q15" i="21"/>
  <c r="P14" i="21"/>
  <c r="Q14" i="21"/>
  <c r="P13" i="21"/>
  <c r="P11" i="21"/>
  <c r="Q11" i="21"/>
  <c r="P10" i="21"/>
  <c r="P9" i="21"/>
  <c r="Q9" i="21"/>
  <c r="P16" i="25" l="1"/>
  <c r="P12" i="25"/>
  <c r="P13" i="25"/>
  <c r="H14" i="25"/>
  <c r="J14" i="25" s="1"/>
  <c r="K14" i="25" s="1"/>
  <c r="P8" i="25"/>
  <c r="P9" i="25"/>
  <c r="P18" i="25"/>
  <c r="P19" i="25"/>
  <c r="H10" i="25"/>
  <c r="J10" i="25" s="1"/>
  <c r="K10" i="25" s="1"/>
  <c r="H11" i="25"/>
  <c r="H20" i="25"/>
  <c r="J16" i="25"/>
  <c r="K16" i="25" s="1"/>
  <c r="J15" i="25"/>
  <c r="K15" i="25" s="1"/>
  <c r="H9" i="25"/>
  <c r="I9" i="25" s="1"/>
  <c r="P11" i="25"/>
  <c r="H13" i="25"/>
  <c r="I13" i="25" s="1"/>
  <c r="P17" i="25"/>
  <c r="H19" i="25"/>
  <c r="J19" i="25" s="1"/>
  <c r="K19" i="25" s="1"/>
  <c r="H8" i="25"/>
  <c r="J8" i="25" s="1"/>
  <c r="K8" i="25" s="1"/>
  <c r="P10" i="25"/>
  <c r="H12" i="25"/>
  <c r="J12" i="25" s="1"/>
  <c r="K12" i="25" s="1"/>
  <c r="H18" i="25"/>
  <c r="I18" i="25" s="1"/>
  <c r="P20" i="25"/>
  <c r="R20" i="25" s="1"/>
  <c r="T20" i="25" s="1"/>
  <c r="P14" i="25"/>
  <c r="J20" i="25"/>
  <c r="K20" i="25" s="1"/>
  <c r="I20" i="25"/>
  <c r="I11" i="25"/>
  <c r="J11" i="25"/>
  <c r="K11" i="25" s="1"/>
  <c r="I17" i="25"/>
  <c r="J17" i="25"/>
  <c r="K17" i="25" s="1"/>
  <c r="J13" i="25"/>
  <c r="K13" i="25" s="1"/>
  <c r="H8" i="21"/>
  <c r="H9" i="21"/>
  <c r="H13" i="21"/>
  <c r="H15" i="21"/>
  <c r="I15" i="21" s="1"/>
  <c r="H10" i="21"/>
  <c r="I10" i="21" s="1"/>
  <c r="H14" i="21"/>
  <c r="I14" i="21" s="1"/>
  <c r="P16" i="23"/>
  <c r="H18" i="23"/>
  <c r="J18" i="23" s="1"/>
  <c r="K18" i="23" s="1"/>
  <c r="H8" i="23"/>
  <c r="I8" i="23" s="1"/>
  <c r="P10" i="23"/>
  <c r="H12" i="23"/>
  <c r="I12" i="23" s="1"/>
  <c r="P14" i="23"/>
  <c r="H16" i="23"/>
  <c r="J16" i="23" s="1"/>
  <c r="K16" i="23" s="1"/>
  <c r="P18" i="23"/>
  <c r="H15" i="23"/>
  <c r="J15" i="23" s="1"/>
  <c r="K15" i="23" s="1"/>
  <c r="P17" i="23"/>
  <c r="P9" i="23"/>
  <c r="H11" i="23"/>
  <c r="J11" i="23" s="1"/>
  <c r="K11" i="23" s="1"/>
  <c r="P13" i="23"/>
  <c r="H9" i="23"/>
  <c r="J9" i="23" s="1"/>
  <c r="K9" i="23" s="1"/>
  <c r="P11" i="23"/>
  <c r="H13" i="23"/>
  <c r="J13" i="23" s="1"/>
  <c r="K13" i="23" s="1"/>
  <c r="P15" i="23"/>
  <c r="H17" i="23"/>
  <c r="J17" i="23" s="1"/>
  <c r="K17" i="23" s="1"/>
  <c r="P8" i="23"/>
  <c r="H10" i="23"/>
  <c r="J10" i="23" s="1"/>
  <c r="K10" i="23" s="1"/>
  <c r="P12" i="23"/>
  <c r="H14" i="23"/>
  <c r="I14" i="23" s="1"/>
  <c r="J8" i="23"/>
  <c r="K8" i="23" s="1"/>
  <c r="H17" i="21"/>
  <c r="I17" i="21" s="1"/>
  <c r="H16" i="21"/>
  <c r="J16" i="21" s="1"/>
  <c r="K16" i="21" s="1"/>
  <c r="H18" i="21"/>
  <c r="I18" i="21" s="1"/>
  <c r="H12" i="21"/>
  <c r="J12" i="21" s="1"/>
  <c r="I9" i="21"/>
  <c r="J9" i="21"/>
  <c r="K9" i="21" s="1"/>
  <c r="R9" i="21"/>
  <c r="T9" i="21" s="1"/>
  <c r="I11" i="21"/>
  <c r="J11" i="21"/>
  <c r="K11" i="21" s="1"/>
  <c r="I13" i="21"/>
  <c r="J13" i="21"/>
  <c r="K13" i="21" s="1"/>
  <c r="J15" i="21"/>
  <c r="K15" i="21" s="1"/>
  <c r="I19" i="21"/>
  <c r="J19" i="21"/>
  <c r="K19" i="21" s="1"/>
  <c r="I8" i="21"/>
  <c r="J8" i="21"/>
  <c r="K8" i="21" s="1"/>
  <c r="R8" i="21"/>
  <c r="T8" i="21" s="1"/>
  <c r="J14" i="21"/>
  <c r="K14" i="21" s="1"/>
  <c r="I16" i="21"/>
  <c r="J18" i="21"/>
  <c r="K18" i="21" s="1"/>
  <c r="A15" i="19"/>
  <c r="Q15" i="19" s="1"/>
  <c r="B15" i="19"/>
  <c r="C15" i="19"/>
  <c r="D15" i="19"/>
  <c r="E15" i="19"/>
  <c r="F15" i="19"/>
  <c r="G15" i="19"/>
  <c r="L15" i="19"/>
  <c r="M15" i="19"/>
  <c r="N15" i="19"/>
  <c r="O15" i="19"/>
  <c r="V15" i="19"/>
  <c r="W15" i="19"/>
  <c r="X15" i="19"/>
  <c r="X19" i="19"/>
  <c r="W19" i="19"/>
  <c r="V19" i="19"/>
  <c r="O19" i="19"/>
  <c r="N19" i="19"/>
  <c r="M19" i="19"/>
  <c r="L19" i="19"/>
  <c r="G19" i="19"/>
  <c r="F19" i="19"/>
  <c r="E19" i="19"/>
  <c r="D19" i="19"/>
  <c r="C19" i="19"/>
  <c r="B19" i="19"/>
  <c r="A19" i="19"/>
  <c r="X18" i="19"/>
  <c r="W18" i="19"/>
  <c r="V18" i="19"/>
  <c r="O18" i="19"/>
  <c r="N18" i="19"/>
  <c r="M18" i="19"/>
  <c r="L18" i="19"/>
  <c r="G18" i="19"/>
  <c r="F18" i="19"/>
  <c r="E18" i="19"/>
  <c r="D18" i="19"/>
  <c r="C18" i="19"/>
  <c r="B18" i="19"/>
  <c r="A18" i="19"/>
  <c r="Q18" i="19" s="1"/>
  <c r="X17" i="19"/>
  <c r="W17" i="19"/>
  <c r="V17" i="19"/>
  <c r="O17" i="19"/>
  <c r="N17" i="19"/>
  <c r="M17" i="19"/>
  <c r="L17" i="19"/>
  <c r="G17" i="19"/>
  <c r="F17" i="19"/>
  <c r="E17" i="19"/>
  <c r="D17" i="19"/>
  <c r="C17" i="19"/>
  <c r="B17" i="19"/>
  <c r="A17" i="19"/>
  <c r="Q17" i="19" s="1"/>
  <c r="X16" i="19"/>
  <c r="W16" i="19"/>
  <c r="V16" i="19"/>
  <c r="O16" i="19"/>
  <c r="N16" i="19"/>
  <c r="M16" i="19"/>
  <c r="L16" i="19"/>
  <c r="G16" i="19"/>
  <c r="F16" i="19"/>
  <c r="E16" i="19"/>
  <c r="D16" i="19"/>
  <c r="C16" i="19"/>
  <c r="B16" i="19"/>
  <c r="A16" i="19"/>
  <c r="Q16" i="19" s="1"/>
  <c r="X14" i="19"/>
  <c r="W14" i="19"/>
  <c r="V14" i="19"/>
  <c r="O14" i="19"/>
  <c r="N14" i="19"/>
  <c r="M14" i="19"/>
  <c r="L14" i="19"/>
  <c r="G14" i="19"/>
  <c r="F14" i="19"/>
  <c r="E14" i="19"/>
  <c r="D14" i="19"/>
  <c r="C14" i="19"/>
  <c r="B14" i="19"/>
  <c r="A14" i="19"/>
  <c r="X13" i="19"/>
  <c r="W13" i="19"/>
  <c r="V13" i="19"/>
  <c r="O13" i="19"/>
  <c r="N13" i="19"/>
  <c r="M13" i="19"/>
  <c r="L13" i="19"/>
  <c r="G13" i="19"/>
  <c r="F13" i="19"/>
  <c r="E13" i="19"/>
  <c r="D13" i="19"/>
  <c r="C13" i="19"/>
  <c r="B13" i="19"/>
  <c r="A13" i="19"/>
  <c r="Q13" i="19" s="1"/>
  <c r="X12" i="19"/>
  <c r="W12" i="19"/>
  <c r="V12" i="19"/>
  <c r="O12" i="19"/>
  <c r="N12" i="19"/>
  <c r="M12" i="19"/>
  <c r="L12" i="19"/>
  <c r="G12" i="19"/>
  <c r="F12" i="19"/>
  <c r="E12" i="19"/>
  <c r="D12" i="19"/>
  <c r="C12" i="19"/>
  <c r="B12" i="19"/>
  <c r="A12" i="19"/>
  <c r="Q12" i="19" s="1"/>
  <c r="X11" i="19"/>
  <c r="W11" i="19"/>
  <c r="V11" i="19"/>
  <c r="O11" i="19"/>
  <c r="N11" i="19"/>
  <c r="M11" i="19"/>
  <c r="L11" i="19"/>
  <c r="G11" i="19"/>
  <c r="F11" i="19"/>
  <c r="E11" i="19"/>
  <c r="D11" i="19"/>
  <c r="C11" i="19"/>
  <c r="B11" i="19"/>
  <c r="A11" i="19"/>
  <c r="Q11" i="19" s="1"/>
  <c r="X10" i="19"/>
  <c r="W10" i="19"/>
  <c r="V10" i="19"/>
  <c r="O10" i="19"/>
  <c r="N10" i="19"/>
  <c r="M10" i="19"/>
  <c r="L10" i="19"/>
  <c r="G10" i="19"/>
  <c r="F10" i="19"/>
  <c r="E10" i="19"/>
  <c r="D10" i="19"/>
  <c r="C10" i="19"/>
  <c r="B10" i="19"/>
  <c r="A10" i="19"/>
  <c r="Q10" i="19" s="1"/>
  <c r="X9" i="19"/>
  <c r="W9" i="19"/>
  <c r="V9" i="19"/>
  <c r="O9" i="19"/>
  <c r="N9" i="19"/>
  <c r="M9" i="19"/>
  <c r="L9" i="19"/>
  <c r="G9" i="19"/>
  <c r="F9" i="19"/>
  <c r="E9" i="19"/>
  <c r="D9" i="19"/>
  <c r="C9" i="19"/>
  <c r="B9" i="19"/>
  <c r="A9" i="19"/>
  <c r="Q9" i="19" s="1"/>
  <c r="X8" i="19"/>
  <c r="W8" i="19"/>
  <c r="V8" i="19"/>
  <c r="O8" i="19"/>
  <c r="N8" i="19"/>
  <c r="M8" i="19"/>
  <c r="L8" i="19"/>
  <c r="G8" i="19"/>
  <c r="F8" i="19"/>
  <c r="E8" i="19"/>
  <c r="D8" i="19"/>
  <c r="C8" i="19"/>
  <c r="B8" i="19"/>
  <c r="A8" i="19"/>
  <c r="Q8" i="19" s="1"/>
  <c r="Q19" i="19"/>
  <c r="Q14" i="19"/>
  <c r="T14" i="17"/>
  <c r="U14" i="17"/>
  <c r="V14" i="17"/>
  <c r="D14" i="17"/>
  <c r="E14" i="17"/>
  <c r="G14" i="17"/>
  <c r="L14" i="17"/>
  <c r="M14" i="17"/>
  <c r="N14" i="17"/>
  <c r="O14" i="17"/>
  <c r="A14" i="17"/>
  <c r="B14" i="17"/>
  <c r="C14" i="17"/>
  <c r="V18" i="17"/>
  <c r="U18" i="17"/>
  <c r="T18" i="17"/>
  <c r="O18" i="17"/>
  <c r="N18" i="17"/>
  <c r="M18" i="17"/>
  <c r="L18" i="17"/>
  <c r="G18" i="17"/>
  <c r="E18" i="17"/>
  <c r="H18" i="17" s="1"/>
  <c r="D18" i="17"/>
  <c r="C18" i="17"/>
  <c r="B18" i="17"/>
  <c r="A18" i="17"/>
  <c r="V17" i="17"/>
  <c r="U17" i="17"/>
  <c r="T17" i="17"/>
  <c r="O17" i="17"/>
  <c r="N17" i="17"/>
  <c r="M17" i="17"/>
  <c r="L17" i="17"/>
  <c r="G17" i="17"/>
  <c r="E17" i="17"/>
  <c r="D17" i="17"/>
  <c r="C17" i="17"/>
  <c r="B17" i="17"/>
  <c r="A17" i="17"/>
  <c r="V16" i="17"/>
  <c r="U16" i="17"/>
  <c r="T16" i="17"/>
  <c r="O16" i="17"/>
  <c r="N16" i="17"/>
  <c r="M16" i="17"/>
  <c r="L16" i="17"/>
  <c r="G16" i="17"/>
  <c r="E16" i="17"/>
  <c r="D16" i="17"/>
  <c r="C16" i="17"/>
  <c r="B16" i="17"/>
  <c r="A16" i="17"/>
  <c r="V15" i="17"/>
  <c r="U15" i="17"/>
  <c r="T15" i="17"/>
  <c r="O15" i="17"/>
  <c r="N15" i="17"/>
  <c r="M15" i="17"/>
  <c r="L15" i="17"/>
  <c r="G15" i="17"/>
  <c r="E15" i="17"/>
  <c r="D15" i="17"/>
  <c r="H15" i="17" s="1"/>
  <c r="I15" i="17" s="1"/>
  <c r="C15" i="17"/>
  <c r="B15" i="17"/>
  <c r="A15" i="17"/>
  <c r="V13" i="17"/>
  <c r="U13" i="17"/>
  <c r="T13" i="17"/>
  <c r="O13" i="17"/>
  <c r="N13" i="17"/>
  <c r="M13" i="17"/>
  <c r="L13" i="17"/>
  <c r="G13" i="17"/>
  <c r="E13" i="17"/>
  <c r="D13" i="17"/>
  <c r="C13" i="17"/>
  <c r="B13" i="17"/>
  <c r="A13" i="17"/>
  <c r="V12" i="17"/>
  <c r="U12" i="17"/>
  <c r="T12" i="17"/>
  <c r="O12" i="17"/>
  <c r="N12" i="17"/>
  <c r="M12" i="17"/>
  <c r="L12" i="17"/>
  <c r="G12" i="17"/>
  <c r="F12" i="17"/>
  <c r="E12" i="17"/>
  <c r="D12" i="17"/>
  <c r="C12" i="17"/>
  <c r="B12" i="17"/>
  <c r="A12" i="17"/>
  <c r="V11" i="17"/>
  <c r="U11" i="17"/>
  <c r="T11" i="17"/>
  <c r="O11" i="17"/>
  <c r="N11" i="17"/>
  <c r="M11" i="17"/>
  <c r="L11" i="17"/>
  <c r="G11" i="17"/>
  <c r="E11" i="17"/>
  <c r="D11" i="17"/>
  <c r="C11" i="17"/>
  <c r="B11" i="17"/>
  <c r="A11" i="17"/>
  <c r="V10" i="17"/>
  <c r="U10" i="17"/>
  <c r="T10" i="17"/>
  <c r="O10" i="17"/>
  <c r="N10" i="17"/>
  <c r="M10" i="17"/>
  <c r="L10" i="17"/>
  <c r="G10" i="17"/>
  <c r="F10" i="17"/>
  <c r="E10" i="17"/>
  <c r="D10" i="17"/>
  <c r="C10" i="17"/>
  <c r="B10" i="17"/>
  <c r="A10" i="17"/>
  <c r="V9" i="17"/>
  <c r="U9" i="17"/>
  <c r="T9" i="17"/>
  <c r="O9" i="17"/>
  <c r="N9" i="17"/>
  <c r="M9" i="17"/>
  <c r="L9" i="17"/>
  <c r="G9" i="17"/>
  <c r="E9" i="17"/>
  <c r="D9" i="17"/>
  <c r="C9" i="17"/>
  <c r="B9" i="17"/>
  <c r="A9" i="17"/>
  <c r="V8" i="17"/>
  <c r="U8" i="17"/>
  <c r="T8" i="17"/>
  <c r="O8" i="17"/>
  <c r="N8" i="17"/>
  <c r="M8" i="17"/>
  <c r="L8" i="17"/>
  <c r="E8" i="17"/>
  <c r="D8" i="17"/>
  <c r="H8" i="17" s="1"/>
  <c r="C8" i="17"/>
  <c r="B8" i="17"/>
  <c r="A8" i="17"/>
  <c r="V17" i="15"/>
  <c r="U17" i="15"/>
  <c r="T17" i="15"/>
  <c r="O17" i="15"/>
  <c r="N17" i="15"/>
  <c r="M17" i="15"/>
  <c r="L17" i="15"/>
  <c r="G17" i="15"/>
  <c r="E17" i="15"/>
  <c r="D17" i="15"/>
  <c r="H17" i="15" s="1"/>
  <c r="C17" i="15"/>
  <c r="B17" i="15"/>
  <c r="A17" i="15"/>
  <c r="V16" i="15"/>
  <c r="U16" i="15"/>
  <c r="T16" i="15"/>
  <c r="O16" i="15"/>
  <c r="N16" i="15"/>
  <c r="M16" i="15"/>
  <c r="L16" i="15"/>
  <c r="G16" i="15"/>
  <c r="E16" i="15"/>
  <c r="H16" i="15" s="1"/>
  <c r="D16" i="15"/>
  <c r="C16" i="15"/>
  <c r="B16" i="15"/>
  <c r="A16" i="15"/>
  <c r="V15" i="15"/>
  <c r="U15" i="15"/>
  <c r="T15" i="15"/>
  <c r="O15" i="15"/>
  <c r="N15" i="15"/>
  <c r="M15" i="15"/>
  <c r="L15" i="15"/>
  <c r="G15" i="15"/>
  <c r="E15" i="15"/>
  <c r="D15" i="15"/>
  <c r="C15" i="15"/>
  <c r="B15" i="15"/>
  <c r="A15" i="15"/>
  <c r="V14" i="15"/>
  <c r="U14" i="15"/>
  <c r="T14" i="15"/>
  <c r="O14" i="15"/>
  <c r="N14" i="15"/>
  <c r="M14" i="15"/>
  <c r="L14" i="15"/>
  <c r="G14" i="15"/>
  <c r="E14" i="15"/>
  <c r="D14" i="15"/>
  <c r="C14" i="15"/>
  <c r="B14" i="15"/>
  <c r="A14" i="15"/>
  <c r="V13" i="15"/>
  <c r="U13" i="15"/>
  <c r="T13" i="15"/>
  <c r="O13" i="15"/>
  <c r="N13" i="15"/>
  <c r="M13" i="15"/>
  <c r="L13" i="15"/>
  <c r="G13" i="15"/>
  <c r="E13" i="15"/>
  <c r="D13" i="15"/>
  <c r="H13" i="15" s="1"/>
  <c r="C13" i="15"/>
  <c r="B13" i="15"/>
  <c r="A13" i="15"/>
  <c r="V12" i="15"/>
  <c r="U12" i="15"/>
  <c r="T12" i="15"/>
  <c r="O12" i="15"/>
  <c r="N12" i="15"/>
  <c r="M12" i="15"/>
  <c r="L12" i="15"/>
  <c r="G12" i="15"/>
  <c r="F12" i="15"/>
  <c r="E12" i="15"/>
  <c r="D12" i="15"/>
  <c r="C12" i="15"/>
  <c r="B12" i="15"/>
  <c r="A12" i="15"/>
  <c r="V11" i="15"/>
  <c r="U11" i="15"/>
  <c r="T11" i="15"/>
  <c r="O11" i="15"/>
  <c r="N11" i="15"/>
  <c r="M11" i="15"/>
  <c r="L11" i="15"/>
  <c r="G11" i="15"/>
  <c r="E11" i="15"/>
  <c r="D11" i="15"/>
  <c r="H11" i="15" s="1"/>
  <c r="C11" i="15"/>
  <c r="B11" i="15"/>
  <c r="A11" i="15"/>
  <c r="V10" i="15"/>
  <c r="U10" i="15"/>
  <c r="T10" i="15"/>
  <c r="O10" i="15"/>
  <c r="N10" i="15"/>
  <c r="M10" i="15"/>
  <c r="L10" i="15"/>
  <c r="G10" i="15"/>
  <c r="F10" i="15"/>
  <c r="E10" i="15"/>
  <c r="H10" i="15" s="1"/>
  <c r="I10" i="15" s="1"/>
  <c r="D10" i="15"/>
  <c r="C10" i="15"/>
  <c r="B10" i="15"/>
  <c r="A10" i="15"/>
  <c r="V9" i="15"/>
  <c r="U9" i="15"/>
  <c r="T9" i="15"/>
  <c r="O9" i="15"/>
  <c r="N9" i="15"/>
  <c r="M9" i="15"/>
  <c r="L9" i="15"/>
  <c r="G9" i="15"/>
  <c r="E9" i="15"/>
  <c r="H9" i="15" s="1"/>
  <c r="I9" i="15" s="1"/>
  <c r="D9" i="15"/>
  <c r="C9" i="15"/>
  <c r="B9" i="15"/>
  <c r="A9" i="15"/>
  <c r="V8" i="15"/>
  <c r="U8" i="15"/>
  <c r="T8" i="15"/>
  <c r="O8" i="15"/>
  <c r="N8" i="15"/>
  <c r="M8" i="15"/>
  <c r="L8" i="15"/>
  <c r="E8" i="15"/>
  <c r="D8" i="15"/>
  <c r="H8" i="15"/>
  <c r="J8" i="15" s="1"/>
  <c r="C8" i="15"/>
  <c r="B8" i="15"/>
  <c r="A8" i="15"/>
  <c r="H14" i="15"/>
  <c r="J14" i="15" s="1"/>
  <c r="C10" i="2"/>
  <c r="C11" i="2"/>
  <c r="C13" i="2" s="1"/>
  <c r="C12" i="2"/>
  <c r="D10" i="2"/>
  <c r="D11" i="2"/>
  <c r="D12" i="2"/>
  <c r="E10" i="2"/>
  <c r="E11" i="2"/>
  <c r="E12" i="2"/>
  <c r="F10" i="2"/>
  <c r="F13" i="2" s="1"/>
  <c r="F14" i="2" s="1"/>
  <c r="F11" i="2"/>
  <c r="F12" i="2"/>
  <c r="D38" i="2"/>
  <c r="D41" i="2" s="1"/>
  <c r="D42" i="2" s="1"/>
  <c r="D39" i="2"/>
  <c r="D40" i="2"/>
  <c r="D31" i="2"/>
  <c r="D34" i="2" s="1"/>
  <c r="D35" i="2" s="1"/>
  <c r="D32" i="2"/>
  <c r="D33" i="2"/>
  <c r="D24" i="2"/>
  <c r="D25" i="2"/>
  <c r="D26" i="2"/>
  <c r="D17" i="2"/>
  <c r="D20" i="2" s="1"/>
  <c r="D21" i="2" s="1"/>
  <c r="D18" i="2"/>
  <c r="D19" i="2"/>
  <c r="C10" i="4"/>
  <c r="C11" i="4"/>
  <c r="C12" i="4"/>
  <c r="C13" i="4"/>
  <c r="D10" i="4"/>
  <c r="D12" i="4"/>
  <c r="D13" i="4"/>
  <c r="D14" i="4" s="1"/>
  <c r="D15" i="4" s="1"/>
  <c r="E10" i="4"/>
  <c r="E12" i="4"/>
  <c r="E13" i="4"/>
  <c r="F10" i="4"/>
  <c r="F12" i="4"/>
  <c r="F13" i="4"/>
  <c r="G10" i="4"/>
  <c r="G12" i="4"/>
  <c r="G14" i="4" s="1"/>
  <c r="G15" i="4" s="1"/>
  <c r="G13" i="4"/>
  <c r="D41" i="4"/>
  <c r="D40" i="4"/>
  <c r="D39" i="4"/>
  <c r="D34" i="4"/>
  <c r="D33" i="4"/>
  <c r="D32" i="4"/>
  <c r="D35" i="4" s="1"/>
  <c r="D36" i="4" s="1"/>
  <c r="D27" i="4"/>
  <c r="D26" i="4"/>
  <c r="D25" i="4"/>
  <c r="D20" i="4"/>
  <c r="D19" i="4"/>
  <c r="D18" i="4"/>
  <c r="D12" i="6"/>
  <c r="E12" i="6"/>
  <c r="E11" i="6"/>
  <c r="E14" i="6" s="1"/>
  <c r="E15" i="6" s="1"/>
  <c r="D41" i="6"/>
  <c r="D39" i="6"/>
  <c r="D42" i="6" s="1"/>
  <c r="D43" i="6" s="1"/>
  <c r="D40" i="6"/>
  <c r="D34" i="6"/>
  <c r="D33" i="6"/>
  <c r="D32" i="6"/>
  <c r="D35" i="6" s="1"/>
  <c r="D36" i="6" s="1"/>
  <c r="D27" i="6"/>
  <c r="D26" i="6"/>
  <c r="D25" i="6"/>
  <c r="D20" i="6"/>
  <c r="D19" i="6"/>
  <c r="D18" i="6"/>
  <c r="G13" i="6"/>
  <c r="G10" i="6"/>
  <c r="G14" i="6" s="1"/>
  <c r="G15" i="6" s="1"/>
  <c r="G12" i="6"/>
  <c r="F13" i="6"/>
  <c r="E13" i="6"/>
  <c r="D13" i="6"/>
  <c r="C13" i="6"/>
  <c r="F12" i="6"/>
  <c r="C12" i="6"/>
  <c r="C11" i="6"/>
  <c r="F10" i="6"/>
  <c r="F14" i="6" s="1"/>
  <c r="F15" i="6" s="1"/>
  <c r="E10" i="6"/>
  <c r="D10" i="6"/>
  <c r="D14" i="6" s="1"/>
  <c r="D15" i="6" s="1"/>
  <c r="C10" i="6"/>
  <c r="C14" i="6" s="1"/>
  <c r="G12" i="8"/>
  <c r="F12" i="8"/>
  <c r="E12" i="8"/>
  <c r="D12" i="8"/>
  <c r="D10" i="8"/>
  <c r="D11" i="8"/>
  <c r="D13" i="8"/>
  <c r="E11" i="8"/>
  <c r="E14" i="8" s="1"/>
  <c r="E15" i="8" s="1"/>
  <c r="F11" i="8"/>
  <c r="G11" i="8"/>
  <c r="C41" i="8"/>
  <c r="C40" i="8"/>
  <c r="C39" i="8"/>
  <c r="C34" i="8"/>
  <c r="C33" i="8"/>
  <c r="C32" i="8"/>
  <c r="C35" i="8" s="1"/>
  <c r="C36" i="8" s="1"/>
  <c r="C27" i="8"/>
  <c r="C26" i="8"/>
  <c r="C25" i="8"/>
  <c r="C20" i="8"/>
  <c r="C19" i="8"/>
  <c r="C18" i="8"/>
  <c r="C21" i="8" s="1"/>
  <c r="C22" i="8" s="1"/>
  <c r="C12" i="8"/>
  <c r="C11" i="8"/>
  <c r="C10" i="8"/>
  <c r="G13" i="8"/>
  <c r="F13" i="8"/>
  <c r="E13" i="8"/>
  <c r="C13" i="8"/>
  <c r="C14" i="8" s="1"/>
  <c r="G10" i="8"/>
  <c r="G14" i="8" s="1"/>
  <c r="G15" i="8" s="1"/>
  <c r="F10" i="8"/>
  <c r="E10" i="8"/>
  <c r="D8" i="11"/>
  <c r="E8" i="11"/>
  <c r="F8" i="11"/>
  <c r="G8" i="11"/>
  <c r="O8" i="11"/>
  <c r="G9" i="11"/>
  <c r="B9" i="11"/>
  <c r="B10" i="11"/>
  <c r="B11" i="11"/>
  <c r="B12" i="11"/>
  <c r="B13" i="11"/>
  <c r="B14" i="11"/>
  <c r="B15" i="11"/>
  <c r="B16" i="11"/>
  <c r="B8" i="11"/>
  <c r="V9" i="11"/>
  <c r="V10" i="11"/>
  <c r="V11" i="11"/>
  <c r="V12" i="11"/>
  <c r="V13" i="11"/>
  <c r="V14" i="11"/>
  <c r="V15" i="11"/>
  <c r="V16" i="11"/>
  <c r="V8" i="11"/>
  <c r="T9" i="11"/>
  <c r="U9" i="11"/>
  <c r="T10" i="11"/>
  <c r="U10" i="11"/>
  <c r="T11" i="11"/>
  <c r="U11" i="11"/>
  <c r="T12" i="11"/>
  <c r="U12" i="11"/>
  <c r="T13" i="11"/>
  <c r="U13" i="11"/>
  <c r="T14" i="11"/>
  <c r="U14" i="11"/>
  <c r="T15" i="11"/>
  <c r="U15" i="11"/>
  <c r="T16" i="11"/>
  <c r="U16" i="11"/>
  <c r="U8" i="11"/>
  <c r="T8" i="11"/>
  <c r="D9" i="11"/>
  <c r="E9" i="11"/>
  <c r="O9" i="11"/>
  <c r="D10" i="11"/>
  <c r="E10" i="11"/>
  <c r="F10" i="11"/>
  <c r="G10" i="11"/>
  <c r="H10" i="11" s="1"/>
  <c r="O10" i="11"/>
  <c r="D11" i="11"/>
  <c r="E11" i="11"/>
  <c r="G11" i="11"/>
  <c r="H11" i="11" s="1"/>
  <c r="O11" i="11"/>
  <c r="D12" i="11"/>
  <c r="E12" i="11"/>
  <c r="F12" i="11"/>
  <c r="G12" i="11"/>
  <c r="O12" i="11"/>
  <c r="D13" i="11"/>
  <c r="E13" i="11"/>
  <c r="H13" i="11" s="1"/>
  <c r="G13" i="11"/>
  <c r="O13" i="11"/>
  <c r="D14" i="11"/>
  <c r="E14" i="11"/>
  <c r="G14" i="11"/>
  <c r="O14" i="11"/>
  <c r="D15" i="11"/>
  <c r="E15" i="11"/>
  <c r="H15" i="11" s="1"/>
  <c r="G15" i="11"/>
  <c r="O15" i="11"/>
  <c r="D16" i="11"/>
  <c r="E16" i="11"/>
  <c r="G16" i="11"/>
  <c r="O16" i="11"/>
  <c r="L9" i="11"/>
  <c r="M9" i="11"/>
  <c r="N9" i="11"/>
  <c r="L10" i="11"/>
  <c r="M10" i="11"/>
  <c r="N10" i="11"/>
  <c r="L11" i="11"/>
  <c r="M11" i="11"/>
  <c r="N11" i="11"/>
  <c r="L12" i="11"/>
  <c r="M12" i="11"/>
  <c r="N12" i="11"/>
  <c r="L13" i="11"/>
  <c r="M13" i="11"/>
  <c r="N13" i="11"/>
  <c r="L14" i="11"/>
  <c r="M14" i="11"/>
  <c r="N14" i="11"/>
  <c r="L15" i="11"/>
  <c r="M15" i="11"/>
  <c r="N15" i="11"/>
  <c r="L16" i="11"/>
  <c r="M16" i="11"/>
  <c r="N16" i="11"/>
  <c r="M8" i="11"/>
  <c r="N8" i="11"/>
  <c r="L8" i="11"/>
  <c r="A9" i="11"/>
  <c r="C9" i="11"/>
  <c r="A10" i="11"/>
  <c r="C10" i="11"/>
  <c r="A11" i="11"/>
  <c r="C11" i="11"/>
  <c r="A12" i="11"/>
  <c r="C12" i="11"/>
  <c r="A13" i="11"/>
  <c r="C13" i="11"/>
  <c r="A14" i="11"/>
  <c r="C14" i="11"/>
  <c r="A15" i="11"/>
  <c r="C15" i="11"/>
  <c r="A16" i="11"/>
  <c r="C16" i="11"/>
  <c r="C8" i="11"/>
  <c r="A8" i="11"/>
  <c r="D13" i="13"/>
  <c r="E13" i="13"/>
  <c r="G13" i="13"/>
  <c r="N13" i="13"/>
  <c r="D12" i="13"/>
  <c r="E12" i="13"/>
  <c r="F12" i="13"/>
  <c r="G12" i="13"/>
  <c r="O12" i="13"/>
  <c r="D11" i="13"/>
  <c r="E11" i="13"/>
  <c r="G11" i="13"/>
  <c r="O11" i="13"/>
  <c r="D10" i="13"/>
  <c r="E10" i="13"/>
  <c r="F10" i="13"/>
  <c r="G10" i="13"/>
  <c r="O10" i="13"/>
  <c r="D9" i="13"/>
  <c r="E9" i="13"/>
  <c r="G9" i="13"/>
  <c r="O9" i="13"/>
  <c r="D8" i="13"/>
  <c r="E8" i="13"/>
  <c r="H8" i="13"/>
  <c r="I8" i="13" s="1"/>
  <c r="J8" i="13"/>
  <c r="P8" i="13" s="1"/>
  <c r="O8" i="13"/>
  <c r="T13" i="13"/>
  <c r="U13" i="13"/>
  <c r="V13" i="13"/>
  <c r="L13" i="13"/>
  <c r="M13" i="13"/>
  <c r="O13" i="13"/>
  <c r="A13" i="13"/>
  <c r="B13" i="13"/>
  <c r="C13" i="13"/>
  <c r="V17" i="13"/>
  <c r="U17" i="13"/>
  <c r="T17" i="13"/>
  <c r="O17" i="13"/>
  <c r="N17" i="13"/>
  <c r="M17" i="13"/>
  <c r="L17" i="13"/>
  <c r="G17" i="13"/>
  <c r="D17" i="13"/>
  <c r="H17" i="13" s="1"/>
  <c r="E17" i="13"/>
  <c r="C17" i="13"/>
  <c r="B17" i="13"/>
  <c r="A17" i="13"/>
  <c r="V16" i="13"/>
  <c r="U16" i="13"/>
  <c r="T16" i="13"/>
  <c r="O16" i="13"/>
  <c r="N16" i="13"/>
  <c r="M16" i="13"/>
  <c r="L16" i="13"/>
  <c r="G16" i="13"/>
  <c r="E16" i="13"/>
  <c r="D16" i="13"/>
  <c r="C16" i="13"/>
  <c r="B16" i="13"/>
  <c r="A16" i="13"/>
  <c r="V15" i="13"/>
  <c r="U15" i="13"/>
  <c r="T15" i="13"/>
  <c r="O15" i="13"/>
  <c r="N15" i="13"/>
  <c r="M15" i="13"/>
  <c r="L15" i="13"/>
  <c r="G15" i="13"/>
  <c r="E15" i="13"/>
  <c r="D15" i="13"/>
  <c r="C15" i="13"/>
  <c r="B15" i="13"/>
  <c r="A15" i="13"/>
  <c r="V14" i="13"/>
  <c r="U14" i="13"/>
  <c r="T14" i="13"/>
  <c r="O14" i="13"/>
  <c r="N14" i="13"/>
  <c r="M14" i="13"/>
  <c r="L14" i="13"/>
  <c r="G14" i="13"/>
  <c r="E14" i="13"/>
  <c r="D14" i="13"/>
  <c r="C14" i="13"/>
  <c r="B14" i="13"/>
  <c r="A14" i="13"/>
  <c r="V12" i="13"/>
  <c r="U12" i="13"/>
  <c r="T12" i="13"/>
  <c r="N12" i="13"/>
  <c r="M12" i="13"/>
  <c r="L12" i="13"/>
  <c r="C12" i="13"/>
  <c r="B12" i="13"/>
  <c r="A12" i="13"/>
  <c r="V11" i="13"/>
  <c r="U11" i="13"/>
  <c r="T11" i="13"/>
  <c r="N11" i="13"/>
  <c r="M11" i="13"/>
  <c r="L11" i="13"/>
  <c r="C11" i="13"/>
  <c r="B11" i="13"/>
  <c r="A11" i="13"/>
  <c r="V10" i="13"/>
  <c r="U10" i="13"/>
  <c r="T10" i="13"/>
  <c r="N10" i="13"/>
  <c r="M10" i="13"/>
  <c r="L10" i="13"/>
  <c r="C10" i="13"/>
  <c r="B10" i="13"/>
  <c r="A10" i="13"/>
  <c r="V9" i="13"/>
  <c r="U9" i="13"/>
  <c r="T9" i="13"/>
  <c r="N9" i="13"/>
  <c r="M9" i="13"/>
  <c r="L9" i="13"/>
  <c r="C9" i="13"/>
  <c r="B9" i="13"/>
  <c r="A9" i="13"/>
  <c r="V8" i="13"/>
  <c r="U8" i="13"/>
  <c r="T8" i="13"/>
  <c r="N8" i="13"/>
  <c r="M8" i="13"/>
  <c r="L8" i="13"/>
  <c r="C8" i="13"/>
  <c r="B8" i="13"/>
  <c r="A8" i="13"/>
  <c r="D28" i="6"/>
  <c r="D29" i="6"/>
  <c r="D21" i="4"/>
  <c r="D22" i="4" s="1"/>
  <c r="E14" i="4"/>
  <c r="E15" i="4" s="1"/>
  <c r="D27" i="2"/>
  <c r="D28" i="2" s="1"/>
  <c r="E13" i="2"/>
  <c r="E14" i="2"/>
  <c r="F14" i="4"/>
  <c r="F15" i="4"/>
  <c r="C14" i="4"/>
  <c r="C15" i="4" s="1"/>
  <c r="H15" i="13"/>
  <c r="J15" i="13" s="1"/>
  <c r="H10" i="13"/>
  <c r="J10" i="13" s="1"/>
  <c r="H9" i="11"/>
  <c r="I9" i="11" s="1"/>
  <c r="C28" i="8"/>
  <c r="C29" i="8" s="1"/>
  <c r="C42" i="8"/>
  <c r="C43" i="8" s="1"/>
  <c r="F14" i="8"/>
  <c r="F15" i="8"/>
  <c r="D14" i="8"/>
  <c r="D15" i="8"/>
  <c r="D21" i="6"/>
  <c r="D22" i="6"/>
  <c r="D28" i="4"/>
  <c r="D29" i="4" s="1"/>
  <c r="D42" i="4"/>
  <c r="D43" i="4"/>
  <c r="D13" i="2"/>
  <c r="D14" i="2"/>
  <c r="I12" i="25" l="1"/>
  <c r="J9" i="25"/>
  <c r="K9" i="25" s="1"/>
  <c r="I14" i="25"/>
  <c r="J18" i="25"/>
  <c r="K18" i="25" s="1"/>
  <c r="I10" i="25"/>
  <c r="R16" i="25"/>
  <c r="R15" i="25"/>
  <c r="I8" i="25"/>
  <c r="I19" i="25"/>
  <c r="S20" i="25"/>
  <c r="U20" i="25" s="1"/>
  <c r="R10" i="25"/>
  <c r="R18" i="25"/>
  <c r="T18" i="25" s="1"/>
  <c r="R9" i="25"/>
  <c r="T9" i="25" s="1"/>
  <c r="R17" i="25"/>
  <c r="T17" i="25" s="1"/>
  <c r="R11" i="25"/>
  <c r="T11" i="25" s="1"/>
  <c r="R12" i="25"/>
  <c r="R14" i="25"/>
  <c r="R19" i="25"/>
  <c r="R13" i="25"/>
  <c r="R8" i="25"/>
  <c r="I15" i="23"/>
  <c r="J10" i="21"/>
  <c r="K10" i="21" s="1"/>
  <c r="R13" i="21"/>
  <c r="T13" i="21" s="1"/>
  <c r="I12" i="21"/>
  <c r="J17" i="21"/>
  <c r="K17" i="21" s="1"/>
  <c r="I18" i="23"/>
  <c r="I13" i="23"/>
  <c r="I11" i="23"/>
  <c r="I17" i="23"/>
  <c r="I16" i="23"/>
  <c r="J12" i="23"/>
  <c r="K12" i="23" s="1"/>
  <c r="R15" i="23"/>
  <c r="T15" i="23" s="1"/>
  <c r="R8" i="23"/>
  <c r="T8" i="23" s="1"/>
  <c r="I9" i="23"/>
  <c r="J14" i="23"/>
  <c r="K14" i="23" s="1"/>
  <c r="R16" i="23"/>
  <c r="T16" i="23" s="1"/>
  <c r="I10" i="23"/>
  <c r="R9" i="23"/>
  <c r="T9" i="23" s="1"/>
  <c r="R18" i="23"/>
  <c r="R11" i="23"/>
  <c r="R17" i="23"/>
  <c r="R10" i="23"/>
  <c r="R13" i="23"/>
  <c r="K12" i="21"/>
  <c r="R12" i="21"/>
  <c r="T12" i="21" s="1"/>
  <c r="R18" i="21"/>
  <c r="T18" i="21" s="1"/>
  <c r="G13" i="2"/>
  <c r="C14" i="2"/>
  <c r="G14" i="2" s="1"/>
  <c r="H14" i="6"/>
  <c r="C15" i="6"/>
  <c r="H15" i="6" s="1"/>
  <c r="H15" i="4"/>
  <c r="H14" i="8"/>
  <c r="C15" i="8"/>
  <c r="H15" i="8" s="1"/>
  <c r="H14" i="11"/>
  <c r="I14" i="11" s="1"/>
  <c r="H12" i="15"/>
  <c r="H15" i="15"/>
  <c r="I15" i="15" s="1"/>
  <c r="H13" i="17"/>
  <c r="J13" i="17" s="1"/>
  <c r="K13" i="17" s="1"/>
  <c r="P13" i="17" s="1"/>
  <c r="R13" i="17" s="1"/>
  <c r="H17" i="17"/>
  <c r="H8" i="11"/>
  <c r="J8" i="11" s="1"/>
  <c r="H12" i="13"/>
  <c r="I12" i="13" s="1"/>
  <c r="I8" i="15"/>
  <c r="H12" i="11"/>
  <c r="I12" i="11" s="1"/>
  <c r="K8" i="13"/>
  <c r="H14" i="4"/>
  <c r="R16" i="21"/>
  <c r="T16" i="21" s="1"/>
  <c r="H16" i="11"/>
  <c r="H12" i="17"/>
  <c r="J12" i="17" s="1"/>
  <c r="K12" i="17" s="1"/>
  <c r="H14" i="13"/>
  <c r="I14" i="13" s="1"/>
  <c r="H16" i="13"/>
  <c r="I16" i="13" s="1"/>
  <c r="H9" i="13"/>
  <c r="J9" i="13" s="1"/>
  <c r="H11" i="13"/>
  <c r="H13" i="13"/>
  <c r="R10" i="21"/>
  <c r="T10" i="21" s="1"/>
  <c r="R15" i="21"/>
  <c r="T15" i="21" s="1"/>
  <c r="R14" i="21"/>
  <c r="T14" i="21" s="1"/>
  <c r="R19" i="21"/>
  <c r="T19" i="21" s="1"/>
  <c r="R11" i="21"/>
  <c r="T11" i="21" s="1"/>
  <c r="S8" i="21"/>
  <c r="U8" i="21" s="1"/>
  <c r="S13" i="21"/>
  <c r="U13" i="21" s="1"/>
  <c r="S9" i="21"/>
  <c r="U9" i="21" s="1"/>
  <c r="J16" i="11"/>
  <c r="I16" i="11"/>
  <c r="J10" i="11"/>
  <c r="I10" i="11"/>
  <c r="I15" i="11"/>
  <c r="J15" i="11"/>
  <c r="I13" i="11"/>
  <c r="J13" i="11"/>
  <c r="J11" i="11"/>
  <c r="I11" i="11"/>
  <c r="J9" i="11"/>
  <c r="I13" i="13"/>
  <c r="J13" i="13"/>
  <c r="I11" i="13"/>
  <c r="J11" i="13"/>
  <c r="Q8" i="13"/>
  <c r="S8" i="13" s="1"/>
  <c r="R8" i="13"/>
  <c r="K15" i="13"/>
  <c r="P15" i="13"/>
  <c r="J14" i="13"/>
  <c r="J16" i="13"/>
  <c r="I9" i="13"/>
  <c r="J12" i="13"/>
  <c r="K10" i="13"/>
  <c r="P10" i="13"/>
  <c r="J17" i="13"/>
  <c r="I17" i="13"/>
  <c r="I15" i="13"/>
  <c r="I10" i="13"/>
  <c r="P14" i="15"/>
  <c r="K14" i="15"/>
  <c r="I12" i="15"/>
  <c r="J12" i="15"/>
  <c r="I13" i="15"/>
  <c r="J13" i="15"/>
  <c r="J15" i="15"/>
  <c r="I17" i="15"/>
  <c r="J17" i="15"/>
  <c r="K8" i="15"/>
  <c r="P8" i="15"/>
  <c r="I11" i="15"/>
  <c r="J11" i="15"/>
  <c r="I16" i="15"/>
  <c r="J16" i="15"/>
  <c r="J10" i="15"/>
  <c r="J9" i="15"/>
  <c r="I14" i="15"/>
  <c r="H9" i="17"/>
  <c r="J9" i="17" s="1"/>
  <c r="H10" i="17"/>
  <c r="J10" i="17" s="1"/>
  <c r="H16" i="17"/>
  <c r="I16" i="17" s="1"/>
  <c r="H11" i="17"/>
  <c r="J11" i="17" s="1"/>
  <c r="K11" i="17" s="1"/>
  <c r="P11" i="17" s="1"/>
  <c r="H14" i="17"/>
  <c r="J14" i="17" s="1"/>
  <c r="P12" i="17"/>
  <c r="J17" i="17"/>
  <c r="K17" i="17" s="1"/>
  <c r="P17" i="17" s="1"/>
  <c r="I17" i="17"/>
  <c r="I18" i="17"/>
  <c r="J18" i="17"/>
  <c r="K18" i="17" s="1"/>
  <c r="P18" i="17" s="1"/>
  <c r="Q13" i="17"/>
  <c r="S13" i="17" s="1"/>
  <c r="J8" i="17"/>
  <c r="I8" i="17"/>
  <c r="I14" i="17"/>
  <c r="J16" i="17"/>
  <c r="K16" i="17" s="1"/>
  <c r="P16" i="17" s="1"/>
  <c r="J15" i="17"/>
  <c r="K15" i="17" s="1"/>
  <c r="P15" i="17" s="1"/>
  <c r="P9" i="19"/>
  <c r="P10" i="19"/>
  <c r="H11" i="19"/>
  <c r="I11" i="19" s="1"/>
  <c r="P11" i="19"/>
  <c r="H12" i="19"/>
  <c r="P12" i="19"/>
  <c r="H13" i="19"/>
  <c r="I13" i="19" s="1"/>
  <c r="P13" i="19"/>
  <c r="H14" i="19"/>
  <c r="J14" i="19" s="1"/>
  <c r="P14" i="19"/>
  <c r="H16" i="19"/>
  <c r="I16" i="19" s="1"/>
  <c r="P16" i="19"/>
  <c r="H17" i="19"/>
  <c r="J17" i="19" s="1"/>
  <c r="P17" i="19"/>
  <c r="H18" i="19"/>
  <c r="J18" i="19" s="1"/>
  <c r="P18" i="19"/>
  <c r="P19" i="19"/>
  <c r="P15" i="19"/>
  <c r="H8" i="19"/>
  <c r="J8" i="19" s="1"/>
  <c r="P8" i="19"/>
  <c r="H9" i="19"/>
  <c r="I9" i="19" s="1"/>
  <c r="H19" i="19"/>
  <c r="I19" i="19" s="1"/>
  <c r="I12" i="19"/>
  <c r="J12" i="19"/>
  <c r="J13" i="19"/>
  <c r="I14" i="19"/>
  <c r="H15" i="19"/>
  <c r="I15" i="19" s="1"/>
  <c r="H10" i="19"/>
  <c r="J10" i="19" s="1"/>
  <c r="T15" i="25" l="1"/>
  <c r="S15" i="25"/>
  <c r="U15" i="25" s="1"/>
  <c r="T16" i="25"/>
  <c r="S16" i="25"/>
  <c r="U16" i="25" s="1"/>
  <c r="S18" i="25"/>
  <c r="U18" i="25" s="1"/>
  <c r="S9" i="25"/>
  <c r="U9" i="25" s="1"/>
  <c r="T10" i="25"/>
  <c r="S10" i="25"/>
  <c r="U10" i="25" s="1"/>
  <c r="S17" i="25"/>
  <c r="U17" i="25" s="1"/>
  <c r="S11" i="25"/>
  <c r="U11" i="25" s="1"/>
  <c r="T8" i="25"/>
  <c r="S8" i="25"/>
  <c r="U8" i="25" s="1"/>
  <c r="T19" i="25"/>
  <c r="S19" i="25"/>
  <c r="U19" i="25" s="1"/>
  <c r="T13" i="25"/>
  <c r="S13" i="25"/>
  <c r="U13" i="25" s="1"/>
  <c r="T14" i="25"/>
  <c r="S14" i="25"/>
  <c r="U14" i="25" s="1"/>
  <c r="T12" i="25"/>
  <c r="S12" i="25"/>
  <c r="U12" i="25" s="1"/>
  <c r="J16" i="19"/>
  <c r="I18" i="19"/>
  <c r="J11" i="19"/>
  <c r="R11" i="19" s="1"/>
  <c r="J9" i="19"/>
  <c r="I17" i="19"/>
  <c r="S18" i="21"/>
  <c r="U18" i="21" s="1"/>
  <c r="S12" i="21"/>
  <c r="U12" i="21" s="1"/>
  <c r="R17" i="21"/>
  <c r="S15" i="23"/>
  <c r="U15" i="23" s="1"/>
  <c r="S16" i="23"/>
  <c r="U16" i="23" s="1"/>
  <c r="S8" i="23"/>
  <c r="U8" i="23" s="1"/>
  <c r="R12" i="23"/>
  <c r="T12" i="23" s="1"/>
  <c r="R14" i="23"/>
  <c r="S14" i="23" s="1"/>
  <c r="U14" i="23" s="1"/>
  <c r="S9" i="23"/>
  <c r="U9" i="23" s="1"/>
  <c r="T13" i="23"/>
  <c r="S13" i="23"/>
  <c r="U13" i="23" s="1"/>
  <c r="T17" i="23"/>
  <c r="S17" i="23"/>
  <c r="U17" i="23" s="1"/>
  <c r="T10" i="23"/>
  <c r="S10" i="23"/>
  <c r="U10" i="23" s="1"/>
  <c r="T18" i="23"/>
  <c r="S18" i="23"/>
  <c r="U18" i="23" s="1"/>
  <c r="T11" i="23"/>
  <c r="S11" i="23"/>
  <c r="U11" i="23" s="1"/>
  <c r="S16" i="21"/>
  <c r="U16" i="21" s="1"/>
  <c r="S15" i="21"/>
  <c r="U15" i="21" s="1"/>
  <c r="I11" i="17"/>
  <c r="J12" i="11"/>
  <c r="S10" i="21"/>
  <c r="U10" i="21" s="1"/>
  <c r="S14" i="21"/>
  <c r="U14" i="21" s="1"/>
  <c r="I8" i="19"/>
  <c r="I12" i="17"/>
  <c r="S11" i="21"/>
  <c r="U11" i="21" s="1"/>
  <c r="I13" i="17"/>
  <c r="I10" i="17"/>
  <c r="I8" i="11"/>
  <c r="J14" i="11"/>
  <c r="P14" i="11" s="1"/>
  <c r="I9" i="17"/>
  <c r="S19" i="21"/>
  <c r="U19" i="21" s="1"/>
  <c r="K12" i="11"/>
  <c r="P12" i="11"/>
  <c r="K14" i="11"/>
  <c r="K8" i="11"/>
  <c r="P8" i="11"/>
  <c r="P10" i="11"/>
  <c r="K10" i="11"/>
  <c r="P13" i="11"/>
  <c r="K13" i="11"/>
  <c r="K15" i="11"/>
  <c r="P15" i="11"/>
  <c r="K9" i="11"/>
  <c r="P9" i="11"/>
  <c r="K11" i="11"/>
  <c r="P11" i="11"/>
  <c r="P16" i="11"/>
  <c r="K16" i="11"/>
  <c r="P12" i="13"/>
  <c r="K12" i="13"/>
  <c r="K16" i="13"/>
  <c r="P16" i="13"/>
  <c r="R15" i="13"/>
  <c r="Q15" i="13"/>
  <c r="S15" i="13" s="1"/>
  <c r="K11" i="13"/>
  <c r="P11" i="13"/>
  <c r="P17" i="13"/>
  <c r="K17" i="13"/>
  <c r="R10" i="13"/>
  <c r="Q10" i="13"/>
  <c r="S10" i="13" s="1"/>
  <c r="K9" i="13"/>
  <c r="P9" i="13"/>
  <c r="P14" i="13"/>
  <c r="K14" i="13"/>
  <c r="K13" i="13"/>
  <c r="P13" i="13"/>
  <c r="P16" i="15"/>
  <c r="K16" i="15"/>
  <c r="P9" i="15"/>
  <c r="K9" i="15"/>
  <c r="P17" i="15"/>
  <c r="K17" i="15"/>
  <c r="P13" i="15"/>
  <c r="K13" i="15"/>
  <c r="R8" i="15"/>
  <c r="Q8" i="15"/>
  <c r="S8" i="15" s="1"/>
  <c r="K12" i="15"/>
  <c r="P12" i="15"/>
  <c r="K15" i="15"/>
  <c r="P15" i="15"/>
  <c r="P11" i="15"/>
  <c r="K11" i="15"/>
  <c r="P10" i="15"/>
  <c r="K10" i="15"/>
  <c r="Q14" i="15"/>
  <c r="S14" i="15" s="1"/>
  <c r="R14" i="15"/>
  <c r="R11" i="17"/>
  <c r="Q11" i="17"/>
  <c r="S11" i="17" s="1"/>
  <c r="R18" i="17"/>
  <c r="Q18" i="17"/>
  <c r="S18" i="17" s="1"/>
  <c r="Q16" i="17"/>
  <c r="S16" i="17" s="1"/>
  <c r="R16" i="17"/>
  <c r="R12" i="17"/>
  <c r="Q12" i="17"/>
  <c r="S12" i="17" s="1"/>
  <c r="Q15" i="17"/>
  <c r="S15" i="17" s="1"/>
  <c r="R15" i="17"/>
  <c r="K9" i="17"/>
  <c r="P9" i="17"/>
  <c r="P10" i="17"/>
  <c r="K10" i="17"/>
  <c r="P14" i="17"/>
  <c r="K14" i="17"/>
  <c r="K8" i="17"/>
  <c r="P8" i="17"/>
  <c r="R17" i="17"/>
  <c r="Q17" i="17"/>
  <c r="S17" i="17" s="1"/>
  <c r="J15" i="19"/>
  <c r="J19" i="19"/>
  <c r="K19" i="19" s="1"/>
  <c r="R16" i="19"/>
  <c r="K16" i="19"/>
  <c r="R13" i="19"/>
  <c r="K13" i="19"/>
  <c r="R18" i="19"/>
  <c r="K18" i="19"/>
  <c r="R8" i="19"/>
  <c r="K8" i="19"/>
  <c r="K12" i="19"/>
  <c r="R12" i="19"/>
  <c r="R17" i="19"/>
  <c r="K17" i="19"/>
  <c r="K14" i="19"/>
  <c r="R14" i="19"/>
  <c r="R9" i="19"/>
  <c r="K9" i="19"/>
  <c r="R15" i="19"/>
  <c r="K15" i="19"/>
  <c r="K10" i="19"/>
  <c r="R10" i="19"/>
  <c r="S10" i="19" s="1"/>
  <c r="U10" i="19" s="1"/>
  <c r="I10" i="19"/>
  <c r="K11" i="19" l="1"/>
  <c r="T17" i="21"/>
  <c r="S17" i="21"/>
  <c r="U17" i="21" s="1"/>
  <c r="S12" i="23"/>
  <c r="U12" i="23" s="1"/>
  <c r="T14" i="23"/>
  <c r="Q9" i="11"/>
  <c r="S9" i="11" s="1"/>
  <c r="R9" i="11"/>
  <c r="R8" i="11"/>
  <c r="Q8" i="11"/>
  <c r="S8" i="11" s="1"/>
  <c r="R11" i="11"/>
  <c r="Q11" i="11"/>
  <c r="S11" i="11" s="1"/>
  <c r="R15" i="11"/>
  <c r="Q15" i="11"/>
  <c r="S15" i="11" s="1"/>
  <c r="R14" i="11"/>
  <c r="Q14" i="11"/>
  <c r="S14" i="11" s="1"/>
  <c r="Q10" i="11"/>
  <c r="S10" i="11" s="1"/>
  <c r="R10" i="11"/>
  <c r="Q12" i="11"/>
  <c r="S12" i="11" s="1"/>
  <c r="R12" i="11"/>
  <c r="R16" i="11"/>
  <c r="Q16" i="11"/>
  <c r="S16" i="11" s="1"/>
  <c r="R13" i="11"/>
  <c r="Q13" i="11"/>
  <c r="S13" i="11" s="1"/>
  <c r="R16" i="13"/>
  <c r="Q16" i="13"/>
  <c r="S16" i="13" s="1"/>
  <c r="R13" i="13"/>
  <c r="Q13" i="13"/>
  <c r="S13" i="13" s="1"/>
  <c r="Q11" i="13"/>
  <c r="S11" i="13" s="1"/>
  <c r="R11" i="13"/>
  <c r="R14" i="13"/>
  <c r="Q14" i="13"/>
  <c r="S14" i="13" s="1"/>
  <c r="Q9" i="13"/>
  <c r="S9" i="13" s="1"/>
  <c r="R9" i="13"/>
  <c r="R17" i="13"/>
  <c r="Q17" i="13"/>
  <c r="S17" i="13" s="1"/>
  <c r="Q12" i="13"/>
  <c r="S12" i="13" s="1"/>
  <c r="R12" i="13"/>
  <c r="R15" i="15"/>
  <c r="Q15" i="15"/>
  <c r="S15" i="15" s="1"/>
  <c r="R12" i="15"/>
  <c r="Q12" i="15"/>
  <c r="S12" i="15" s="1"/>
  <c r="Q11" i="15"/>
  <c r="S11" i="15" s="1"/>
  <c r="R11" i="15"/>
  <c r="Q13" i="15"/>
  <c r="S13" i="15" s="1"/>
  <c r="R13" i="15"/>
  <c r="Q9" i="15"/>
  <c r="S9" i="15" s="1"/>
  <c r="R9" i="15"/>
  <c r="R10" i="15"/>
  <c r="Q10" i="15"/>
  <c r="S10" i="15" s="1"/>
  <c r="R17" i="15"/>
  <c r="Q17" i="15"/>
  <c r="S17" i="15" s="1"/>
  <c r="R16" i="15"/>
  <c r="Q16" i="15"/>
  <c r="S16" i="15" s="1"/>
  <c r="Q9" i="17"/>
  <c r="S9" i="17" s="1"/>
  <c r="R9" i="17"/>
  <c r="R14" i="17"/>
  <c r="Q14" i="17"/>
  <c r="S14" i="17" s="1"/>
  <c r="Q8" i="17"/>
  <c r="S8" i="17" s="1"/>
  <c r="R8" i="17"/>
  <c r="Q10" i="17"/>
  <c r="S10" i="17" s="1"/>
  <c r="R10" i="17"/>
  <c r="R19" i="19"/>
  <c r="S19" i="19" s="1"/>
  <c r="U19" i="19" s="1"/>
  <c r="S12" i="19"/>
  <c r="U12" i="19" s="1"/>
  <c r="T12" i="19"/>
  <c r="S9" i="19"/>
  <c r="U9" i="19" s="1"/>
  <c r="T9" i="19"/>
  <c r="S17" i="19"/>
  <c r="U17" i="19" s="1"/>
  <c r="T17" i="19"/>
  <c r="T18" i="19"/>
  <c r="S18" i="19"/>
  <c r="U18" i="19" s="1"/>
  <c r="S13" i="19"/>
  <c r="U13" i="19" s="1"/>
  <c r="T13" i="19"/>
  <c r="T14" i="19"/>
  <c r="S14" i="19"/>
  <c r="U14" i="19" s="1"/>
  <c r="S8" i="19"/>
  <c r="U8" i="19" s="1"/>
  <c r="T8" i="19"/>
  <c r="T11" i="19"/>
  <c r="S11" i="19"/>
  <c r="U11" i="19" s="1"/>
  <c r="S16" i="19"/>
  <c r="U16" i="19" s="1"/>
  <c r="T16" i="19"/>
  <c r="S15" i="19"/>
  <c r="U15" i="19" s="1"/>
  <c r="T15" i="19"/>
  <c r="T10" i="19"/>
  <c r="T19" i="1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Q7" authorId="0" shapeId="0" xr:uid="{51B1E9F3-598F-BD46-A2B0-64FFFC04A84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K1" authorId="0" shapeId="0" xr:uid="{5ECC7393-CD94-194D-90B1-7A8C25A53FD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1st step and 2nd step have been multipled by 1.5 in the 1st block and 2nd block formulas </t>
        </r>
        <r>
          <rPr>
            <sz val="10"/>
            <color rgb="FF000000"/>
            <rFont val="Verdana"/>
            <family val="2"/>
          </rPr>
          <t xml:space="preserve">(as well as balance) </t>
        </r>
        <r>
          <rPr>
            <sz val="10"/>
            <color rgb="FF000000"/>
            <rFont val="Tahoma"/>
            <family val="2"/>
          </rPr>
          <t>in order to convert from bi-monthly to quarterly consumption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K1" authorId="0" shapeId="0" xr:uid="{4FF23200-D5DB-A444-8016-FFD1B38D0E2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1st step and 2nd step have been multipled by 1.5 in the 1st block and 2nd block formulas </t>
        </r>
        <r>
          <rPr>
            <sz val="10"/>
            <color rgb="FF000000"/>
            <rFont val="Verdana"/>
            <family val="2"/>
          </rPr>
          <t xml:space="preserve">(as well as balance) </t>
        </r>
        <r>
          <rPr>
            <sz val="10"/>
            <color rgb="FF000000"/>
            <rFont val="Tahoma"/>
            <family val="2"/>
          </rPr>
          <t>in order to convert from bi-monthly to quarterly consumption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K1" authorId="0" shapeId="0" xr:uid="{7EAB911C-F0A7-9747-AEA2-6E5F9509DF7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1st step and 2nd step have been multipled by 1.5 in the 1st block and 2nd block formulas </t>
        </r>
        <r>
          <rPr>
            <sz val="10"/>
            <color rgb="FF000000"/>
            <rFont val="Verdana"/>
            <family val="2"/>
          </rPr>
          <t xml:space="preserve">(as well as balance) </t>
        </r>
        <r>
          <rPr>
            <sz val="10"/>
            <color rgb="FF000000"/>
            <rFont val="Tahoma"/>
            <family val="2"/>
          </rPr>
          <t>in order to convert from bi-monthly to quarterly consumption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K1" authorId="0" shapeId="0" xr:uid="{7E2B38C6-91C9-E740-84C8-9FD2807E6C4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1st step and 2nd step have been multipled by 1.5 in the 1st block and 2nd block formulas </t>
        </r>
        <r>
          <rPr>
            <sz val="10"/>
            <color rgb="FF000000"/>
            <rFont val="Verdana"/>
            <family val="2"/>
          </rPr>
          <t xml:space="preserve">(as well as balance) </t>
        </r>
        <r>
          <rPr>
            <sz val="10"/>
            <color rgb="FF000000"/>
            <rFont val="Tahoma"/>
            <family val="2"/>
          </rPr>
          <t>in order to convert from bi-monthly to quarterly consumption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4" authorId="0" shapeId="0" xr:uid="{EB20436E-9440-454D-ADD1-5E8DFBB67207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1st and 2nd block combined</t>
        </r>
      </text>
    </comment>
    <comment ref="K6" authorId="0" shapeId="0" xr:uid="{49EBFBFF-891F-BD4D-8EC9-2909A36E97B9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4" authorId="0" shapeId="0" xr:uid="{AB337D01-816A-A048-B73E-073D581698B3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1st and 2nd block combined</t>
        </r>
      </text>
    </comment>
    <comment ref="K6" authorId="0" shapeId="0" xr:uid="{7C971148-E20B-A346-B740-7CE7944B16C5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1st and 2nd block combined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4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2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  <comment ref="K4" authorId="0" shapeId="0" xr:uid="{00000000-0006-0000-08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  <comment ref="K6" authorId="0" shapeId="0" xr:uid="{00000000-0006-0000-08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1st and 2nd block combined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6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  <comment ref="E6" authorId="1" shapeId="0" xr:uid="{00000000-0006-0000-09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6" authorId="0" shapeId="0" xr:uid="{00000000-0006-0000-0900-000003000000}">
      <text>
        <r>
          <rPr>
            <b/>
            <sz val="9"/>
            <color indexed="81"/>
            <rFont val="Arial"/>
            <family val="2"/>
          </rPr>
          <t>May Johnston: 
Savers</t>
        </r>
        <r>
          <rPr>
            <sz val="9"/>
            <color indexed="81"/>
            <rFont val="Arial"/>
            <family val="2"/>
          </rPr>
          <t xml:space="preserve">
</t>
        </r>
      </text>
    </comment>
    <comment ref="G6" authorId="1" shapeId="0" xr:uid="{00000000-0006-0000-09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H6" authorId="1" shapeId="0" xr:uid="{00000000-0006-0000-09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 - Only available in conjunction with electricity</t>
        </r>
      </text>
    </comment>
    <comment ref="I6" authorId="1" shapeId="0" xr:uid="{00000000-0006-0000-09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Fair Deal - only available in conjunction with electricity</t>
        </r>
      </text>
    </comment>
    <comment ref="F7" authorId="1" shapeId="0" xr:uid="{00000000-0006-0000-09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27.4725 Mj/day</t>
        </r>
      </text>
    </comment>
    <comment ref="G7" authorId="1" shapeId="0" xr:uid="{00000000-0006-0000-09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27.4725 Mj/day</t>
        </r>
      </text>
    </comment>
    <comment ref="I7" authorId="1" shapeId="0" xr:uid="{00000000-0006-0000-09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49.4506 Mj/day</t>
        </r>
      </text>
    </comment>
    <comment ref="F8" authorId="1" shapeId="0" xr:uid="{00000000-0006-0000-09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21.978 Mj/day</t>
        </r>
      </text>
    </comment>
    <comment ref="G8" authorId="1" shapeId="0" xr:uid="{00000000-0006-0000-09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21.978 Mj/day</t>
        </r>
      </text>
    </comment>
    <comment ref="E39" authorId="1" shapeId="0" xr:uid="{00000000-0006-0000-0900-00000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F39" authorId="0" shapeId="0" xr:uid="{00000000-0006-0000-0900-00000D000000}">
      <text>
        <r>
          <rPr>
            <b/>
            <sz val="9"/>
            <color indexed="81"/>
            <rFont val="Arial"/>
            <family val="2"/>
          </rPr>
          <t>May Johnston: 
Savers</t>
        </r>
        <r>
          <rPr>
            <sz val="9"/>
            <color indexed="81"/>
            <rFont val="Arial"/>
            <family val="2"/>
          </rPr>
          <t xml:space="preserve">
</t>
        </r>
      </text>
    </comment>
    <comment ref="G39" authorId="1" shapeId="0" xr:uid="{00000000-0006-0000-0900-00000E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H39" authorId="1" shapeId="0" xr:uid="{00000000-0006-0000-0900-00000F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 - Only available in conjunction with electricity</t>
        </r>
      </text>
    </comment>
    <comment ref="I39" authorId="1" shapeId="0" xr:uid="{00000000-0006-0000-0900-000010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Fair Deal - only available in conjunction with electricity</t>
        </r>
      </text>
    </comment>
    <comment ref="F45" authorId="1" shapeId="0" xr:uid="{00000000-0006-0000-0900-00001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Additional 2% discount for dual fuel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6" authorId="0" shapeId="0" xr:uid="{00000000-0006-0000-0A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  <comment ref="E6" authorId="0" shapeId="0" xr:uid="{00000000-0006-0000-0A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
</t>
        </r>
      </text>
    </comment>
    <comment ref="F6" authorId="1" shapeId="0" xr:uid="{00000000-0006-0000-0A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G6" authorId="1" shapeId="0" xr:uid="{00000000-0006-0000-0A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H6" authorId="1" shapeId="0" xr:uid="{00000000-0006-0000-0A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 Available as dual fuel only</t>
        </r>
      </text>
    </comment>
    <comment ref="I6" authorId="1" shapeId="0" xr:uid="{00000000-0006-0000-0A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Fair go - available as dual fuel only</t>
        </r>
      </text>
    </comment>
    <comment ref="E7" authorId="1" shapeId="0" xr:uid="{00000000-0006-0000-0A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27.4725 Mj/day</t>
        </r>
      </text>
    </comment>
    <comment ref="G7" authorId="1" shapeId="0" xr:uid="{00000000-0006-0000-0A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27.4725 Mj/day</t>
        </r>
      </text>
    </comment>
    <comment ref="I7" authorId="1" shapeId="0" xr:uid="{00000000-0006-0000-0A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49.4506 Mj/day</t>
        </r>
      </text>
    </comment>
    <comment ref="E8" authorId="1" shapeId="0" xr:uid="{00000000-0006-0000-0A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21.978 Mj/day</t>
        </r>
      </text>
    </comment>
    <comment ref="G8" authorId="1" shapeId="0" xr:uid="{00000000-0006-0000-0A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21.978 Mj/day</t>
        </r>
      </text>
    </comment>
    <comment ref="E39" authorId="0" shapeId="0" xr:uid="{00000000-0006-0000-0A00-00000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
</t>
        </r>
      </text>
    </comment>
    <comment ref="F39" authorId="1" shapeId="0" xr:uid="{00000000-0006-0000-0A00-00000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G39" authorId="1" shapeId="0" xr:uid="{00000000-0006-0000-0A00-00000E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H39" authorId="1" shapeId="0" xr:uid="{00000000-0006-0000-0A00-00000F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 Available as dual fuel only</t>
        </r>
      </text>
    </comment>
    <comment ref="I39" authorId="1" shapeId="0" xr:uid="{00000000-0006-0000-0A00-000010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Fair go - available as dual fuel only</t>
        </r>
      </text>
    </comment>
    <comment ref="E45" authorId="1" shapeId="0" xr:uid="{00000000-0006-0000-0A00-00001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2% off usage if paid by direct debit and voucher</t>
        </r>
      </text>
    </comment>
    <comment ref="F45" authorId="1" shapeId="0" xr:uid="{00000000-0006-0000-0A00-00001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1% off usage if paid by direct debit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Q7" authorId="0" shapeId="0" xr:uid="{D3D9BDD4-2B6F-A64C-9A74-9C511B8AFCE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6" authorId="0" shapeId="0" xr:uid="{00000000-0006-0000-0B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  <comment ref="E6" authorId="0" shapeId="0" xr:uid="{00000000-0006-0000-0B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 Released 1 August 2013</t>
        </r>
      </text>
    </comment>
    <comment ref="F6" authorId="0" shapeId="0" xr:uid="{00000000-0006-0000-0B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
Released 1 August  2013</t>
        </r>
      </text>
    </comment>
    <comment ref="G6" authorId="0" shapeId="0" xr:uid="{00000000-0006-0000-0B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
Released 1 July 2013</t>
        </r>
      </text>
    </comment>
    <comment ref="H6" authorId="0" shapeId="0" xr:uid="{00000000-0006-0000-0B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 - Available as dual fuel only
August 2013</t>
        </r>
      </text>
    </comment>
    <comment ref="I6" authorId="0" shapeId="0" xr:uid="{00000000-0006-0000-0B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Fair Go - Avalable as dual fuel only</t>
        </r>
      </text>
    </comment>
    <comment ref="E7" authorId="1" shapeId="0" xr:uid="{00000000-0006-0000-0B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27.4725 Mj/day</t>
        </r>
      </text>
    </comment>
    <comment ref="I7" authorId="1" shapeId="0" xr:uid="{00000000-0006-0000-0B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49.4506 Mj/day</t>
        </r>
      </text>
    </comment>
    <comment ref="E8" authorId="1" shapeId="0" xr:uid="{00000000-0006-0000-0B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states first 21.978 Mj/day</t>
        </r>
      </text>
    </comment>
    <comment ref="E39" authorId="0" shapeId="0" xr:uid="{00000000-0006-0000-0B00-00000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 Released 1 August 2013</t>
        </r>
      </text>
    </comment>
    <comment ref="F39" authorId="0" shapeId="0" xr:uid="{00000000-0006-0000-0B00-00000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
Released 1 February 2013</t>
        </r>
      </text>
    </comment>
    <comment ref="G39" authorId="0" shapeId="0" xr:uid="{00000000-0006-0000-0B00-00000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
Released 1 July 2013</t>
        </r>
      </text>
    </comment>
    <comment ref="H39" authorId="0" shapeId="0" xr:uid="{00000000-0006-0000-0B00-00000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 - Available as dual fuel only
August 2013</t>
        </r>
      </text>
    </comment>
    <comment ref="I39" authorId="0" shapeId="0" xr:uid="{00000000-0006-0000-0B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Fair Go - Avalable as dual fuel only</t>
        </r>
      </text>
    </comment>
    <comment ref="F43" authorId="0" shapeId="0" xr:uid="{00000000-0006-0000-0B00-00000F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This 4% includes an unspecified POT, direct debit and dual fuel discount</t>
        </r>
      </text>
    </comment>
    <comment ref="E45" authorId="1" shapeId="0" xr:uid="{00000000-0006-0000-0B00-000010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Voucher to AGL shop and a further 2% off usage if bills paid by direct debit</t>
        </r>
      </text>
    </comment>
    <comment ref="F45" authorId="0" shapeId="0" xr:uid="{00000000-0006-0000-0B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  <comment ref="H45" authorId="0" shapeId="0" xr:uid="{00000000-0006-0000-0B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Only available in conjunction with an electricity offer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6" authorId="0" shapeId="0" xr:uid="{00000000-0006-0000-0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  <comment ref="E6" authorId="0" shapeId="0" xr:uid="{00000000-0006-0000-0C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F6" authorId="0" shapeId="0" xr:uid="{00000000-0006-0000-0C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G6" authorId="0" shapeId="0" xr:uid="{00000000-0006-0000-0C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6" authorId="0" shapeId="0" xr:uid="{00000000-0006-0000-0C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</t>
        </r>
      </text>
    </comment>
    <comment ref="E37" authorId="0" shapeId="0" xr:uid="{00000000-0006-0000-0C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F37" authorId="0" shapeId="0" xr:uid="{00000000-0006-0000-0C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G37" authorId="0" shapeId="0" xr:uid="{00000000-0006-0000-0C00-000008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H37" authorId="0" shapeId="0" xr:uid="{00000000-0006-0000-0C00-00000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</t>
        </r>
      </text>
    </comment>
    <comment ref="F41" authorId="0" shapeId="0" xr:uid="{00000000-0006-0000-0C00-00000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This 4% includes an unspecified POT, direct debit and dual fuel discount</t>
        </r>
      </text>
    </comment>
    <comment ref="F43" authorId="0" shapeId="0" xr:uid="{00000000-0006-0000-0C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  <comment ref="H43" authorId="0" shapeId="0" xr:uid="{00000000-0006-0000-0C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Only available in conjunction with an electricity offer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Q7" authorId="0" shapeId="0" xr:uid="{94E8E483-24DE-E64E-AA09-29763D5E617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Q7" authorId="0" shapeId="0" xr:uid="{3C8B5DBF-B7A3-5241-8DA0-00293E6CAAB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P11" authorId="0" shapeId="0" xr:uid="{9F363FE8-5646-8F47-902F-D4E9616F845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Q11" authorId="0" shapeId="0" xr:uid="{797439C0-7307-C147-A47F-A93D36CC1AD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Includes GST
</t>
        </r>
      </text>
    </comment>
    <comment ref="P13" authorId="0" shapeId="0" xr:uid="{19FD9C87-D47B-3141-91A0-799AD9783B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Q13" authorId="0" shapeId="0" xr:uid="{C3F97AA4-2015-A14E-9A36-03A53EDDEFC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P15" authorId="0" shapeId="0" xr:uid="{3F54CAEE-4014-8541-9E91-20E802478E4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Q15" authorId="0" shapeId="0" xr:uid="{002006B4-9672-0F42-B3D9-96CD299B962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Includes GST
</t>
        </r>
      </text>
    </comment>
    <comment ref="P16" authorId="0" shapeId="0" xr:uid="{C99228B6-7372-254A-8EF2-1BD094532A6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Q16" authorId="0" shapeId="0" xr:uid="{3A47B550-6B72-234F-A467-71493FB8788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Includes GST
</t>
        </r>
      </text>
    </comment>
    <comment ref="P17" authorId="0" shapeId="0" xr:uid="{D663C915-0201-1A42-8E72-75E1D13D48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Q17" authorId="0" shapeId="0" xr:uid="{F6D9E42D-D1DF-1341-8E65-9213B03BA5B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Includes GST
</t>
        </r>
      </text>
    </comment>
    <comment ref="P18" authorId="0" shapeId="0" xr:uid="{DC5C6402-7AFD-1D4F-BC2D-821AEBCC071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GST</t>
        </r>
      </text>
    </comment>
    <comment ref="Q18" authorId="0" shapeId="0" xr:uid="{4FF098D0-9C90-124D-89FE-11A4E10AD3D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Includes GST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9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  <comment ref="C9" authorId="1" shapeId="0" xr:uid="{00000000-0006-0000-03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D9" authorId="0" shapeId="0" xr:uid="{00000000-0006-0000-0300-000003000000}">
      <text>
        <r>
          <rPr>
            <b/>
            <sz val="9"/>
            <color indexed="81"/>
            <rFont val="Arial"/>
            <family val="2"/>
          </rPr>
          <t>May Johnston: 
Savers</t>
        </r>
        <r>
          <rPr>
            <sz val="9"/>
            <color indexed="81"/>
            <rFont val="Arial"/>
            <family val="2"/>
          </rPr>
          <t xml:space="preserve">
</t>
        </r>
      </text>
    </comment>
    <comment ref="E9" authorId="1" shapeId="0" xr:uid="{00000000-0006-0000-03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F9" authorId="1" shapeId="0" xr:uid="{00000000-0006-0000-03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 - Only available in conjunction with electricity</t>
        </r>
      </text>
    </comment>
    <comment ref="G9" authorId="1" shapeId="0" xr:uid="{00000000-0006-0000-03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Fair Deal - only available in conjunction with electricity</t>
        </r>
      </text>
    </comment>
    <comment ref="C46" authorId="1" shapeId="0" xr:uid="{00000000-0006-0000-03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D46" authorId="0" shapeId="0" xr:uid="{00000000-0006-0000-0300-000008000000}">
      <text>
        <r>
          <rPr>
            <b/>
            <sz val="9"/>
            <color indexed="81"/>
            <rFont val="Arial"/>
            <family val="2"/>
          </rPr>
          <t>May Johnston: 
Savers</t>
        </r>
        <r>
          <rPr>
            <sz val="9"/>
            <color indexed="81"/>
            <rFont val="Arial"/>
            <family val="2"/>
          </rPr>
          <t xml:space="preserve">
</t>
        </r>
      </text>
    </comment>
    <comment ref="E46" authorId="1" shapeId="0" xr:uid="{00000000-0006-0000-03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Flexi Saver</t>
        </r>
      </text>
    </comment>
    <comment ref="F46" authorId="1" shapeId="0" xr:uid="{00000000-0006-0000-03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 - Only available in conjunction with electricity</t>
        </r>
      </text>
    </comment>
    <comment ref="G46" authorId="1" shapeId="0" xr:uid="{00000000-0006-0000-03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Fair Deal - only available in conjunction with electricity</t>
        </r>
      </text>
    </comment>
    <comment ref="D52" authorId="1" shapeId="0" xr:uid="{00000000-0006-0000-0300-00000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Additional 2% discount for dual fuel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9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  <comment ref="C9" authorId="0" shapeId="0" xr:uid="{00000000-0006-0000-04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
</t>
        </r>
      </text>
    </comment>
    <comment ref="D9" authorId="1" shapeId="0" xr:uid="{00000000-0006-0000-04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9" authorId="1" shapeId="0" xr:uid="{00000000-0006-0000-04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F9" authorId="1" shapeId="0" xr:uid="{00000000-0006-0000-04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 Available as dual fuel only</t>
        </r>
      </text>
    </comment>
    <comment ref="G9" authorId="1" shapeId="0" xr:uid="{00000000-0006-0000-04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Fair go - available as dual fuel only</t>
        </r>
      </text>
    </comment>
    <comment ref="C46" authorId="0" shapeId="0" xr:uid="{00000000-0006-0000-04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
</t>
        </r>
      </text>
    </comment>
    <comment ref="D46" authorId="1" shapeId="0" xr:uid="{00000000-0006-0000-04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46" authorId="1" shapeId="0" xr:uid="{00000000-0006-0000-04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Everyday Saver</t>
        </r>
      </text>
    </comment>
    <comment ref="F46" authorId="1" shapeId="0" xr:uid="{00000000-0006-0000-04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Simply Save Available as dual fuel only</t>
        </r>
      </text>
    </comment>
    <comment ref="G46" authorId="1" shapeId="0" xr:uid="{00000000-0006-0000-04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Fair go - available as dual fuel only</t>
        </r>
      </text>
    </comment>
    <comment ref="C52" authorId="1" shapeId="0" xr:uid="{00000000-0006-0000-0400-00000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2% off usage if paid by direct debit and voucher</t>
        </r>
      </text>
    </comment>
    <comment ref="D52" authorId="1" shapeId="0" xr:uid="{00000000-0006-0000-0400-00000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1% off usage if paid by direct debit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9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  <comment ref="C9" authorId="0" shapeId="0" xr:uid="{00000000-0006-0000-05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 Released 1 August 2013</t>
        </r>
      </text>
    </comment>
    <comment ref="D9" authorId="0" shapeId="0" xr:uid="{00000000-0006-0000-05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
Released 1 August  2013</t>
        </r>
      </text>
    </comment>
    <comment ref="E9" authorId="0" shapeId="0" xr:uid="{00000000-0006-0000-05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
Released 1 July 2013</t>
        </r>
      </text>
    </comment>
    <comment ref="F9" authorId="0" shapeId="0" xr:uid="{00000000-0006-0000-05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 - Available as dual fuel only
August 2013</t>
        </r>
      </text>
    </comment>
    <comment ref="G9" authorId="0" shapeId="0" xr:uid="{00000000-0006-0000-05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Fair Go - Avalable as dual fuel only.
Released August 2013</t>
        </r>
      </text>
    </comment>
    <comment ref="C46" authorId="0" shapeId="0" xr:uid="{00000000-0006-0000-05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Select Released 1 August 2013</t>
        </r>
      </text>
    </comment>
    <comment ref="D46" authorId="0" shapeId="0" xr:uid="{00000000-0006-0000-0500-000008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
Released 1 August  2013</t>
        </r>
      </text>
    </comment>
    <comment ref="E46" authorId="0" shapeId="0" xr:uid="{00000000-0006-0000-0500-00000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Everyday Saver
Released 1 July 2013</t>
        </r>
      </text>
    </comment>
    <comment ref="F46" authorId="0" shapeId="0" xr:uid="{00000000-0006-0000-0500-00000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 - Available as dual fuel only
August 2013</t>
        </r>
      </text>
    </comment>
    <comment ref="G46" authorId="0" shapeId="0" xr:uid="{00000000-0006-0000-0500-00000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Fair Go - Avalable as dual fuel only.
Released August 2013</t>
        </r>
      </text>
    </comment>
    <comment ref="D50" authorId="0" shapeId="0" xr:uid="{00000000-0006-0000-0500-00000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This 4% includes an unspecified POT, direct debit and dual fuel discount</t>
        </r>
      </text>
    </comment>
    <comment ref="C52" authorId="1" shapeId="0" xr:uid="{00000000-0006-0000-0500-00000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Voucher to AGL shop and a further 2% off usage if bills paid by direct debit</t>
        </r>
      </text>
    </comment>
    <comment ref="D52" authorId="0" shapeId="0" xr:uid="{00000000-0006-0000-05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  <comment ref="F52" authorId="0" shapeId="0" xr:uid="{00000000-0006-0000-05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Only available in conjunction with an electricity offer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9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Adelaide/metropolitan zone includes Barossa and Peterborough</t>
        </r>
      </text>
    </comment>
    <comment ref="C9" authorId="0" shapeId="0" xr:uid="{00000000-0006-0000-0600-000002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D9" authorId="0" shapeId="0" xr:uid="{00000000-0006-0000-0600-000003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E9" authorId="0" shapeId="0" xr:uid="{00000000-0006-0000-0600-000004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F9" authorId="0" shapeId="0" xr:uid="{00000000-0006-0000-0600-000005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</t>
        </r>
      </text>
    </comment>
    <comment ref="D16" authorId="0" shapeId="0" xr:uid="{00000000-0006-0000-0600-000006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D23" authorId="0" shapeId="0" xr:uid="{00000000-0006-0000-0600-000007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D30" authorId="0" shapeId="0" xr:uid="{00000000-0006-0000-0600-000008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D37" authorId="0" shapeId="0" xr:uid="{00000000-0006-0000-0600-000009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C45" authorId="0" shapeId="0" xr:uid="{00000000-0006-0000-0600-00000A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AGL Advantage 10</t>
        </r>
      </text>
    </comment>
    <comment ref="D45" authorId="0" shapeId="0" xr:uid="{00000000-0006-0000-0600-00000B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Daily Saver 8% off usage for 12 months</t>
        </r>
      </text>
    </comment>
    <comment ref="E45" authorId="0" shapeId="0" xr:uid="{00000000-0006-0000-0600-00000C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TRU Go for more</t>
        </r>
      </text>
    </comment>
    <comment ref="F45" authorId="0" shapeId="0" xr:uid="{00000000-0006-0000-0600-00000D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Simply Save</t>
        </r>
      </text>
    </comment>
    <comment ref="D49" authorId="0" shapeId="0" xr:uid="{00000000-0006-0000-0600-00000E000000}">
      <text>
        <r>
          <rPr>
            <b/>
            <sz val="9"/>
            <color indexed="81"/>
            <rFont val="Arial"/>
            <family val="2"/>
          </rPr>
          <t>May Johnston:</t>
        </r>
        <r>
          <rPr>
            <sz val="9"/>
            <color indexed="81"/>
            <rFont val="Arial"/>
            <family val="2"/>
          </rPr>
          <t xml:space="preserve">
This 4% includes an unspecified POT, direct debit and dual fuel discount</t>
        </r>
      </text>
    </comment>
    <comment ref="D51" authorId="0" shapeId="0" xr:uid="{00000000-0006-0000-06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 1% off usage for direct debit and a 1% off usage if fual fuel</t>
        </r>
      </text>
    </comment>
    <comment ref="F51" authorId="0" shapeId="0" xr:uid="{00000000-0006-0000-06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Only available in conjunction with an electricity offer</t>
        </r>
      </text>
    </comment>
  </commentList>
</comments>
</file>

<file path=xl/sharedStrings.xml><?xml version="1.0" encoding="utf-8"?>
<sst xmlns="http://schemas.openxmlformats.org/spreadsheetml/2006/main" count="2954" uniqueCount="445">
  <si>
    <t>Envestra SA</t>
    <phoneticPr fontId="7" type="noConversion"/>
  </si>
  <si>
    <t>Savers</t>
    <phoneticPr fontId="7" type="noConversion"/>
  </si>
  <si>
    <t>N</t>
    <phoneticPr fontId="7" type="noConversion"/>
  </si>
  <si>
    <t>https://www.agl.com.au/-/media/AGLData/DistributorData/PDFs/PriceFactSheet_AGL366820MR.pdf</t>
  </si>
  <si>
    <t>Changed</t>
  </si>
  <si>
    <t>Envestra Adelaide</t>
    <phoneticPr fontId="7" type="noConversion"/>
  </si>
  <si>
    <t xml:space="preserve">Alinta Energy </t>
    <phoneticPr fontId="7" type="noConversion"/>
  </si>
  <si>
    <t>Fair Deal</t>
    <phoneticPr fontId="7" type="noConversion"/>
  </si>
  <si>
    <t>Y</t>
    <phoneticPr fontId="7" type="noConversion"/>
  </si>
  <si>
    <t>https://www.alintaenergy.com.au/Alinta/media/EnergyPlans/SA-GAS-PDS-FDG12-JUL2017.pdf</t>
  </si>
  <si>
    <t>EnergyAustralia</t>
    <phoneticPr fontId="7" type="noConversion"/>
  </si>
  <si>
    <t>N</t>
    <phoneticPr fontId="7" type="noConversion"/>
  </si>
  <si>
    <t>St Vincent de Paul Society, South Australian Tariff-Tracking Project, Workbook 4: Gas Market Offers</t>
    <phoneticPr fontId="7" type="noConversion"/>
  </si>
  <si>
    <t>Guaranteed discount off bill (%)</t>
    <phoneticPr fontId="7" type="noConversion"/>
  </si>
  <si>
    <t>Guaranteed discount off usage (%)</t>
    <phoneticPr fontId="7" type="noConversion"/>
  </si>
  <si>
    <t>POT discount off bill (%)</t>
    <phoneticPr fontId="7" type="noConversion"/>
  </si>
  <si>
    <t>POT discount off usage (%)</t>
    <phoneticPr fontId="7" type="noConversion"/>
  </si>
  <si>
    <t>https://www.simplyenergy.com.au/docs/default-source/epfs_pdf_data/pricefactsheet_sim153769mr.pdf?Status=Master&amp;sfvrsn=2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</si>
  <si>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</si>
  <si>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</si>
  <si>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</si>
  <si>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</si>
  <si>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</si>
  <si>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Contract length (months)</t>
  </si>
  <si>
    <t>Exit fee (yes/no)</t>
  </si>
  <si>
    <t>Gas offers</t>
    <phoneticPr fontId="7" type="noConversion"/>
  </si>
  <si>
    <t>https://www.simplyenergy.com.au/docs/default-source/epfs_pdf_data/pricefactsheet_sim384411mr.pdf?sfvrsn=2</t>
  </si>
  <si>
    <t>Red Energy</t>
    <phoneticPr fontId="7" type="noConversion"/>
  </si>
  <si>
    <t>Easy Saver</t>
    <phoneticPr fontId="7" type="noConversion"/>
  </si>
  <si>
    <t>https://www.redenergy.com.au/docs/sa_price_fact_sheets/Red-Energy-SA-Easy-Saver-No-Exit-Fee-Residential-Australian-Gas-Networks.pdf</t>
  </si>
  <si>
    <t>New</t>
  </si>
  <si>
    <t>Origin Energy</t>
    <phoneticPr fontId="7" type="noConversion"/>
  </si>
  <si>
    <t>Saver</t>
    <phoneticPr fontId="7" type="noConversion"/>
  </si>
  <si>
    <t>https://www.originenergy.com.au/content/dam/origin/residential/docs/energy-price-fact-sheets/sa/1July2017/SA_Natural%20Gas_Residential_Australian%20Gas%20Networks%20Port%20Pirie_OriginSaver9.PDF</t>
  </si>
  <si>
    <t>SA</t>
    <phoneticPr fontId="7" type="noConversion"/>
  </si>
  <si>
    <t>Envestra Whyalla</t>
    <phoneticPr fontId="7" type="noConversion"/>
  </si>
  <si>
    <t>Origin Energy</t>
    <phoneticPr fontId="7" type="noConversion"/>
  </si>
  <si>
    <t>Saver</t>
    <phoneticPr fontId="7" type="noConversion"/>
  </si>
  <si>
    <t>n</t>
    <phoneticPr fontId="7" type="noConversion"/>
  </si>
  <si>
    <t>N</t>
    <phoneticPr fontId="7" type="noConversion"/>
  </si>
  <si>
    <t>https://www.originenergy.com.au/content/dam/origin/residential/docs/energy-price-fact-sheets/sa/1July2017/SA_Natural%20Gas_Residential_Australian%20Gas%20Networks%20Whyalla_OriginSaver9.PDF</t>
  </si>
  <si>
    <t>Envestra Mt Gambier</t>
    <phoneticPr fontId="7" type="noConversion"/>
  </si>
  <si>
    <t>Envestra Riverland</t>
    <phoneticPr fontId="7" type="noConversion"/>
  </si>
  <si>
    <t>https://www.originenergy.com.au/content/dam/origin/residential/docs/energy-price-fact-sheets/sa/1July2017/SA_Natural%20Gas_Residential_Australian%20Gas%20Networks%20Riverland_OriginSaver9.PDF</t>
  </si>
  <si>
    <t>https://www.agl.com.au/-/media/AGLData/DistributorData/PDFs/PriceFactSheet_AGL168696MR.pdf</t>
    <phoneticPr fontId="7" type="noConversion"/>
  </si>
  <si>
    <t>Offer</t>
  </si>
  <si>
    <t>Supply charge</t>
  </si>
  <si>
    <t>3rd peak rate (c/MJ)</t>
    <phoneticPr fontId="7" type="noConversion"/>
  </si>
  <si>
    <t>4th peak rate (c/MJ)</t>
    <phoneticPr fontId="7" type="noConversion"/>
  </si>
  <si>
    <t>5th peak rate (c/MJ)</t>
    <phoneticPr fontId="7" type="noConversion"/>
  </si>
  <si>
    <t>6th peak rate (c/MJ)</t>
    <phoneticPr fontId="7" type="noConversion"/>
  </si>
  <si>
    <t>1st off-peak rate (c/MJ)</t>
    <phoneticPr fontId="7" type="noConversion"/>
  </si>
  <si>
    <t>4th off-peak rate (c/MJ)</t>
    <phoneticPr fontId="7" type="noConversion"/>
  </si>
  <si>
    <t>5th off-peak rate (c/MJ)</t>
    <phoneticPr fontId="7" type="noConversion"/>
  </si>
  <si>
    <t>6th off-peak rate (c/MJ)</t>
    <phoneticPr fontId="7" type="noConversion"/>
  </si>
  <si>
    <t>1st shoulder rate (c/MJ)</t>
    <phoneticPr fontId="7" type="noConversion"/>
  </si>
  <si>
    <t>2nd shoulder rate (c/MJ)</t>
    <phoneticPr fontId="7" type="noConversion"/>
  </si>
  <si>
    <t>3rd shoulder rate (c/MJ)</t>
    <phoneticPr fontId="7" type="noConversion"/>
  </si>
  <si>
    <t>4th shoulder rate (c/MJ)</t>
    <phoneticPr fontId="7" type="noConversion"/>
  </si>
  <si>
    <t>https://secure.energyaustralia.com.au/EnergyPriceFactSheets/Docs/EPFS/PriceFactSheet_ENE378477MR.pdf</t>
  </si>
  <si>
    <t>SA</t>
    <phoneticPr fontId="7" type="noConversion"/>
  </si>
  <si>
    <t>Envestra Adelaide</t>
    <phoneticPr fontId="7" type="noConversion"/>
  </si>
  <si>
    <t>Origin Energy</t>
    <phoneticPr fontId="7" type="noConversion"/>
  </si>
  <si>
    <t>Saver</t>
    <phoneticPr fontId="7" type="noConversion"/>
  </si>
  <si>
    <t>https://www.originenergy.com.au/content/dam/origin/residential/docs/energy-price-fact-sheets/sa/1July2017/SA_Natural%20Gas_Residential_Australian%20Gas%20Networks%20Mt%20Gambier_OriginSaver9.PDF</t>
  </si>
  <si>
    <t>Simply Energy</t>
    <phoneticPr fontId="7" type="noConversion"/>
  </si>
  <si>
    <t>Plus</t>
    <phoneticPr fontId="7" type="noConversion"/>
  </si>
  <si>
    <t xml:space="preserve">$25 welcome credit for customers that sign up online </t>
  </si>
  <si>
    <t>Account credit</t>
  </si>
  <si>
    <t>Y</t>
    <phoneticPr fontId="7" type="noConversion"/>
  </si>
  <si>
    <t>Effective from</t>
    <phoneticPr fontId="7" type="noConversion"/>
  </si>
  <si>
    <t>Retailer</t>
  </si>
  <si>
    <t>Autumn Sale</t>
    <phoneticPr fontId="7" type="noConversion"/>
  </si>
  <si>
    <t>y</t>
    <phoneticPr fontId="7" type="noConversion"/>
  </si>
  <si>
    <t>Simply Energy</t>
    <phoneticPr fontId="7" type="noConversion"/>
  </si>
  <si>
    <t>Gas zone</t>
    <phoneticPr fontId="7" type="noConversion"/>
  </si>
  <si>
    <t>July 2016</t>
    <phoneticPr fontId="26" type="noConversion"/>
  </si>
  <si>
    <t>2nd off-peak rate (c/MJ)</t>
    <phoneticPr fontId="7" type="noConversion"/>
  </si>
  <si>
    <t>3rd off-peak rate (c/MJ)</t>
    <phoneticPr fontId="7" type="noConversion"/>
  </si>
  <si>
    <t>Annual consumption only</t>
    <phoneticPr fontId="7" type="noConversion"/>
  </si>
  <si>
    <t>Annual bill incl guaranteed discounts (excl GST)</t>
    <phoneticPr fontId="7" type="noConversion"/>
  </si>
  <si>
    <t>Annual bill incl conditional discounts (excl GST)</t>
    <phoneticPr fontId="7" type="noConversion"/>
  </si>
  <si>
    <t>Annual bill incl guaranteed discounts (incl GST)</t>
    <phoneticPr fontId="7" type="noConversion"/>
  </si>
  <si>
    <t>Annual bill incl conditional discounts (incl GST)</t>
    <phoneticPr fontId="7" type="noConversion"/>
  </si>
  <si>
    <t>https://www.originenergy.com.au/content/dam/origin/residential/docs/energy-price-fact-sheets/sa/20160616/SA_Natural%20Gas_Residential_Australian%20Gas%20Networks%20Riverland_OriginSaver10.PDF</t>
  </si>
  <si>
    <t>Origin Energy</t>
    <phoneticPr fontId="7" type="noConversion"/>
  </si>
  <si>
    <t>Origin Energy</t>
    <phoneticPr fontId="7" type="noConversion"/>
  </si>
  <si>
    <t>Saver</t>
    <phoneticPr fontId="7" type="noConversion"/>
  </si>
  <si>
    <t>https://www.originenergy.com.au/content/dam/origin/residential/docs/energy-price-fact-sheets/sa/20160616/SA_Natural%20Gas_Residential_Australian%20Gas%20Networks%20Adelaide_OriginSaver10.PDF</t>
  </si>
  <si>
    <t>Envestra Port Pirie</t>
    <phoneticPr fontId="7" type="noConversion"/>
  </si>
  <si>
    <t>1st block</t>
    <phoneticPr fontId="7" type="noConversion"/>
  </si>
  <si>
    <t>2nd block</t>
    <phoneticPr fontId="7" type="noConversion"/>
  </si>
  <si>
    <t>Balance</t>
    <phoneticPr fontId="7" type="noConversion"/>
  </si>
  <si>
    <t>https://customer.alintaenergy.com.au/AlintaCustomer/media/EnergyPlans/SA-FD20-DF-PFS-JUL2016.pdf?ext=.pdf</t>
  </si>
  <si>
    <t>Changed</t>
    <phoneticPr fontId="7" type="noConversion"/>
  </si>
  <si>
    <t>*Analysis of bills (consumption level/pattern variable) across retailers</t>
    <phoneticPr fontId="7" type="noConversion"/>
  </si>
  <si>
    <t>https://secure.energyaustralia.com.au/EnergyPriceFactSheets/Docs/EPFS/G_R_S_GEASY_AD_14_01-07-2016.pdf</t>
  </si>
  <si>
    <t xml:space="preserve">South Australia, ENVESTRA </t>
    <phoneticPr fontId="7" type="noConversion"/>
  </si>
  <si>
    <t>Dual fuel condition? (Y/N)</t>
    <phoneticPr fontId="7" type="noConversion"/>
  </si>
  <si>
    <t>Dual fuel condition? (yes/no)</t>
    <phoneticPr fontId="7" type="noConversion"/>
  </si>
  <si>
    <t>n</t>
    <phoneticPr fontId="7" type="noConversion"/>
  </si>
  <si>
    <t>y</t>
    <phoneticPr fontId="7" type="noConversion"/>
  </si>
  <si>
    <t>n</t>
    <phoneticPr fontId="7" type="noConversion"/>
  </si>
  <si>
    <t>y</t>
    <phoneticPr fontId="7" type="noConversion"/>
  </si>
  <si>
    <t>n</t>
    <phoneticPr fontId="7" type="noConversion"/>
  </si>
  <si>
    <t>E-bill discount off bill (%)</t>
    <phoneticPr fontId="7" type="noConversion"/>
  </si>
  <si>
    <t>E-bill discount off usage (%)</t>
    <phoneticPr fontId="7" type="noConversion"/>
  </si>
  <si>
    <t>Dual Fuel discount off bill (%)</t>
    <phoneticPr fontId="7" type="noConversion"/>
  </si>
  <si>
    <t>Dual Fuel discount off usage (%)</t>
    <phoneticPr fontId="7" type="noConversion"/>
  </si>
  <si>
    <t>By May Mauseth Johnston, Alviss Consulting Pty Ltd</t>
    <phoneticPr fontId="9" type="noConversion"/>
  </si>
  <si>
    <t>Contract length (months)</t>
    <phoneticPr fontId="7" type="noConversion"/>
  </si>
  <si>
    <t>ETF (Y/N)</t>
    <phoneticPr fontId="7" type="noConversion"/>
  </si>
  <si>
    <t>Limited benefit period? (months)</t>
    <phoneticPr fontId="7" type="noConversion"/>
  </si>
  <si>
    <t>Other Direct Debit Incentive (y/n)</t>
    <phoneticPr fontId="7" type="noConversion"/>
  </si>
  <si>
    <t>Other incentives</t>
    <phoneticPr fontId="7" type="noConversion"/>
  </si>
  <si>
    <t>Incentive type</t>
    <phoneticPr fontId="7" type="noConversion"/>
  </si>
  <si>
    <t>Approx. incentive value ($)</t>
    <phoneticPr fontId="7" type="noConversion"/>
  </si>
  <si>
    <t>Comments</t>
    <phoneticPr fontId="7" type="noConversion"/>
  </si>
  <si>
    <t>Source</t>
    <phoneticPr fontId="7" type="noConversion"/>
  </si>
  <si>
    <t>Update status</t>
    <phoneticPr fontId="7" type="noConversion"/>
  </si>
  <si>
    <t>Bill impacts for all gas zones July 2015</t>
    <phoneticPr fontId="7" type="noConversion"/>
  </si>
  <si>
    <t xml:space="preserve">no parts may be adapted, reproduced, copied, stored, distributed, published or put to commercial use </t>
    <phoneticPr fontId="0" type="noConversion"/>
  </si>
  <si>
    <t>Yes</t>
    <phoneticPr fontId="7" type="noConversion"/>
  </si>
  <si>
    <t>5% off usage</t>
    <phoneticPr fontId="7"/>
  </si>
  <si>
    <t>SA</t>
    <phoneticPr fontId="7" type="noConversion"/>
  </si>
  <si>
    <t>5th shoulder rate (c/MJ)</t>
    <phoneticPr fontId="7" type="noConversion"/>
  </si>
  <si>
    <t>6th shoulder rate (c/MJ)</t>
    <phoneticPr fontId="7" type="noConversion"/>
  </si>
  <si>
    <t>Seasonal? (y/n)</t>
    <phoneticPr fontId="7" type="noConversion"/>
  </si>
  <si>
    <t>Summer or winter peak (s/w)</t>
    <phoneticPr fontId="7" type="noConversion"/>
  </si>
  <si>
    <t>Number of peak months</t>
    <phoneticPr fontId="7" type="noConversion"/>
  </si>
  <si>
    <t>Number of off-peak months</t>
    <phoneticPr fontId="7" type="noConversion"/>
  </si>
  <si>
    <t>1st Block (Mj/qtr)</t>
    <phoneticPr fontId="7" type="noConversion"/>
  </si>
  <si>
    <t>Whyalla</t>
    <phoneticPr fontId="7" type="noConversion"/>
  </si>
  <si>
    <t>Energy Aus</t>
    <phoneticPr fontId="7" type="noConversion"/>
  </si>
  <si>
    <t>DD discount off bill (%)</t>
    <phoneticPr fontId="7" type="noConversion"/>
  </si>
  <si>
    <t>DD discount off usage (%)</t>
    <phoneticPr fontId="7" type="noConversion"/>
  </si>
  <si>
    <t>Unchanged</t>
    <phoneticPr fontId="7" type="noConversion"/>
  </si>
  <si>
    <t>n</t>
    <phoneticPr fontId="7" type="noConversion"/>
  </si>
  <si>
    <t>ID</t>
  </si>
  <si>
    <t>Timestamp</t>
    <phoneticPr fontId="7" type="noConversion"/>
  </si>
  <si>
    <t>State</t>
    <phoneticPr fontId="7" type="noConversion"/>
  </si>
  <si>
    <t>Pricing zone</t>
    <phoneticPr fontId="7" type="noConversion"/>
  </si>
  <si>
    <t xml:space="preserve"> All red cells contain variables for the user to insert</t>
    <phoneticPr fontId="7" type="noConversion"/>
  </si>
  <si>
    <t>Name</t>
    <phoneticPr fontId="7" type="noConversion"/>
  </si>
  <si>
    <t>Supply (c/day)</t>
  </si>
  <si>
    <t>block type</t>
    <phoneticPr fontId="7" type="noConversion"/>
  </si>
  <si>
    <t>1st step (MJ)</t>
    <phoneticPr fontId="7" type="noConversion"/>
  </si>
  <si>
    <t>2nd step (MJ)</t>
    <phoneticPr fontId="7" type="noConversion"/>
  </si>
  <si>
    <t>3rd step (MJ)</t>
    <phoneticPr fontId="7" type="noConversion"/>
  </si>
  <si>
    <t>4th step (MJ)</t>
    <phoneticPr fontId="7" type="noConversion"/>
  </si>
  <si>
    <t>5th step (MJ)</t>
    <phoneticPr fontId="7" type="noConversion"/>
  </si>
  <si>
    <t>1st peak rate (c/MJ)</t>
    <phoneticPr fontId="7" type="noConversion"/>
  </si>
  <si>
    <t>2nd peak rate (c/MJ)</t>
    <phoneticPr fontId="7" type="noConversion"/>
  </si>
  <si>
    <t>Saver</t>
    <phoneticPr fontId="7" type="noConversion"/>
  </si>
  <si>
    <t xml:space="preserve">The energy offers, tariffs and bill calculations presented in this workbook should be used as a general guide only and should not be </t>
  </si>
  <si>
    <t>https://www.originenergy.com.au/content/dam/origin/residential/docs/energy-price-fact-sheets/sa/20160616/SA_Natural%20Gas_Residential_Australian%20Gas%20Networks%20Whyalla_OriginSaver10.PDF</t>
  </si>
  <si>
    <t>Envestra Mt Gambier</t>
    <phoneticPr fontId="7" type="noConversion"/>
  </si>
  <si>
    <t>https://www.originenergy.com.au/content/dam/origin/residential/docs/energy-price-fact-sheets/sa/20160616/SA_Natural%20Gas_Residential_Australian%20Gas%20Networks%20Mt%20Gambier_OriginSaver10.PDF</t>
  </si>
  <si>
    <t>Envestra Riverland</t>
    <phoneticPr fontId="7" type="noConversion"/>
  </si>
  <si>
    <t xml:space="preserve">1) Inform the community about changes to energy retail prices and increase consumer awareness </t>
  </si>
  <si>
    <t>2nd Block (Mj/qtr)</t>
    <phoneticPr fontId="7" type="noConversion"/>
  </si>
  <si>
    <t>Other features</t>
  </si>
  <si>
    <t>TRU</t>
  </si>
  <si>
    <t xml:space="preserve">this workbook or for any loss, economic or otherwise, suffered as a result of reliance on the information presented in this workbook. If you </t>
    <phoneticPr fontId="0" type="noConversion"/>
  </si>
  <si>
    <t>changes to domestic energy offers in South Australia.  If regularly updated, this tariff-tracking tool can be used to:</t>
    <phoneticPr fontId="7" type="noConversion"/>
  </si>
  <si>
    <t>https://www.originenergy.com.au/content/dam/origin/residential/docs/energy-price-fact-sheets/sa/20160616/SA_Natural%20Gas_Residential_Australian%20Gas%20Networks%20Port%20Pirie_OriginSaver10.PDF</t>
  </si>
  <si>
    <t>Envestra Whyalla</t>
    <phoneticPr fontId="7" type="noConversion"/>
  </si>
  <si>
    <t xml:space="preserve">Alinta Energy </t>
    <phoneticPr fontId="7" type="noConversion"/>
  </si>
  <si>
    <t>Fair Deal</t>
    <phoneticPr fontId="7" type="noConversion"/>
  </si>
  <si>
    <t>n</t>
    <phoneticPr fontId="7" type="noConversion"/>
  </si>
  <si>
    <t>4% off usage</t>
    <phoneticPr fontId="7"/>
  </si>
  <si>
    <t>7% off usage</t>
    <phoneticPr fontId="7" type="noConversion"/>
  </si>
  <si>
    <t>Envestra Adelaide</t>
    <phoneticPr fontId="7" type="noConversion"/>
  </si>
  <si>
    <t>EnergyAustralia</t>
    <phoneticPr fontId="7" type="noConversion"/>
  </si>
  <si>
    <t xml:space="preserve">Flexi Saver </t>
    <phoneticPr fontId="7" type="noConversion"/>
  </si>
  <si>
    <t>Bonus Supply Charge Waiver for 62 days</t>
    <phoneticPr fontId="7" type="noConversion"/>
  </si>
  <si>
    <t>$90-50</t>
    <phoneticPr fontId="7" type="noConversion"/>
  </si>
  <si>
    <t>4% off usage</t>
    <phoneticPr fontId="7"/>
  </si>
  <si>
    <t>would like to obtain information about energy offers available to you as a customer, see the AER’s Energy Made Easy website</t>
    <phoneticPr fontId="7" type="noConversion"/>
  </si>
  <si>
    <t>www.energymadeeasy.gov.au or contact the energy retailers directly.</t>
    <phoneticPr fontId="7" type="noConversion"/>
  </si>
  <si>
    <t>3% off usage</t>
    <phoneticPr fontId="7"/>
  </si>
  <si>
    <t>no</t>
    <phoneticPr fontId="7" type="noConversion"/>
  </si>
  <si>
    <t>yes</t>
    <phoneticPr fontId="7" type="noConversion"/>
  </si>
  <si>
    <t>Yes</t>
    <phoneticPr fontId="7" type="noConversion"/>
  </si>
  <si>
    <t>na</t>
    <phoneticPr fontId="7" type="noConversion"/>
  </si>
  <si>
    <t>South Australian Tariff-Tracking Project, St Vincent de Paul Society</t>
    <phoneticPr fontId="9" type="noConversion"/>
  </si>
  <si>
    <t xml:space="preserve">St Vincent de Paul Society, South Australian Tariff-Tracking Project, Workbook 4: Gas Market Offers </t>
    <phoneticPr fontId="7" type="noConversion"/>
  </si>
  <si>
    <t>Peak - 1st block</t>
  </si>
  <si>
    <t>Peak balance</t>
  </si>
  <si>
    <t>Fixed charges</t>
  </si>
  <si>
    <t>Purpose of project</t>
  </si>
  <si>
    <t>Envestra</t>
    <phoneticPr fontId="7" type="noConversion"/>
  </si>
  <si>
    <t>Bill impacts for all gas zones July 2014</t>
    <phoneticPr fontId="7" type="noConversion"/>
  </si>
  <si>
    <t>Retail Market Offers July 2014 (inc GST)</t>
    <phoneticPr fontId="7" type="noConversion"/>
  </si>
  <si>
    <t>na</t>
    <phoneticPr fontId="7" type="noConversion"/>
  </si>
  <si>
    <t>$75-50</t>
    <phoneticPr fontId="7" type="noConversion"/>
  </si>
  <si>
    <t>8% off usage</t>
    <phoneticPr fontId="7" type="noConversion"/>
  </si>
  <si>
    <t>no</t>
  </si>
  <si>
    <t>Pay on time discount</t>
  </si>
  <si>
    <t>2) Monitor the impact tariff changes have on household bills and energy affordability</t>
  </si>
  <si>
    <t>This workbook contains:</t>
  </si>
  <si>
    <t>St Vincent de Paul Society, South Australian Tariff-Tracking Project, Workbook 4: Gas Market Offers</t>
    <phoneticPr fontId="7" type="noConversion"/>
  </si>
  <si>
    <t>Adelaide</t>
    <phoneticPr fontId="7" type="noConversion"/>
  </si>
  <si>
    <t>c/Mj 1st block</t>
    <phoneticPr fontId="7" type="noConversion"/>
  </si>
  <si>
    <t xml:space="preserve">*All spreadsheets are locked (apart from the interactive red cells), in order to ensure that formulas are not accidently </t>
    <phoneticPr fontId="7" type="noConversion"/>
  </si>
  <si>
    <t>Mt Gambier</t>
    <phoneticPr fontId="7" type="noConversion"/>
  </si>
  <si>
    <t>Savers</t>
    <phoneticPr fontId="7" type="noConversion"/>
  </si>
  <si>
    <t>n</t>
    <phoneticPr fontId="7" type="noConversion"/>
  </si>
  <si>
    <t>$25 credit if signing up online</t>
  </si>
  <si>
    <t>Account credit</t>
    <phoneticPr fontId="7" type="noConversion"/>
  </si>
  <si>
    <t>Changed</t>
    <phoneticPr fontId="7" type="noConversion"/>
  </si>
  <si>
    <t>SA</t>
    <phoneticPr fontId="7" type="noConversion"/>
  </si>
  <si>
    <t>Envestra Adelaide</t>
    <phoneticPr fontId="7" type="noConversion"/>
  </si>
  <si>
    <t>AGL</t>
  </si>
  <si>
    <t>c/day fixed charges</t>
    <phoneticPr fontId="7" type="noConversion"/>
  </si>
  <si>
    <t>Port Pirie</t>
    <phoneticPr fontId="7" type="noConversion"/>
  </si>
  <si>
    <t>Energy Aus</t>
    <phoneticPr fontId="7" type="noConversion"/>
  </si>
  <si>
    <t>4% off bill</t>
    <phoneticPr fontId="7"/>
  </si>
  <si>
    <t>8% off bill</t>
    <phoneticPr fontId="7"/>
  </si>
  <si>
    <t>2% off usage</t>
    <phoneticPr fontId="7" type="noConversion"/>
  </si>
  <si>
    <t>July 2012</t>
    <phoneticPr fontId="26" type="noConversion"/>
  </si>
  <si>
    <t>Bill impacts for all gas zones July 2013</t>
    <phoneticPr fontId="7" type="noConversion"/>
  </si>
  <si>
    <t>Retail Market Offers July 2013 (inc GST)</t>
    <phoneticPr fontId="7" type="noConversion"/>
  </si>
  <si>
    <t xml:space="preserve">in the workbook is not provided as financial advice. While we have taken great care to ensure accuracy of the information provided in this </t>
  </si>
  <si>
    <t>Gas market offers</t>
  </si>
  <si>
    <t>Retail Market Offers July 2012 (inc GST)</t>
    <phoneticPr fontId="7" type="noConversion"/>
  </si>
  <si>
    <t>c/Mj balance</t>
    <phoneticPr fontId="7" type="noConversion"/>
  </si>
  <si>
    <t>Energy Aus</t>
    <phoneticPr fontId="7" type="noConversion"/>
  </si>
  <si>
    <t>Tab colours:</t>
  </si>
  <si>
    <t>July 2013</t>
    <phoneticPr fontId="26" type="noConversion"/>
  </si>
  <si>
    <t xml:space="preserve">workbook, it is suitable for use only as a research and advocacy tool. We do not accept any legal responsibility for errors or inaccuracies. </t>
  </si>
  <si>
    <t xml:space="preserve">This workbook is copyright. All works contained in it are St Vincent de Paul Society and Alviss Consulting’s  </t>
    <phoneticPr fontId="0" type="noConversion"/>
  </si>
  <si>
    <t>July 2014</t>
    <phoneticPr fontId="26" type="noConversion"/>
  </si>
  <si>
    <t>Alinta</t>
    <phoneticPr fontId="7" type="noConversion"/>
  </si>
  <si>
    <t>no</t>
    <phoneticPr fontId="7" type="noConversion"/>
  </si>
  <si>
    <t>10% off usage</t>
    <phoneticPr fontId="7" type="noConversion"/>
  </si>
  <si>
    <t>Fixed term</t>
  </si>
  <si>
    <t>July 2015</t>
    <phoneticPr fontId="26" type="noConversion"/>
  </si>
  <si>
    <t>10% off usage</t>
    <phoneticPr fontId="7" type="noConversion"/>
  </si>
  <si>
    <t>no</t>
    <phoneticPr fontId="7"/>
  </si>
  <si>
    <t>1 year</t>
    <phoneticPr fontId="7" type="noConversion"/>
  </si>
  <si>
    <t>no</t>
    <phoneticPr fontId="7" type="noConversion"/>
  </si>
  <si>
    <t>21% off usage</t>
    <phoneticPr fontId="7"/>
  </si>
  <si>
    <t>Origin</t>
    <phoneticPr fontId="7" type="noConversion"/>
  </si>
  <si>
    <t>AGL</t>
    <phoneticPr fontId="7" type="noConversion"/>
  </si>
  <si>
    <t>*All supply charges published as quarterly charges have been divided by 91 days.</t>
  </si>
  <si>
    <t>na</t>
    <phoneticPr fontId="7" type="noConversion"/>
  </si>
  <si>
    <t>na</t>
    <phoneticPr fontId="7" type="noConversion"/>
  </si>
  <si>
    <t>Discount on usage</t>
  </si>
  <si>
    <t>10% off usage</t>
    <phoneticPr fontId="7"/>
  </si>
  <si>
    <t>All gas zones</t>
    <phoneticPr fontId="7" type="noConversion"/>
  </si>
  <si>
    <t>changed. The spreadsheets containing the tariff data are hidden.</t>
    <phoneticPr fontId="7" type="noConversion"/>
  </si>
  <si>
    <t>Project outputs</t>
  </si>
  <si>
    <t>DISCLAIMER:</t>
  </si>
  <si>
    <t>2 years</t>
  </si>
  <si>
    <t>quarterly</t>
    <phoneticPr fontId="7" type="noConversion"/>
  </si>
  <si>
    <t>intellectual property and subject to copyright. Apart from any use permitted under the Copyright Act 1968 (Ctw),</t>
    <phoneticPr fontId="0" type="noConversion"/>
  </si>
  <si>
    <t xml:space="preserve">relied upon. The workbook is not an appropriate substitute for obtaining an offer from an energy retailer.  The information presented </t>
  </si>
  <si>
    <t>Ealy Termination Fee</t>
  </si>
  <si>
    <t>2% off usage</t>
    <phoneticPr fontId="7"/>
  </si>
  <si>
    <t>6% off usage</t>
    <phoneticPr fontId="7" type="noConversion"/>
  </si>
  <si>
    <t>9% off usage</t>
    <phoneticPr fontId="7"/>
  </si>
  <si>
    <r>
      <t>Acknowledgement:</t>
    </r>
    <r>
      <rPr>
        <sz val="11"/>
        <rFont val="Arial"/>
        <family val="2"/>
      </rPr>
      <t xml:space="preserve"> The St Vincent de Paul Society received funding from Energy Consumers Australia (ECA),</t>
    </r>
    <phoneticPr fontId="7" type="noConversion"/>
  </si>
  <si>
    <t>and previously, the Consumer Advocacy Panel to undertake this project.</t>
    <phoneticPr fontId="7" type="noConversion"/>
  </si>
  <si>
    <t>Bill impacts for all gas zones July 2012</t>
    <phoneticPr fontId="7" type="noConversion"/>
  </si>
  <si>
    <t>12% off usage</t>
    <phoneticPr fontId="7" type="noConversion"/>
  </si>
  <si>
    <t>no</t>
    <phoneticPr fontId="7" type="noConversion"/>
  </si>
  <si>
    <t>Late payment fee</t>
    <phoneticPr fontId="7" type="noConversion"/>
  </si>
  <si>
    <t>Riverland</t>
    <phoneticPr fontId="7" type="noConversion"/>
  </si>
  <si>
    <t>Origin</t>
  </si>
  <si>
    <t>Retailers:</t>
    <phoneticPr fontId="7" type="noConversion"/>
  </si>
  <si>
    <t xml:space="preserve">without prior written permission from the St Vincent de Paul Society. </t>
  </si>
  <si>
    <t>3% off usage</t>
    <phoneticPr fontId="7" type="noConversion"/>
  </si>
  <si>
    <t>Simply</t>
  </si>
  <si>
    <t xml:space="preserve">The St Vincent de Paul Society and Alviss Consulting Pty Ltd do not accept liability for any action taken based on the information provided in  </t>
    <phoneticPr fontId="0" type="noConversion"/>
  </si>
  <si>
    <t xml:space="preserve">*Some smaller retailers not included in this analysis may operate in the market.  </t>
    <phoneticPr fontId="7" type="noConversion"/>
  </si>
  <si>
    <t>Quarterly bill</t>
  </si>
  <si>
    <t>Annual bill</t>
  </si>
  <si>
    <t>Annual average</t>
  </si>
  <si>
    <t>c/Mj 2nd block</t>
    <phoneticPr fontId="7" type="noConversion"/>
  </si>
  <si>
    <t>Peak - 2nd block</t>
    <phoneticPr fontId="7" type="noConversion"/>
  </si>
  <si>
    <t>10% off usage</t>
    <phoneticPr fontId="7"/>
  </si>
  <si>
    <t>$95-75</t>
    <phoneticPr fontId="7" type="noConversion"/>
  </si>
  <si>
    <t>no</t>
    <phoneticPr fontId="7" type="noConversion"/>
  </si>
  <si>
    <t>no</t>
    <phoneticPr fontId="7" type="noConversion"/>
  </si>
  <si>
    <t>1 year</t>
    <phoneticPr fontId="7" type="noConversion"/>
  </si>
  <si>
    <t>3 years</t>
  </si>
  <si>
    <t>Other</t>
  </si>
  <si>
    <t>yes</t>
  </si>
  <si>
    <t>5% off usage</t>
    <phoneticPr fontId="7"/>
  </si>
  <si>
    <t>The main purpose of this workbook is to provide consumer advocates with a tool to track and analyse</t>
  </si>
  <si>
    <t>© St Vincent de Paul Society and Alviss Consulting Pty Ltd</t>
  </si>
  <si>
    <t>Retail Market Offers July 2015 (exc GST)</t>
    <phoneticPr fontId="7" type="noConversion"/>
  </si>
  <si>
    <r>
      <t>Report 1: South Australian</t>
    </r>
    <r>
      <rPr>
        <sz val="10"/>
        <rFont val="Arial"/>
        <family val="2"/>
      </rPr>
      <t xml:space="preserve"> Energy Prices 2009 - 2012</t>
    </r>
    <r>
      <rPr>
        <sz val="10"/>
        <rFont val="Verdana"/>
        <family val="2"/>
      </rPr>
      <t xml:space="preserve"> (August 2012)   </t>
    </r>
  </si>
  <si>
    <r>
      <t>Report 2: South Australian</t>
    </r>
    <r>
      <rPr>
        <sz val="10"/>
        <rFont val="Arial"/>
        <family val="2"/>
      </rPr>
      <t xml:space="preserve"> Energy Prices, An update report 2012 - 2013</t>
    </r>
    <r>
      <rPr>
        <sz val="10"/>
        <rFont val="Verdana"/>
        <family val="2"/>
      </rPr>
      <t xml:space="preserve"> (August 2013)   </t>
    </r>
  </si>
  <si>
    <r>
      <t>Report 3: South Australian</t>
    </r>
    <r>
      <rPr>
        <sz val="10"/>
        <rFont val="Arial"/>
        <family val="2"/>
      </rPr>
      <t xml:space="preserve"> Energy Prices, An update report 2013 - 2014</t>
    </r>
    <r>
      <rPr>
        <sz val="10"/>
        <rFont val="Verdana"/>
        <family val="2"/>
      </rPr>
      <t xml:space="preserve"> (August 2014)   </t>
    </r>
  </si>
  <si>
    <r>
      <t>Report 4: South Australian</t>
    </r>
    <r>
      <rPr>
        <sz val="10"/>
        <rFont val="Arial"/>
        <family val="2"/>
      </rPr>
      <t xml:space="preserve"> Energy Prices, An update report 2014 - 2015</t>
    </r>
    <r>
      <rPr>
        <sz val="10"/>
        <rFont val="Verdana"/>
        <family val="2"/>
      </rPr>
      <t xml:space="preserve"> (August 2015)   </t>
    </r>
  </si>
  <si>
    <r>
      <t>Report 5: South Australian</t>
    </r>
    <r>
      <rPr>
        <sz val="10"/>
        <rFont val="Arial"/>
        <family val="2"/>
      </rPr>
      <t xml:space="preserve"> Energy Prices, An update report 2015 - 2016</t>
    </r>
    <r>
      <rPr>
        <sz val="10"/>
        <rFont val="Verdana"/>
        <family val="2"/>
      </rPr>
      <t xml:space="preserve"> (August 2016)   </t>
    </r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</si>
  <si>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</si>
  <si>
    <t>July 2017</t>
  </si>
  <si>
    <t xml:space="preserve">Alinta Energy </t>
  </si>
  <si>
    <t>EnergyAustralia</t>
  </si>
  <si>
    <t>Origin Energy</t>
  </si>
  <si>
    <t>Simply Energy</t>
  </si>
  <si>
    <t>Red Energy</t>
  </si>
  <si>
    <t>July 2018</t>
  </si>
  <si>
    <t>Time structure code</t>
  </si>
  <si>
    <t>Online sign up discount off bill (%)</t>
  </si>
  <si>
    <t>Online sign up discount off usage (%)</t>
  </si>
  <si>
    <t>Home office product? (y/blank)</t>
  </si>
  <si>
    <t>Price fix (months)</t>
  </si>
  <si>
    <t>Price fix (date)</t>
  </si>
  <si>
    <t>SA</t>
    <phoneticPr fontId="3" type="noConversion"/>
  </si>
  <si>
    <t>Envestra Adelaide</t>
    <phoneticPr fontId="3" type="noConversion"/>
  </si>
  <si>
    <t xml:space="preserve">Alinta Energy </t>
    <phoneticPr fontId="3" type="noConversion"/>
  </si>
  <si>
    <t>Fair Deal</t>
    <phoneticPr fontId="3" type="noConversion"/>
  </si>
  <si>
    <t>n</t>
    <phoneticPr fontId="3" type="noConversion"/>
  </si>
  <si>
    <t>Y</t>
  </si>
  <si>
    <t>https://www.alintaenergy.com.au/Alinta/media/Documents/Fair-Deal-25-(Single-Rate)-Dual.pdf</t>
  </si>
  <si>
    <t>EnergyAustralia</t>
    <phoneticPr fontId="3" type="noConversion"/>
  </si>
  <si>
    <t xml:space="preserve">Anytime Saver </t>
    <phoneticPr fontId="3" type="noConversion"/>
  </si>
  <si>
    <t>$50 credit if signing up online</t>
  </si>
  <si>
    <t>Account credit</t>
    <phoneticPr fontId="3" type="noConversion"/>
  </si>
  <si>
    <t>N</t>
    <phoneticPr fontId="3" type="noConversion"/>
  </si>
  <si>
    <t>Not available</t>
  </si>
  <si>
    <t>Simply Energy</t>
    <phoneticPr fontId="3" type="noConversion"/>
  </si>
  <si>
    <t>Plus</t>
    <phoneticPr fontId="3" type="noConversion"/>
  </si>
  <si>
    <t>n</t>
  </si>
  <si>
    <t>Red Energy</t>
    <phoneticPr fontId="3" type="noConversion"/>
  </si>
  <si>
    <t>Easy Saver</t>
    <phoneticPr fontId="3" type="noConversion"/>
  </si>
  <si>
    <t>N</t>
  </si>
  <si>
    <t>July 2019</t>
  </si>
  <si>
    <t>quarterly</t>
  </si>
  <si>
    <t>quarterly</t>
    <phoneticPr fontId="9" type="noConversion"/>
  </si>
  <si>
    <t>Envestra Adelaide</t>
    <phoneticPr fontId="9" type="noConversion"/>
  </si>
  <si>
    <t>Lumo Energy</t>
  </si>
  <si>
    <t>Basic</t>
  </si>
  <si>
    <t>No Fuss</t>
  </si>
  <si>
    <t>Smart Saver</t>
  </si>
  <si>
    <t>Flexi</t>
  </si>
  <si>
    <t>Total Plan</t>
  </si>
  <si>
    <t>n</t>
    <phoneticPr fontId="4" type="noConversion"/>
  </si>
  <si>
    <t xml:space="preserve">$30 credit at every anniversary since start of supply </t>
  </si>
  <si>
    <t>Y</t>
    <phoneticPr fontId="4" type="noConversion"/>
  </si>
  <si>
    <t>N</t>
    <phoneticPr fontId="4" type="noConversion"/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</si>
  <si>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</si>
  <si>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</si>
  <si>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</si>
  <si>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</si>
  <si>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</si>
  <si>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</si>
  <si>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</si>
  <si>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</si>
  <si>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Mandatory shortened billing cycle (months)</t>
  </si>
  <si>
    <t>Note about consumption</t>
  </si>
  <si>
    <t>Type of discount</t>
  </si>
  <si>
    <t>Discount is inclusive or exclusive of GST</t>
  </si>
  <si>
    <t xml:space="preserve">*The spreadsheets (bills) are interactive spreadsheets where quarterly consumption (MJ)   </t>
  </si>
  <si>
    <t>Insert quartely consumption (MJ):</t>
  </si>
  <si>
    <t>Insert quarterly consumption (MJ):</t>
  </si>
  <si>
    <t>July 2020</t>
  </si>
  <si>
    <t>SA</t>
  </si>
  <si>
    <t>Essentials Saver</t>
  </si>
  <si>
    <t>bi-monthly</t>
  </si>
  <si>
    <t xml:space="preserve"> </t>
  </si>
  <si>
    <t>https://www.energymadeeasy.gov.au/plan?id=AGL15413MRG&amp;postcode=5000</t>
  </si>
  <si>
    <t>Unchanged</t>
  </si>
  <si>
    <t>https://www.energymadeeasy.gov.au/plan?id=ALI13078MRG&amp;postcode=5000</t>
  </si>
  <si>
    <t>https://www.energymadeeasy.gov.au/plan?id=ORI15581MRG2&amp;postcode=5000</t>
  </si>
  <si>
    <t>Saver</t>
  </si>
  <si>
    <t>https://www.energymadeeasy.gov.au/plan?id=SIM61543MRG2&amp;postcode=5000&amp;utm_source=Simply%20Energy&amp;utm_campaign=bpi-retailer&amp;utm_medium=retailer</t>
  </si>
  <si>
    <t>Living Energy Saver</t>
  </si>
  <si>
    <t>https://www.energymadeeasy.gov.au/plan?id=RED21488MRG&amp;postcode=5000</t>
  </si>
  <si>
    <t>https://www.energymadeeasy.gov.au/plan?id=LUM19158MRG&amp;postcode=5000</t>
  </si>
  <si>
    <t>GloBird Energy</t>
  </si>
  <si>
    <t>GloSave</t>
  </si>
  <si>
    <t>https://www.energymadeeasy.gov.au/plan?id=ENE19174MRG&amp;utm_source=EnergyAustralia&amp;utm_campaign=bpi-retailer&amp;utm_medium=retailer&amp;postcode=5000</t>
  </si>
  <si>
    <t>https://www.energymadeeasy.gov.au/plan?id=GLO94489MRG&amp;postcode=5000</t>
  </si>
  <si>
    <t>Annual bill (incl GST)</t>
  </si>
  <si>
    <t>Globird Energy</t>
  </si>
  <si>
    <t xml:space="preserve">Report 6: South Australian Energy Prices July 2017, An update report (August 2017)   </t>
  </si>
  <si>
    <t xml:space="preserve">Report 7: South Australian Energy Prices July 2018, An update report (September 2018)   </t>
  </si>
  <si>
    <t xml:space="preserve">Report 8: South Australian Energy Prices July 2019, An update report (September 2019)   </t>
  </si>
  <si>
    <t xml:space="preserve">Report 9: South Australian Energy Prices July 2020, An update report (September 2020)   </t>
  </si>
  <si>
    <t xml:space="preserve">Report 10: South Australian Energy Prices July 2021, An update report (August 2021)   </t>
  </si>
  <si>
    <t>July 2021</t>
  </si>
  <si>
    <t>AGN SA</t>
  </si>
  <si>
    <t>Flexible Saver</t>
  </si>
  <si>
    <t>AGN Metro</t>
  </si>
  <si>
    <t>Home Deal</t>
  </si>
  <si>
    <t>https://www.energymadeeasy.gov.au/plan?id=ALI49393MRG&amp;postcode=5000</t>
  </si>
  <si>
    <t>Go Variable</t>
  </si>
  <si>
    <t>https://www.energymadeeasy.gov.au/plan?id=ORI208120MRG&amp;postcode=5000</t>
  </si>
  <si>
    <t>https://www.energymadeeasy.gov.au/plan?id=SIM244166MRG&amp;utm_source=Simply%20Energy&amp;utm_campaign=bpi-retailer&amp;utm_medium=retailer&amp;postcode=5000</t>
  </si>
  <si>
    <t>Plus</t>
  </si>
  <si>
    <t>https://www.energymadeeasy.gov.au/plan?id=LUM19146MRG&amp;postcode=5000</t>
  </si>
  <si>
    <t xml:space="preserve">Online sign-up credit </t>
  </si>
  <si>
    <t>https://www.energymadeeasy.gov.au/plan?id=GLO250889MRG&amp;postcode=5000</t>
  </si>
  <si>
    <t>July 2022</t>
  </si>
  <si>
    <t>Workbook 4: Gas Market offers</t>
  </si>
  <si>
    <t xml:space="preserve">Report 11: South Australian Energy Prices July 2022, An update report (August 2022)   </t>
  </si>
  <si>
    <t>SA</t>
    <phoneticPr fontId="0" type="noConversion"/>
  </si>
  <si>
    <t>AGL</t>
    <phoneticPr fontId="0" type="noConversion"/>
  </si>
  <si>
    <t>Value Saver</t>
  </si>
  <si>
    <t>n</t>
    <phoneticPr fontId="0" type="noConversion"/>
  </si>
  <si>
    <t>N</t>
    <phoneticPr fontId="0" type="noConversion"/>
  </si>
  <si>
    <t>E-billing only.</t>
  </si>
  <si>
    <t>https://www.energymadeeasy.gov.au/plan?id=AGL359236MRG&amp;postcode=5000</t>
  </si>
  <si>
    <t>EnergyAustralia</t>
    <phoneticPr fontId="0" type="noConversion"/>
  </si>
  <si>
    <t>Flexi Plan</t>
  </si>
  <si>
    <t>$25 sign up credit</t>
  </si>
  <si>
    <t>Account credit available to customers that sign up via Energy Australia`s website only.</t>
  </si>
  <si>
    <t>https://www.energymadeeasy.gov.au/plan?id=ENE379833MR&amp;utm_source=EnergyAustralia&amp;utm_campaign=bpi-retailer&amp;utm_medium=retailer&amp;postcode=5000</t>
  </si>
  <si>
    <t>Origin Energy</t>
    <phoneticPr fontId="0" type="noConversion"/>
  </si>
  <si>
    <t>https://www.energymadeeasy.gov.au/plan?id=ORI431059MRG1&amp;postcode=5000</t>
  </si>
  <si>
    <t>Simply Energy</t>
    <phoneticPr fontId="0" type="noConversion"/>
  </si>
  <si>
    <t>https://www.energymadeeasy.gov.au/plan?id=SIM423024MRG1&amp;postcode=5000</t>
  </si>
  <si>
    <t>Red Energy</t>
    <phoneticPr fontId="0" type="noConversion"/>
  </si>
  <si>
    <t>https://www.energymadeeasy.gov.au/plan?id=RED21488MRG5&amp;postcode=5000</t>
  </si>
  <si>
    <t>https://www.energymadeeasy.gov.au/plan?id=LUM19146MRG8&amp;postcode=5000</t>
  </si>
  <si>
    <t>Boost</t>
  </si>
  <si>
    <t>https://www.energymadeeasy.gov.au/plan?id=GLO404007MRG1&amp;postcode=5000</t>
  </si>
  <si>
    <t>July 2023</t>
  </si>
  <si>
    <t>*Gas Market offers July 2012 - July 2023</t>
  </si>
  <si>
    <t xml:space="preserve">The South Australian Tariff-Tracking project has produced 5 workbooks and 12 reports: </t>
  </si>
  <si>
    <t>Workbook 1: Electricity standing offers July 2009 - July 2023</t>
  </si>
  <si>
    <t>Workbook 2: Gas standing offers July 2009 - July 2023</t>
  </si>
  <si>
    <t>Workbook 3: Published electricity market offers as of July 2012 - July 2023</t>
  </si>
  <si>
    <t>Workbook 4: Published gas market offers as of July 2012 - July 2023</t>
  </si>
  <si>
    <t>Workbook 5: Solar offers July 2016 - July 2023</t>
  </si>
  <si>
    <t xml:space="preserve">Report 12: South Australian Energy Prices July 2023, An update report (August 2023)   </t>
  </si>
  <si>
    <t>https://www.energymadeeasy.gov.au/plan?id=AGL359236MRG9&amp;postcode=5000</t>
  </si>
  <si>
    <t>https://www.energymadeeasy.gov.au/plan?id=ENE379833MRG14&amp;postcode=5000</t>
  </si>
  <si>
    <t>https://www.energymadeeasy.gov.au/plan?id=ORI431059MRG5&amp;postcode=5000</t>
  </si>
  <si>
    <t>https://www.energymadeeasy.gov.au/plan?id=SIM590081MRG1&amp;postcode=5000</t>
  </si>
  <si>
    <t>https://www.energymadeeasy.gov.au/plan?id=RED552152MRG2&amp;postcode=5000</t>
  </si>
  <si>
    <t>https://www.energymadeeasy.gov.au/plan?id=LUM538761MRG5&amp;postcode=5000</t>
  </si>
  <si>
    <t>https://www.energymadeeasy.gov.au/plan?id=GLO592083MRG2&amp;postcode=5000</t>
  </si>
  <si>
    <t>NEW</t>
  </si>
  <si>
    <t>Alinta Energy</t>
  </si>
  <si>
    <t>HomeDeal</t>
  </si>
  <si>
    <t>https://www.energymadeeasy.gov.au/plan?id=ALI463796MRG5&amp;postcode=5000</t>
  </si>
  <si>
    <t>CovaU</t>
  </si>
  <si>
    <t>Freedom</t>
  </si>
  <si>
    <t>https://www.energymadeeasy.gov.au/plan?id=COV521841MRG2&amp;postcode=5000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</si>
</sst>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</numFmts>
  <fonts count="42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1"/>
      <color indexed="57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45"/>
      <name val="Arial"/>
      <family val="2"/>
    </font>
    <font>
      <sz val="10"/>
      <color indexed="45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z val="10"/>
      <color indexed="18"/>
      <name val="Arial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sz val="10"/>
      <color indexed="17"/>
      <name val="Arial"/>
      <family val="2"/>
    </font>
    <font>
      <sz val="10"/>
      <color indexed="10"/>
      <name val="Arial"/>
      <family val="2"/>
    </font>
    <font>
      <b/>
      <sz val="10"/>
      <color indexed="18"/>
      <name val="Arial"/>
      <family val="2"/>
    </font>
    <font>
      <sz val="10"/>
      <color indexed="9"/>
      <name val="Verdana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u/>
      <sz val="10"/>
      <color indexed="12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1"/>
      <color rgb="FFFF0000"/>
      <name val="Arial"/>
      <family val="2"/>
    </font>
    <font>
      <sz val="10"/>
      <color rgb="FF000000"/>
      <name val="Verdana"/>
      <family val="2"/>
    </font>
    <font>
      <sz val="10"/>
      <name val="Verdana"/>
      <family val="2"/>
    </font>
    <font>
      <b/>
      <sz val="10"/>
      <color rgb="FFFF0000"/>
      <name val="Verdana"/>
      <family val="2"/>
    </font>
    <font>
      <sz val="10"/>
      <color theme="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7A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2" fillId="0" borderId="0"/>
    <xf numFmtId="43" fontId="37" fillId="0" borderId="0" applyFont="0" applyFill="0" applyBorder="0" applyAlignment="0" applyProtection="0"/>
  </cellStyleXfs>
  <cellXfs count="350">
    <xf numFmtId="0" fontId="0" fillId="0" borderId="0" xfId="0"/>
    <xf numFmtId="0" fontId="15" fillId="5" borderId="0" xfId="0" applyFont="1" applyFill="1"/>
    <xf numFmtId="0" fontId="0" fillId="5" borderId="0" xfId="0" applyFill="1"/>
    <xf numFmtId="0" fontId="14" fillId="0" borderId="9" xfId="0" applyFont="1" applyBorder="1"/>
    <xf numFmtId="0" fontId="0" fillId="0" borderId="9" xfId="0" applyBorder="1"/>
    <xf numFmtId="0" fontId="0" fillId="4" borderId="9" xfId="0" applyFill="1" applyBorder="1"/>
    <xf numFmtId="0" fontId="16" fillId="0" borderId="0" xfId="0" applyFont="1"/>
    <xf numFmtId="0" fontId="0" fillId="0" borderId="10" xfId="0" applyBorder="1"/>
    <xf numFmtId="0" fontId="0" fillId="4" borderId="0" xfId="0" applyFill="1"/>
    <xf numFmtId="0" fontId="6" fillId="0" borderId="10" xfId="0" applyFont="1" applyBorder="1"/>
    <xf numFmtId="0" fontId="6" fillId="0" borderId="0" xfId="0" applyFont="1"/>
    <xf numFmtId="0" fontId="19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6" fontId="0" fillId="0" borderId="0" xfId="0" applyNumberFormat="1" applyAlignment="1" applyProtection="1">
      <alignment horizontal="left"/>
      <protection hidden="1"/>
    </xf>
    <xf numFmtId="9" fontId="0" fillId="0" borderId="0" xfId="0" applyNumberFormat="1" applyAlignment="1" applyProtection="1">
      <alignment horizontal="left"/>
      <protection hidden="1"/>
    </xf>
    <xf numFmtId="0" fontId="14" fillId="0" borderId="0" xfId="0" applyFont="1"/>
    <xf numFmtId="0" fontId="19" fillId="0" borderId="0" xfId="0" applyFont="1"/>
    <xf numFmtId="0" fontId="0" fillId="0" borderId="0" xfId="0" applyAlignment="1">
      <alignment horizontal="right"/>
    </xf>
    <xf numFmtId="0" fontId="0" fillId="0" borderId="10" xfId="0" applyBorder="1" applyAlignment="1">
      <alignment horizontal="right"/>
    </xf>
    <xf numFmtId="0" fontId="15" fillId="6" borderId="0" xfId="0" applyFont="1" applyFill="1"/>
    <xf numFmtId="0" fontId="0" fillId="6" borderId="0" xfId="0" applyFill="1"/>
    <xf numFmtId="0" fontId="0" fillId="4" borderId="10" xfId="0" applyFill="1" applyBorder="1"/>
    <xf numFmtId="0" fontId="15" fillId="0" borderId="0" xfId="0" applyFont="1" applyProtection="1">
      <protection hidden="1"/>
    </xf>
    <xf numFmtId="0" fontId="0" fillId="0" borderId="0" xfId="0" applyProtection="1">
      <protection hidden="1"/>
    </xf>
    <xf numFmtId="0" fontId="15" fillId="5" borderId="10" xfId="0" applyFont="1" applyFill="1" applyBorder="1" applyProtection="1">
      <protection hidden="1"/>
    </xf>
    <xf numFmtId="0" fontId="0" fillId="5" borderId="10" xfId="0" applyFill="1" applyBorder="1" applyProtection="1">
      <protection hidden="1"/>
    </xf>
    <xf numFmtId="0" fontId="10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23" fillId="0" borderId="0" xfId="0" applyFont="1" applyProtection="1">
      <protection hidden="1"/>
    </xf>
    <xf numFmtId="49" fontId="0" fillId="0" borderId="0" xfId="0" applyNumberFormat="1" applyProtection="1">
      <protection hidden="1"/>
    </xf>
    <xf numFmtId="0" fontId="24" fillId="0" borderId="0" xfId="0" applyFont="1" applyProtection="1">
      <protection hidden="1"/>
    </xf>
    <xf numFmtId="2" fontId="0" fillId="0" borderId="0" xfId="0" applyNumberFormat="1" applyProtection="1">
      <protection hidden="1"/>
    </xf>
    <xf numFmtId="0" fontId="0" fillId="4" borderId="0" xfId="0" applyFill="1" applyProtection="1">
      <protection hidden="1"/>
    </xf>
    <xf numFmtId="3" fontId="5" fillId="4" borderId="0" xfId="0" applyNumberFormat="1" applyFont="1" applyFill="1" applyProtection="1">
      <protection hidden="1"/>
    </xf>
    <xf numFmtId="0" fontId="10" fillId="4" borderId="0" xfId="0" applyFont="1" applyFill="1" applyProtection="1">
      <protection hidden="1"/>
    </xf>
    <xf numFmtId="3" fontId="4" fillId="4" borderId="0" xfId="0" applyNumberFormat="1" applyFont="1" applyFill="1" applyProtection="1">
      <protection hidden="1"/>
    </xf>
    <xf numFmtId="0" fontId="0" fillId="0" borderId="0" xfId="0" applyAlignment="1" applyProtection="1">
      <alignment horizontal="right"/>
      <protection hidden="1"/>
    </xf>
    <xf numFmtId="2" fontId="0" fillId="0" borderId="0" xfId="0" applyNumberFormat="1" applyAlignment="1" applyProtection="1">
      <alignment horizontal="right"/>
      <protection hidden="1"/>
    </xf>
    <xf numFmtId="0" fontId="10" fillId="3" borderId="0" xfId="0" applyFont="1" applyFill="1" applyProtection="1">
      <protection locked="0"/>
    </xf>
    <xf numFmtId="0" fontId="15" fillId="6" borderId="10" xfId="0" applyFont="1" applyFill="1" applyBorder="1" applyProtection="1">
      <protection hidden="1"/>
    </xf>
    <xf numFmtId="0" fontId="0" fillId="6" borderId="10" xfId="0" applyFill="1" applyBorder="1" applyProtection="1">
      <protection hidden="1"/>
    </xf>
    <xf numFmtId="0" fontId="8" fillId="2" borderId="0" xfId="0" applyFont="1" applyFill="1" applyProtection="1">
      <protection hidden="1"/>
    </xf>
    <xf numFmtId="0" fontId="10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11" fillId="2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9" fillId="2" borderId="0" xfId="0" applyFont="1" applyFill="1" applyProtection="1">
      <protection hidden="1"/>
    </xf>
    <xf numFmtId="0" fontId="14" fillId="2" borderId="3" xfId="0" applyFont="1" applyFill="1" applyBorder="1" applyProtection="1">
      <protection hidden="1"/>
    </xf>
    <xf numFmtId="0" fontId="15" fillId="2" borderId="4" xfId="0" applyFont="1" applyFill="1" applyBorder="1" applyProtection="1">
      <protection hidden="1"/>
    </xf>
    <xf numFmtId="0" fontId="15" fillId="2" borderId="5" xfId="0" applyFont="1" applyFill="1" applyBorder="1" applyProtection="1">
      <protection hidden="1"/>
    </xf>
    <xf numFmtId="0" fontId="15" fillId="2" borderId="1" xfId="0" applyFont="1" applyFill="1" applyBorder="1" applyProtection="1">
      <protection hidden="1"/>
    </xf>
    <xf numFmtId="0" fontId="15" fillId="2" borderId="0" xfId="0" applyFont="1" applyFill="1" applyProtection="1">
      <protection hidden="1"/>
    </xf>
    <xf numFmtId="0" fontId="15" fillId="2" borderId="2" xfId="0" applyFont="1" applyFill="1" applyBorder="1" applyProtection="1">
      <protection hidden="1"/>
    </xf>
    <xf numFmtId="0" fontId="15" fillId="2" borderId="6" xfId="0" applyFont="1" applyFill="1" applyBorder="1" applyProtection="1">
      <protection hidden="1"/>
    </xf>
    <xf numFmtId="0" fontId="15" fillId="2" borderId="7" xfId="0" applyFont="1" applyFill="1" applyBorder="1" applyProtection="1">
      <protection hidden="1"/>
    </xf>
    <xf numFmtId="0" fontId="15" fillId="2" borderId="8" xfId="0" applyFont="1" applyFill="1" applyBorder="1" applyProtection="1">
      <protection hidden="1"/>
    </xf>
    <xf numFmtId="49" fontId="0" fillId="2" borderId="0" xfId="0" applyNumberFormat="1" applyFill="1" applyProtection="1">
      <protection hidden="1"/>
    </xf>
    <xf numFmtId="0" fontId="27" fillId="2" borderId="0" xfId="0" applyFont="1" applyFill="1" applyProtection="1">
      <protection hidden="1"/>
    </xf>
    <xf numFmtId="0" fontId="15" fillId="7" borderId="10" xfId="0" applyFont="1" applyFill="1" applyBorder="1" applyProtection="1">
      <protection hidden="1"/>
    </xf>
    <xf numFmtId="0" fontId="0" fillId="7" borderId="10" xfId="0" applyFill="1" applyBorder="1" applyProtection="1">
      <protection hidden="1"/>
    </xf>
    <xf numFmtId="0" fontId="15" fillId="7" borderId="0" xfId="0" applyFont="1" applyFill="1"/>
    <xf numFmtId="0" fontId="0" fillId="7" borderId="0" xfId="0" applyFill="1"/>
    <xf numFmtId="0" fontId="15" fillId="8" borderId="10" xfId="0" applyFont="1" applyFill="1" applyBorder="1" applyProtection="1">
      <protection hidden="1"/>
    </xf>
    <xf numFmtId="0" fontId="0" fillId="8" borderId="10" xfId="0" applyFill="1" applyBorder="1" applyProtection="1">
      <protection hidden="1"/>
    </xf>
    <xf numFmtId="0" fontId="15" fillId="8" borderId="0" xfId="0" applyFont="1" applyFill="1"/>
    <xf numFmtId="0" fontId="0" fillId="8" borderId="0" xfId="0" applyFill="1"/>
    <xf numFmtId="0" fontId="28" fillId="2" borderId="0" xfId="0" applyFont="1" applyFill="1" applyProtection="1">
      <protection hidden="1"/>
    </xf>
    <xf numFmtId="0" fontId="0" fillId="10" borderId="14" xfId="0" applyFill="1" applyBorder="1"/>
    <xf numFmtId="0" fontId="0" fillId="0" borderId="14" xfId="0" applyBorder="1" applyAlignment="1">
      <alignment horizontal="left"/>
    </xf>
    <xf numFmtId="0" fontId="0" fillId="0" borderId="14" xfId="0" applyBorder="1"/>
    <xf numFmtId="14" fontId="0" fillId="0" borderId="14" xfId="0" applyNumberFormat="1" applyBorder="1"/>
    <xf numFmtId="0" fontId="0" fillId="0" borderId="14" xfId="0" applyBorder="1" applyAlignment="1">
      <alignment horizontal="right"/>
    </xf>
    <xf numFmtId="1" fontId="0" fillId="0" borderId="14" xfId="0" applyNumberFormat="1" applyBorder="1"/>
    <xf numFmtId="0" fontId="0" fillId="0" borderId="14" xfId="0" applyBorder="1" applyAlignment="1">
      <alignment horizontal="center"/>
    </xf>
    <xf numFmtId="0" fontId="0" fillId="10" borderId="0" xfId="0" applyFill="1" applyAlignment="1">
      <alignment horizontal="right" wrapText="1"/>
    </xf>
    <xf numFmtId="0" fontId="0" fillId="10" borderId="0" xfId="0" applyFill="1" applyAlignment="1">
      <alignment horizontal="left" wrapText="1"/>
    </xf>
    <xf numFmtId="0" fontId="0" fillId="10" borderId="0" xfId="0" applyFill="1" applyAlignment="1">
      <alignment wrapText="1"/>
    </xf>
    <xf numFmtId="0" fontId="0" fillId="4" borderId="11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1" borderId="12" xfId="0" applyFill="1" applyBorder="1" applyAlignment="1">
      <alignment horizontal="right" wrapText="1"/>
    </xf>
    <xf numFmtId="0" fontId="0" fillId="12" borderId="0" xfId="0" applyFill="1" applyAlignment="1">
      <alignment horizontal="right" wrapText="1"/>
    </xf>
    <xf numFmtId="0" fontId="0" fillId="12" borderId="1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12" xfId="0" applyFill="1" applyBorder="1" applyAlignment="1">
      <alignment horizontal="right" wrapText="1"/>
    </xf>
    <xf numFmtId="0" fontId="0" fillId="9" borderId="0" xfId="0" applyFill="1" applyAlignment="1">
      <alignment horizontal="right" wrapText="1"/>
    </xf>
    <xf numFmtId="0" fontId="0" fillId="9" borderId="12" xfId="0" applyFill="1" applyBorder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3" borderId="13" xfId="0" applyFill="1" applyBorder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2" borderId="0" xfId="0" applyFill="1" applyAlignment="1">
      <alignment horizontal="center" wrapText="1"/>
    </xf>
    <xf numFmtId="0" fontId="0" fillId="14" borderId="0" xfId="0" applyFill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0" borderId="12" xfId="0" applyFill="1" applyBorder="1" applyAlignment="1">
      <alignment horizontal="right" wrapText="1"/>
    </xf>
    <xf numFmtId="1" fontId="0" fillId="7" borderId="14" xfId="0" applyNumberFormat="1" applyFill="1" applyBorder="1"/>
    <xf numFmtId="14" fontId="0" fillId="15" borderId="14" xfId="0" applyNumberFormat="1" applyFill="1" applyBorder="1"/>
    <xf numFmtId="0" fontId="27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0" fontId="28" fillId="9" borderId="0" xfId="0" applyFont="1" applyFill="1" applyProtection="1">
      <protection hidden="1"/>
    </xf>
    <xf numFmtId="0" fontId="27" fillId="9" borderId="7" xfId="0" applyFont="1" applyFill="1" applyBorder="1" applyProtection="1">
      <protection hidden="1"/>
    </xf>
    <xf numFmtId="0" fontId="29" fillId="2" borderId="3" xfId="0" applyFont="1" applyFill="1" applyBorder="1" applyProtection="1">
      <protection hidden="1"/>
    </xf>
    <xf numFmtId="0" fontId="29" fillId="2" borderId="4" xfId="0" applyFont="1" applyFill="1" applyBorder="1" applyProtection="1">
      <protection hidden="1"/>
    </xf>
    <xf numFmtId="0" fontId="27" fillId="2" borderId="4" xfId="0" applyFont="1" applyFill="1" applyBorder="1" applyProtection="1">
      <protection hidden="1"/>
    </xf>
    <xf numFmtId="0" fontId="27" fillId="2" borderId="5" xfId="0" applyFont="1" applyFill="1" applyBorder="1" applyProtection="1">
      <protection hidden="1"/>
    </xf>
    <xf numFmtId="0" fontId="27" fillId="2" borderId="1" xfId="0" applyFont="1" applyFill="1" applyBorder="1" applyProtection="1">
      <protection hidden="1"/>
    </xf>
    <xf numFmtId="0" fontId="27" fillId="2" borderId="2" xfId="0" applyFont="1" applyFill="1" applyBorder="1" applyProtection="1">
      <protection hidden="1"/>
    </xf>
    <xf numFmtId="0" fontId="0" fillId="0" borderId="1" xfId="0" applyBorder="1" applyProtection="1">
      <protection hidden="1"/>
    </xf>
    <xf numFmtId="3" fontId="0" fillId="0" borderId="0" xfId="0" applyNumberFormat="1" applyProtection="1">
      <protection hidden="1"/>
    </xf>
    <xf numFmtId="1" fontId="0" fillId="0" borderId="0" xfId="0" applyNumberFormat="1" applyProtection="1">
      <protection hidden="1"/>
    </xf>
    <xf numFmtId="3" fontId="1" fillId="4" borderId="0" xfId="0" applyNumberFormat="1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2" fontId="0" fillId="0" borderId="7" xfId="0" applyNumberFormat="1" applyBorder="1" applyProtection="1">
      <protection hidden="1"/>
    </xf>
    <xf numFmtId="3" fontId="0" fillId="0" borderId="7" xfId="0" applyNumberFormat="1" applyBorder="1" applyProtection="1">
      <protection hidden="1"/>
    </xf>
    <xf numFmtId="1" fontId="0" fillId="0" borderId="7" xfId="0" applyNumberFormat="1" applyBorder="1" applyProtection="1">
      <protection hidden="1"/>
    </xf>
    <xf numFmtId="3" fontId="1" fillId="4" borderId="7" xfId="0" applyNumberFormat="1" applyFont="1" applyFill="1" applyBorder="1" applyProtection="1"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3" fontId="28" fillId="3" borderId="0" xfId="0" applyNumberFormat="1" applyFont="1" applyFill="1" applyProtection="1">
      <protection locked="0"/>
    </xf>
    <xf numFmtId="3" fontId="0" fillId="15" borderId="0" xfId="0" applyNumberFormat="1" applyFill="1" applyProtection="1">
      <protection hidden="1"/>
    </xf>
    <xf numFmtId="2" fontId="0" fillId="15" borderId="0" xfId="0" applyNumberFormat="1" applyFill="1" applyProtection="1">
      <protection hidden="1"/>
    </xf>
    <xf numFmtId="1" fontId="0" fillId="15" borderId="0" xfId="0" applyNumberFormat="1" applyFill="1" applyProtection="1">
      <protection hidden="1"/>
    </xf>
    <xf numFmtId="14" fontId="0" fillId="14" borderId="14" xfId="0" applyNumberFormat="1" applyFill="1" applyBorder="1"/>
    <xf numFmtId="0" fontId="0" fillId="16" borderId="0" xfId="0" applyFill="1" applyProtection="1">
      <protection hidden="1"/>
    </xf>
    <xf numFmtId="0" fontId="0" fillId="17" borderId="0" xfId="0" applyFill="1" applyProtection="1">
      <protection hidden="1"/>
    </xf>
    <xf numFmtId="0" fontId="0" fillId="19" borderId="5" xfId="0" applyFill="1" applyBorder="1" applyProtection="1">
      <protection hidden="1"/>
    </xf>
    <xf numFmtId="0" fontId="0" fillId="2" borderId="1" xfId="0" applyFill="1" applyBorder="1" applyProtection="1">
      <protection hidden="1"/>
    </xf>
    <xf numFmtId="0" fontId="0" fillId="2" borderId="2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1" fillId="19" borderId="3" xfId="0" applyFont="1" applyFill="1" applyBorder="1" applyProtection="1">
      <protection hidden="1"/>
    </xf>
    <xf numFmtId="0" fontId="27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28" fillId="18" borderId="0" xfId="0" applyFont="1" applyFill="1" applyProtection="1">
      <protection hidden="1"/>
    </xf>
    <xf numFmtId="0" fontId="27" fillId="18" borderId="7" xfId="0" applyFont="1" applyFill="1" applyBorder="1" applyProtection="1">
      <protection hidden="1"/>
    </xf>
    <xf numFmtId="0" fontId="27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28" fillId="20" borderId="0" xfId="0" applyFont="1" applyFill="1" applyProtection="1">
      <protection hidden="1"/>
    </xf>
    <xf numFmtId="0" fontId="27" fillId="20" borderId="7" xfId="0" applyFont="1" applyFill="1" applyBorder="1" applyProtection="1">
      <protection hidden="1"/>
    </xf>
    <xf numFmtId="0" fontId="2" fillId="21" borderId="0" xfId="0" applyFont="1" applyFill="1" applyAlignment="1">
      <alignment horizontal="center" wrapText="1"/>
    </xf>
    <xf numFmtId="0" fontId="2" fillId="14" borderId="0" xfId="0" applyFont="1" applyFill="1" applyAlignment="1">
      <alignment horizontal="center" wrapText="1"/>
    </xf>
    <xf numFmtId="0" fontId="2" fillId="12" borderId="12" xfId="0" applyFont="1" applyFill="1" applyBorder="1" applyAlignment="1">
      <alignment horizontal="center" wrapText="1"/>
    </xf>
    <xf numFmtId="14" fontId="0" fillId="22" borderId="14" xfId="0" applyNumberFormat="1" applyFill="1" applyBorder="1"/>
    <xf numFmtId="0" fontId="2" fillId="0" borderId="0" xfId="0" applyFont="1"/>
    <xf numFmtId="14" fontId="0" fillId="22" borderId="14" xfId="0" applyNumberFormat="1" applyFill="1" applyBorder="1" applyAlignment="1">
      <alignment horizontal="right"/>
    </xf>
    <xf numFmtId="0" fontId="2" fillId="0" borderId="14" xfId="0" applyFont="1" applyBorder="1" applyAlignment="1">
      <alignment horizontal="center"/>
    </xf>
    <xf numFmtId="0" fontId="2" fillId="2" borderId="0" xfId="0" applyFont="1" applyFill="1" applyProtection="1">
      <protection hidden="1"/>
    </xf>
    <xf numFmtId="0" fontId="27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28" fillId="23" borderId="0" xfId="0" applyFont="1" applyFill="1" applyProtection="1">
      <protection hidden="1"/>
    </xf>
    <xf numFmtId="0" fontId="27" fillId="23" borderId="7" xfId="0" applyFont="1" applyFill="1" applyBorder="1" applyProtection="1">
      <protection hidden="1"/>
    </xf>
    <xf numFmtId="0" fontId="0" fillId="0" borderId="15" xfId="0" applyBorder="1" applyProtection="1">
      <protection hidden="1"/>
    </xf>
    <xf numFmtId="49" fontId="0" fillId="20" borderId="16" xfId="0" applyNumberFormat="1" applyFill="1" applyBorder="1" applyProtection="1">
      <protection hidden="1"/>
    </xf>
    <xf numFmtId="49" fontId="0" fillId="18" borderId="16" xfId="0" applyNumberFormat="1" applyFill="1" applyBorder="1" applyProtection="1">
      <protection hidden="1"/>
    </xf>
    <xf numFmtId="49" fontId="2" fillId="9" borderId="16" xfId="0" applyNumberFormat="1" applyFont="1" applyFill="1" applyBorder="1" applyProtection="1">
      <protection hidden="1"/>
    </xf>
    <xf numFmtId="49" fontId="25" fillId="8" borderId="16" xfId="0" applyNumberFormat="1" applyFont="1" applyFill="1" applyBorder="1" applyProtection="1">
      <protection hidden="1"/>
    </xf>
    <xf numFmtId="49" fontId="3" fillId="7" borderId="16" xfId="0" applyNumberFormat="1" applyFont="1" applyFill="1" applyBorder="1" applyProtection="1">
      <protection hidden="1"/>
    </xf>
    <xf numFmtId="49" fontId="25" fillId="6" borderId="16" xfId="0" applyNumberFormat="1" applyFont="1" applyFill="1" applyBorder="1" applyProtection="1">
      <protection hidden="1"/>
    </xf>
    <xf numFmtId="49" fontId="25" fillId="5" borderId="17" xfId="0" applyNumberFormat="1" applyFont="1" applyFill="1" applyBorder="1" applyProtection="1">
      <protection hidden="1"/>
    </xf>
    <xf numFmtId="49" fontId="2" fillId="23" borderId="16" xfId="0" applyNumberFormat="1" applyFont="1" applyFill="1" applyBorder="1" applyProtection="1">
      <protection hidden="1"/>
    </xf>
    <xf numFmtId="2" fontId="0" fillId="0" borderId="14" xfId="0" applyNumberFormat="1" applyBorder="1"/>
    <xf numFmtId="0" fontId="2" fillId="0" borderId="14" xfId="0" applyFont="1" applyBorder="1" applyAlignment="1">
      <alignment horizontal="right"/>
    </xf>
    <xf numFmtId="0" fontId="2" fillId="0" borderId="14" xfId="0" applyFont="1" applyBorder="1" applyAlignment="1">
      <alignment horizontal="left"/>
    </xf>
    <xf numFmtId="0" fontId="2" fillId="0" borderId="14" xfId="0" applyFont="1" applyBorder="1"/>
    <xf numFmtId="0" fontId="0" fillId="0" borderId="0" xfId="0" applyAlignment="1">
      <alignment horizontal="left"/>
    </xf>
    <xf numFmtId="38" fontId="0" fillId="0" borderId="14" xfId="0" applyNumberFormat="1" applyBorder="1" applyAlignment="1">
      <alignment horizontal="center"/>
    </xf>
    <xf numFmtId="0" fontId="2" fillId="0" borderId="0" xfId="1" applyFont="1" applyAlignment="1" applyProtection="1"/>
    <xf numFmtId="0" fontId="2" fillId="2" borderId="6" xfId="0" applyFont="1" applyFill="1" applyBorder="1" applyProtection="1">
      <protection hidden="1"/>
    </xf>
    <xf numFmtId="0" fontId="2" fillId="10" borderId="0" xfId="2" applyFill="1" applyAlignment="1">
      <alignment horizontal="right" wrapText="1"/>
    </xf>
    <xf numFmtId="0" fontId="2" fillId="10" borderId="0" xfId="2" applyFill="1" applyAlignment="1">
      <alignment horizontal="left" wrapText="1"/>
    </xf>
    <xf numFmtId="0" fontId="2" fillId="10" borderId="0" xfId="2" applyFill="1" applyAlignment="1">
      <alignment wrapText="1"/>
    </xf>
    <xf numFmtId="0" fontId="2" fillId="4" borderId="11" xfId="2" applyFill="1" applyBorder="1" applyAlignment="1">
      <alignment horizontal="right" wrapText="1"/>
    </xf>
    <xf numFmtId="2" fontId="2" fillId="4" borderId="0" xfId="2" applyNumberFormat="1" applyFill="1" applyAlignment="1">
      <alignment horizontal="right" wrapText="1"/>
    </xf>
    <xf numFmtId="2" fontId="2" fillId="24" borderId="0" xfId="2" applyNumberFormat="1" applyFill="1" applyAlignment="1">
      <alignment horizontal="right" wrapText="1"/>
    </xf>
    <xf numFmtId="0" fontId="2" fillId="11" borderId="0" xfId="2" applyFill="1" applyAlignment="1">
      <alignment horizontal="right" wrapText="1"/>
    </xf>
    <xf numFmtId="0" fontId="2" fillId="11" borderId="12" xfId="2" applyFill="1" applyBorder="1" applyAlignment="1">
      <alignment horizontal="right" wrapText="1"/>
    </xf>
    <xf numFmtId="0" fontId="2" fillId="25" borderId="0" xfId="2" applyFill="1" applyAlignment="1">
      <alignment horizontal="right" wrapText="1"/>
    </xf>
    <xf numFmtId="0" fontId="2" fillId="25" borderId="12" xfId="2" applyFill="1" applyBorder="1" applyAlignment="1">
      <alignment horizontal="right" wrapText="1"/>
    </xf>
    <xf numFmtId="0" fontId="2" fillId="12" borderId="0" xfId="2" applyFill="1" applyAlignment="1">
      <alignment horizontal="right" wrapText="1"/>
    </xf>
    <xf numFmtId="0" fontId="2" fillId="12" borderId="12" xfId="2" applyFill="1" applyBorder="1" applyAlignment="1">
      <alignment horizontal="right" wrapText="1"/>
    </xf>
    <xf numFmtId="0" fontId="2" fillId="7" borderId="0" xfId="2" applyFill="1" applyAlignment="1">
      <alignment horizontal="right" wrapText="1"/>
    </xf>
    <xf numFmtId="0" fontId="2" fillId="7" borderId="12" xfId="2" applyFill="1" applyBorder="1" applyAlignment="1">
      <alignment horizontal="right" wrapText="1"/>
    </xf>
    <xf numFmtId="0" fontId="2" fillId="9" borderId="0" xfId="2" applyFill="1" applyAlignment="1">
      <alignment horizontal="right" wrapText="1"/>
    </xf>
    <xf numFmtId="0" fontId="2" fillId="9" borderId="12" xfId="2" applyFill="1" applyBorder="1" applyAlignment="1">
      <alignment horizontal="right" wrapText="1"/>
    </xf>
    <xf numFmtId="0" fontId="2" fillId="13" borderId="0" xfId="2" applyFill="1" applyAlignment="1">
      <alignment horizontal="center" wrapText="1"/>
    </xf>
    <xf numFmtId="0" fontId="2" fillId="13" borderId="13" xfId="2" applyFill="1" applyBorder="1" applyAlignment="1">
      <alignment horizontal="center" wrapText="1"/>
    </xf>
    <xf numFmtId="0" fontId="2" fillId="21" borderId="0" xfId="2" applyFill="1" applyAlignment="1">
      <alignment horizontal="center" wrapText="1"/>
    </xf>
    <xf numFmtId="0" fontId="2" fillId="14" borderId="0" xfId="2" applyFill="1" applyAlignment="1">
      <alignment horizontal="center" wrapText="1"/>
    </xf>
    <xf numFmtId="0" fontId="2" fillId="12" borderId="0" xfId="2" applyFill="1" applyAlignment="1">
      <alignment horizontal="center" wrapText="1"/>
    </xf>
    <xf numFmtId="0" fontId="2" fillId="14" borderId="0" xfId="2" applyFill="1" applyAlignment="1">
      <alignment horizontal="right" wrapText="1"/>
    </xf>
    <xf numFmtId="0" fontId="2" fillId="12" borderId="12" xfId="2" applyFill="1" applyBorder="1" applyAlignment="1">
      <alignment horizontal="center" wrapText="1"/>
    </xf>
    <xf numFmtId="0" fontId="2" fillId="10" borderId="0" xfId="2" applyFill="1" applyAlignment="1">
      <alignment horizontal="center" wrapText="1"/>
    </xf>
    <xf numFmtId="0" fontId="2" fillId="10" borderId="12" xfId="2" applyFill="1" applyBorder="1" applyAlignment="1">
      <alignment horizontal="right" wrapText="1"/>
    </xf>
    <xf numFmtId="0" fontId="2" fillId="0" borderId="0" xfId="2"/>
    <xf numFmtId="0" fontId="2" fillId="10" borderId="14" xfId="2" applyFill="1" applyBorder="1"/>
    <xf numFmtId="0" fontId="2" fillId="0" borderId="14" xfId="2" applyBorder="1" applyAlignment="1">
      <alignment horizontal="left"/>
    </xf>
    <xf numFmtId="0" fontId="2" fillId="0" borderId="14" xfId="2" applyBorder="1"/>
    <xf numFmtId="2" fontId="2" fillId="0" borderId="14" xfId="2" applyNumberFormat="1" applyBorder="1"/>
    <xf numFmtId="0" fontId="2" fillId="0" borderId="14" xfId="2" applyBorder="1" applyAlignment="1">
      <alignment horizontal="right"/>
    </xf>
    <xf numFmtId="1" fontId="2" fillId="0" borderId="14" xfId="2" applyNumberFormat="1" applyBorder="1"/>
    <xf numFmtId="0" fontId="2" fillId="0" borderId="14" xfId="2" applyBorder="1" applyAlignment="1">
      <alignment horizontal="center"/>
    </xf>
    <xf numFmtId="38" fontId="2" fillId="0" borderId="14" xfId="2" applyNumberFormat="1" applyBorder="1" applyAlignment="1">
      <alignment horizontal="center"/>
    </xf>
    <xf numFmtId="0" fontId="2" fillId="0" borderId="0" xfId="2" applyAlignment="1">
      <alignment horizontal="center"/>
    </xf>
    <xf numFmtId="0" fontId="2" fillId="0" borderId="0" xfId="2" applyAlignment="1">
      <alignment horizontal="left"/>
    </xf>
    <xf numFmtId="0" fontId="29" fillId="2" borderId="3" xfId="2" applyFont="1" applyFill="1" applyBorder="1" applyProtection="1">
      <protection hidden="1"/>
    </xf>
    <xf numFmtId="0" fontId="29" fillId="2" borderId="4" xfId="2" applyFont="1" applyFill="1" applyBorder="1" applyProtection="1">
      <protection hidden="1"/>
    </xf>
    <xf numFmtId="0" fontId="27" fillId="2" borderId="4" xfId="2" applyFont="1" applyFill="1" applyBorder="1" applyProtection="1">
      <protection hidden="1"/>
    </xf>
    <xf numFmtId="0" fontId="27" fillId="2" borderId="5" xfId="2" applyFont="1" applyFill="1" applyBorder="1" applyProtection="1">
      <protection hidden="1"/>
    </xf>
    <xf numFmtId="0" fontId="27" fillId="2" borderId="1" xfId="2" applyFont="1" applyFill="1" applyBorder="1" applyProtection="1">
      <protection hidden="1"/>
    </xf>
    <xf numFmtId="0" fontId="27" fillId="2" borderId="0" xfId="2" applyFont="1" applyFill="1" applyProtection="1">
      <protection hidden="1"/>
    </xf>
    <xf numFmtId="0" fontId="2" fillId="0" borderId="0" xfId="2" applyProtection="1">
      <protection hidden="1"/>
    </xf>
    <xf numFmtId="0" fontId="27" fillId="2" borderId="2" xfId="2" applyFont="1" applyFill="1" applyBorder="1" applyProtection="1">
      <protection hidden="1"/>
    </xf>
    <xf numFmtId="0" fontId="2" fillId="0" borderId="1" xfId="2" applyBorder="1" applyProtection="1">
      <protection hidden="1"/>
    </xf>
    <xf numFmtId="2" fontId="2" fillId="0" borderId="0" xfId="2" applyNumberFormat="1" applyProtection="1">
      <protection hidden="1"/>
    </xf>
    <xf numFmtId="0" fontId="27" fillId="0" borderId="11" xfId="2" applyFont="1" applyBorder="1" applyProtection="1">
      <protection hidden="1"/>
    </xf>
    <xf numFmtId="0" fontId="2" fillId="0" borderId="0" xfId="2" applyAlignment="1" applyProtection="1">
      <alignment horizontal="center"/>
      <protection hidden="1"/>
    </xf>
    <xf numFmtId="0" fontId="2" fillId="0" borderId="2" xfId="2" applyBorder="1" applyAlignment="1" applyProtection="1">
      <alignment horizontal="center"/>
      <protection hidden="1"/>
    </xf>
    <xf numFmtId="0" fontId="2" fillId="0" borderId="6" xfId="2" applyBorder="1" applyProtection="1">
      <protection hidden="1"/>
    </xf>
    <xf numFmtId="0" fontId="2" fillId="0" borderId="7" xfId="2" applyBorder="1" applyProtection="1">
      <protection hidden="1"/>
    </xf>
    <xf numFmtId="2" fontId="2" fillId="0" borderId="7" xfId="2" applyNumberFormat="1" applyBorder="1" applyProtection="1">
      <protection hidden="1"/>
    </xf>
    <xf numFmtId="3" fontId="2" fillId="0" borderId="7" xfId="2" applyNumberFormat="1" applyBorder="1" applyProtection="1">
      <protection hidden="1"/>
    </xf>
    <xf numFmtId="0" fontId="27" fillId="0" borderId="18" xfId="2" applyFont="1" applyBorder="1" applyProtection="1">
      <protection hidden="1"/>
    </xf>
    <xf numFmtId="0" fontId="2" fillId="0" borderId="7" xfId="2" applyBorder="1" applyAlignment="1" applyProtection="1">
      <alignment horizontal="center"/>
      <protection hidden="1"/>
    </xf>
    <xf numFmtId="0" fontId="2" fillId="0" borderId="8" xfId="2" applyBorder="1" applyAlignment="1" applyProtection="1">
      <alignment horizontal="center"/>
      <protection hidden="1"/>
    </xf>
    <xf numFmtId="38" fontId="2" fillId="0" borderId="0" xfId="2" applyNumberFormat="1" applyAlignment="1" applyProtection="1">
      <alignment horizontal="center"/>
      <protection hidden="1"/>
    </xf>
    <xf numFmtId="38" fontId="2" fillId="0" borderId="7" xfId="2" applyNumberFormat="1" applyBorder="1" applyAlignment="1" applyProtection="1">
      <alignment horizontal="center"/>
      <protection hidden="1"/>
    </xf>
    <xf numFmtId="49" fontId="2" fillId="28" borderId="16" xfId="0" applyNumberFormat="1" applyFont="1" applyFill="1" applyBorder="1" applyProtection="1">
      <protection hidden="1"/>
    </xf>
    <xf numFmtId="0" fontId="27" fillId="28" borderId="0" xfId="2" applyFont="1" applyFill="1" applyProtection="1">
      <protection hidden="1"/>
    </xf>
    <xf numFmtId="0" fontId="2" fillId="28" borderId="0" xfId="2" applyFill="1" applyProtection="1">
      <protection hidden="1"/>
    </xf>
    <xf numFmtId="0" fontId="28" fillId="28" borderId="0" xfId="2" applyFont="1" applyFill="1" applyProtection="1">
      <protection hidden="1"/>
    </xf>
    <xf numFmtId="0" fontId="27" fillId="28" borderId="7" xfId="2" applyFont="1" applyFill="1" applyBorder="1" applyProtection="1">
      <protection hidden="1"/>
    </xf>
    <xf numFmtId="14" fontId="2" fillId="0" borderId="14" xfId="2" applyNumberFormat="1" applyBorder="1"/>
    <xf numFmtId="0" fontId="32" fillId="0" borderId="0" xfId="1" applyBorder="1" applyAlignment="1" applyProtection="1"/>
    <xf numFmtId="0" fontId="32" fillId="0" borderId="0" xfId="1" applyAlignment="1" applyProtection="1"/>
    <xf numFmtId="0" fontId="29" fillId="4" borderId="20" xfId="2" applyFont="1" applyFill="1" applyBorder="1" applyAlignment="1" applyProtection="1">
      <alignment wrapText="1"/>
      <protection hidden="1"/>
    </xf>
    <xf numFmtId="0" fontId="29" fillId="4" borderId="21" xfId="2" applyFont="1" applyFill="1" applyBorder="1" applyAlignment="1" applyProtection="1">
      <alignment wrapText="1"/>
      <protection hidden="1"/>
    </xf>
    <xf numFmtId="0" fontId="29" fillId="26" borderId="14" xfId="2" applyFont="1" applyFill="1" applyBorder="1" applyAlignment="1" applyProtection="1">
      <alignment wrapText="1"/>
      <protection hidden="1"/>
    </xf>
    <xf numFmtId="0" fontId="29" fillId="4" borderId="22" xfId="2" applyFont="1" applyFill="1" applyBorder="1" applyAlignment="1" applyProtection="1">
      <alignment wrapText="1"/>
      <protection hidden="1"/>
    </xf>
    <xf numFmtId="0" fontId="28" fillId="4" borderId="14" xfId="2" applyFont="1" applyFill="1" applyBorder="1" applyAlignment="1" applyProtection="1">
      <alignment wrapText="1"/>
      <protection hidden="1"/>
    </xf>
    <xf numFmtId="0" fontId="27" fillId="4" borderId="22" xfId="2" applyFont="1" applyFill="1" applyBorder="1" applyAlignment="1" applyProtection="1">
      <alignment horizontal="center" wrapText="1"/>
      <protection hidden="1"/>
    </xf>
    <xf numFmtId="0" fontId="27" fillId="4" borderId="14" xfId="2" applyFont="1" applyFill="1" applyBorder="1" applyAlignment="1" applyProtection="1">
      <alignment horizontal="center" wrapText="1"/>
      <protection hidden="1"/>
    </xf>
    <xf numFmtId="0" fontId="27" fillId="27" borderId="14" xfId="2" applyFont="1" applyFill="1" applyBorder="1" applyAlignment="1" applyProtection="1">
      <alignment horizontal="center" wrapText="1"/>
      <protection hidden="1"/>
    </xf>
    <xf numFmtId="0" fontId="28" fillId="4" borderId="14" xfId="2" applyFont="1" applyFill="1" applyBorder="1" applyAlignment="1" applyProtection="1">
      <alignment horizontal="center" wrapText="1"/>
      <protection hidden="1"/>
    </xf>
    <xf numFmtId="0" fontId="27" fillId="4" borderId="23" xfId="2" applyFont="1" applyFill="1" applyBorder="1" applyAlignment="1" applyProtection="1">
      <alignment horizontal="center" wrapText="1"/>
      <protection hidden="1"/>
    </xf>
    <xf numFmtId="0" fontId="27" fillId="4" borderId="21" xfId="2" applyFont="1" applyFill="1" applyBorder="1" applyAlignment="1" applyProtection="1">
      <alignment horizontal="center" wrapText="1"/>
      <protection hidden="1"/>
    </xf>
    <xf numFmtId="0" fontId="27" fillId="4" borderId="24" xfId="2" applyFont="1" applyFill="1" applyBorder="1" applyAlignment="1" applyProtection="1">
      <alignment horizontal="center" wrapText="1"/>
      <protection hidden="1"/>
    </xf>
    <xf numFmtId="0" fontId="28" fillId="27" borderId="14" xfId="2" applyFont="1" applyFill="1" applyBorder="1" applyAlignment="1" applyProtection="1">
      <alignment wrapText="1"/>
      <protection hidden="1"/>
    </xf>
    <xf numFmtId="0" fontId="27" fillId="27" borderId="14" xfId="2" applyFont="1" applyFill="1" applyBorder="1" applyAlignment="1" applyProtection="1">
      <alignment wrapText="1"/>
      <protection hidden="1"/>
    </xf>
    <xf numFmtId="0" fontId="28" fillId="27" borderId="14" xfId="2" applyFont="1" applyFill="1" applyBorder="1" applyAlignment="1" applyProtection="1">
      <alignment horizontal="center" wrapText="1"/>
      <protection hidden="1"/>
    </xf>
    <xf numFmtId="3" fontId="2" fillId="0" borderId="0" xfId="2" applyNumberFormat="1" applyProtection="1">
      <protection hidden="1"/>
    </xf>
    <xf numFmtId="3" fontId="27" fillId="0" borderId="0" xfId="2" applyNumberFormat="1" applyFont="1" applyProtection="1">
      <protection hidden="1"/>
    </xf>
    <xf numFmtId="3" fontId="27" fillId="0" borderId="19" xfId="2" applyNumberFormat="1" applyFont="1" applyBorder="1" applyProtection="1">
      <protection hidden="1"/>
    </xf>
    <xf numFmtId="3" fontId="27" fillId="0" borderId="7" xfId="2" applyNumberFormat="1" applyFont="1" applyBorder="1" applyProtection="1">
      <protection hidden="1"/>
    </xf>
    <xf numFmtId="3" fontId="1" fillId="0" borderId="9" xfId="2" applyNumberFormat="1" applyFont="1" applyBorder="1" applyProtection="1">
      <protection hidden="1"/>
    </xf>
    <xf numFmtId="3" fontId="1" fillId="0" borderId="0" xfId="2" applyNumberFormat="1" applyFont="1" applyProtection="1">
      <protection hidden="1"/>
    </xf>
    <xf numFmtId="3" fontId="1" fillId="0" borderId="25" xfId="2" applyNumberFormat="1" applyFont="1" applyBorder="1" applyProtection="1">
      <protection hidden="1"/>
    </xf>
    <xf numFmtId="3" fontId="28" fillId="26" borderId="9" xfId="2" applyNumberFormat="1" applyFont="1" applyFill="1" applyBorder="1" applyProtection="1">
      <protection hidden="1"/>
    </xf>
    <xf numFmtId="3" fontId="28" fillId="26" borderId="0" xfId="2" applyNumberFormat="1" applyFont="1" applyFill="1" applyProtection="1">
      <protection hidden="1"/>
    </xf>
    <xf numFmtId="3" fontId="28" fillId="26" borderId="25" xfId="2" applyNumberFormat="1" applyFont="1" applyFill="1" applyBorder="1" applyProtection="1">
      <protection hidden="1"/>
    </xf>
    <xf numFmtId="0" fontId="29" fillId="4" borderId="20" xfId="0" applyFont="1" applyFill="1" applyBorder="1" applyAlignment="1" applyProtection="1">
      <alignment wrapText="1"/>
      <protection hidden="1"/>
    </xf>
    <xf numFmtId="0" fontId="29" fillId="4" borderId="21" xfId="0" applyFont="1" applyFill="1" applyBorder="1" applyAlignment="1" applyProtection="1">
      <alignment wrapText="1"/>
      <protection hidden="1"/>
    </xf>
    <xf numFmtId="0" fontId="29" fillId="4" borderId="14" xfId="0" applyFont="1" applyFill="1" applyBorder="1" applyAlignment="1" applyProtection="1">
      <alignment wrapText="1"/>
      <protection hidden="1"/>
    </xf>
    <xf numFmtId="0" fontId="29" fillId="4" borderId="22" xfId="0" applyFont="1" applyFill="1" applyBorder="1" applyAlignment="1" applyProtection="1">
      <alignment wrapText="1"/>
      <protection hidden="1"/>
    </xf>
    <xf numFmtId="0" fontId="28" fillId="4" borderId="14" xfId="0" applyFont="1" applyFill="1" applyBorder="1" applyAlignment="1" applyProtection="1">
      <alignment wrapText="1"/>
      <protection hidden="1"/>
    </xf>
    <xf numFmtId="0" fontId="27" fillId="4" borderId="14" xfId="0" applyFont="1" applyFill="1" applyBorder="1" applyAlignment="1" applyProtection="1">
      <alignment wrapText="1"/>
      <protection hidden="1"/>
    </xf>
    <xf numFmtId="0" fontId="27" fillId="4" borderId="22" xfId="0" applyFont="1" applyFill="1" applyBorder="1" applyAlignment="1" applyProtection="1">
      <alignment horizontal="center" wrapText="1"/>
      <protection hidden="1"/>
    </xf>
    <xf numFmtId="0" fontId="27" fillId="4" borderId="14" xfId="0" applyFont="1" applyFill="1" applyBorder="1" applyAlignment="1" applyProtection="1">
      <alignment horizontal="center" wrapText="1"/>
      <protection hidden="1"/>
    </xf>
    <xf numFmtId="0" fontId="28" fillId="4" borderId="14" xfId="0" applyFont="1" applyFill="1" applyBorder="1" applyAlignment="1" applyProtection="1">
      <alignment horizontal="center" wrapText="1"/>
      <protection hidden="1"/>
    </xf>
    <xf numFmtId="0" fontId="27" fillId="4" borderId="23" xfId="0" applyFont="1" applyFill="1" applyBorder="1" applyAlignment="1" applyProtection="1">
      <alignment horizontal="center" wrapText="1"/>
      <protection hidden="1"/>
    </xf>
    <xf numFmtId="0" fontId="27" fillId="4" borderId="21" xfId="0" applyFont="1" applyFill="1" applyBorder="1" applyAlignment="1" applyProtection="1">
      <alignment horizontal="center" wrapText="1"/>
      <protection hidden="1"/>
    </xf>
    <xf numFmtId="0" fontId="27" fillId="4" borderId="24" xfId="0" applyFont="1" applyFill="1" applyBorder="1" applyAlignment="1" applyProtection="1">
      <alignment horizontal="center" wrapText="1"/>
      <protection hidden="1"/>
    </xf>
    <xf numFmtId="0" fontId="28" fillId="27" borderId="14" xfId="0" applyFont="1" applyFill="1" applyBorder="1" applyAlignment="1" applyProtection="1">
      <alignment horizontal="center" wrapText="1"/>
      <protection hidden="1"/>
    </xf>
    <xf numFmtId="0" fontId="28" fillId="27" borderId="14" xfId="0" applyFont="1" applyFill="1" applyBorder="1" applyAlignment="1" applyProtection="1">
      <alignment wrapText="1"/>
      <protection hidden="1"/>
    </xf>
    <xf numFmtId="0" fontId="27" fillId="27" borderId="14" xfId="0" applyFont="1" applyFill="1" applyBorder="1" applyAlignment="1" applyProtection="1">
      <alignment wrapText="1"/>
      <protection hidden="1"/>
    </xf>
    <xf numFmtId="3" fontId="1" fillId="0" borderId="9" xfId="0" applyNumberFormat="1" applyFont="1" applyBorder="1" applyProtection="1">
      <protection hidden="1"/>
    </xf>
    <xf numFmtId="3" fontId="1" fillId="0" borderId="0" xfId="0" applyNumberFormat="1" applyFont="1" applyProtection="1">
      <protection hidden="1"/>
    </xf>
    <xf numFmtId="3" fontId="1" fillId="0" borderId="25" xfId="0" applyNumberFormat="1" applyFont="1" applyBorder="1" applyProtection="1">
      <protection hidden="1"/>
    </xf>
    <xf numFmtId="164" fontId="28" fillId="3" borderId="0" xfId="3" applyNumberFormat="1" applyFont="1" applyFill="1" applyProtection="1">
      <protection locked="0"/>
    </xf>
    <xf numFmtId="0" fontId="2" fillId="0" borderId="27" xfId="2" applyBorder="1" applyProtection="1">
      <protection hidden="1"/>
    </xf>
    <xf numFmtId="2" fontId="2" fillId="0" borderId="27" xfId="2" applyNumberFormat="1" applyBorder="1" applyProtection="1">
      <protection hidden="1"/>
    </xf>
    <xf numFmtId="3" fontId="2" fillId="0" borderId="27" xfId="2" applyNumberFormat="1" applyBorder="1" applyProtection="1">
      <protection hidden="1"/>
    </xf>
    <xf numFmtId="3" fontId="1" fillId="0" borderId="27" xfId="2" applyNumberFormat="1" applyFont="1" applyBorder="1" applyProtection="1">
      <protection hidden="1"/>
    </xf>
    <xf numFmtId="0" fontId="27" fillId="0" borderId="28" xfId="2" applyFont="1" applyBorder="1" applyProtection="1">
      <protection hidden="1"/>
    </xf>
    <xf numFmtId="3" fontId="27" fillId="0" borderId="27" xfId="2" applyNumberFormat="1" applyFont="1" applyBorder="1" applyProtection="1">
      <protection hidden="1"/>
    </xf>
    <xf numFmtId="3" fontId="28" fillId="26" borderId="27" xfId="2" applyNumberFormat="1" applyFont="1" applyFill="1" applyBorder="1" applyProtection="1">
      <protection hidden="1"/>
    </xf>
    <xf numFmtId="0" fontId="2" fillId="0" borderId="27" xfId="2" applyBorder="1" applyAlignment="1" applyProtection="1">
      <alignment horizontal="center"/>
      <protection hidden="1"/>
    </xf>
    <xf numFmtId="0" fontId="2" fillId="0" borderId="26" xfId="2" applyBorder="1" applyAlignment="1" applyProtection="1">
      <alignment horizontal="center"/>
      <protection hidden="1"/>
    </xf>
    <xf numFmtId="0" fontId="2" fillId="0" borderId="29" xfId="2" applyBorder="1" applyProtection="1">
      <protection hidden="1"/>
    </xf>
    <xf numFmtId="3" fontId="1" fillId="0" borderId="30" xfId="2" applyNumberFormat="1" applyFont="1" applyBorder="1" applyProtection="1">
      <protection hidden="1"/>
    </xf>
    <xf numFmtId="3" fontId="28" fillId="26" borderId="30" xfId="2" applyNumberFormat="1" applyFont="1" applyFill="1" applyBorder="1" applyProtection="1">
      <protection hidden="1"/>
    </xf>
    <xf numFmtId="38" fontId="2" fillId="0" borderId="27" xfId="2" applyNumberFormat="1" applyBorder="1" applyAlignment="1" applyProtection="1">
      <alignment horizontal="center"/>
      <protection hidden="1"/>
    </xf>
    <xf numFmtId="0" fontId="0" fillId="0" borderId="29" xfId="0" applyBorder="1" applyProtection="1">
      <protection hidden="1"/>
    </xf>
    <xf numFmtId="0" fontId="0" fillId="0" borderId="27" xfId="0" applyBorder="1" applyProtection="1">
      <protection hidden="1"/>
    </xf>
    <xf numFmtId="2" fontId="0" fillId="0" borderId="27" xfId="0" applyNumberFormat="1" applyBorder="1" applyProtection="1">
      <protection hidden="1"/>
    </xf>
    <xf numFmtId="3" fontId="0" fillId="0" borderId="27" xfId="0" applyNumberFormat="1" applyBorder="1" applyProtection="1">
      <protection hidden="1"/>
    </xf>
    <xf numFmtId="3" fontId="1" fillId="0" borderId="30" xfId="0" applyNumberFormat="1" applyFont="1" applyBorder="1" applyProtection="1">
      <protection hidden="1"/>
    </xf>
    <xf numFmtId="1" fontId="0" fillId="0" borderId="27" xfId="0" applyNumberFormat="1" applyBorder="1" applyProtection="1">
      <protection hidden="1"/>
    </xf>
    <xf numFmtId="3" fontId="1" fillId="4" borderId="27" xfId="0" applyNumberFormat="1" applyFont="1" applyFill="1" applyBorder="1" applyProtection="1">
      <protection hidden="1"/>
    </xf>
    <xf numFmtId="0" fontId="0" fillId="0" borderId="27" xfId="0" applyBorder="1" applyAlignment="1" applyProtection="1">
      <alignment horizontal="center"/>
      <protection hidden="1"/>
    </xf>
    <xf numFmtId="0" fontId="0" fillId="0" borderId="26" xfId="0" applyBorder="1" applyAlignment="1" applyProtection="1">
      <alignment horizontal="center"/>
      <protection hidden="1"/>
    </xf>
    <xf numFmtId="3" fontId="1" fillId="0" borderId="27" xfId="0" applyNumberFormat="1" applyFont="1" applyBorder="1" applyProtection="1">
      <protection hidden="1"/>
    </xf>
    <xf numFmtId="2" fontId="0" fillId="15" borderId="27" xfId="0" applyNumberFormat="1" applyFill="1" applyBorder="1" applyProtection="1">
      <protection hidden="1"/>
    </xf>
    <xf numFmtId="3" fontId="0" fillId="15" borderId="27" xfId="0" applyNumberFormat="1" applyFill="1" applyBorder="1" applyProtection="1">
      <protection hidden="1"/>
    </xf>
    <xf numFmtId="1" fontId="0" fillId="15" borderId="27" xfId="0" applyNumberFormat="1" applyFill="1" applyBorder="1" applyProtection="1">
      <protection hidden="1"/>
    </xf>
    <xf numFmtId="49" fontId="2" fillId="29" borderId="16" xfId="0" applyNumberFormat="1" applyFont="1" applyFill="1" applyBorder="1" applyProtection="1">
      <protection hidden="1"/>
    </xf>
    <xf numFmtId="38" fontId="0" fillId="0" borderId="14" xfId="0" applyNumberFormat="1" applyBorder="1"/>
    <xf numFmtId="0" fontId="0" fillId="29" borderId="0" xfId="0" applyFill="1"/>
    <xf numFmtId="0" fontId="0" fillId="30" borderId="0" xfId="0" applyFill="1"/>
    <xf numFmtId="0" fontId="39" fillId="30" borderId="0" xfId="0" applyFont="1" applyFill="1"/>
    <xf numFmtId="49" fontId="39" fillId="30" borderId="16" xfId="0" applyNumberFormat="1" applyFont="1" applyFill="1" applyBorder="1" applyProtection="1">
      <protection hidden="1"/>
    </xf>
    <xf numFmtId="0" fontId="40" fillId="0" borderId="14" xfId="0" applyFont="1" applyBorder="1"/>
    <xf numFmtId="14" fontId="40" fillId="0" borderId="14" xfId="0" applyNumberFormat="1" applyFont="1" applyBorder="1" applyAlignment="1">
      <alignment vertical="center"/>
    </xf>
    <xf numFmtId="0" fontId="40" fillId="0" borderId="14" xfId="0" applyFont="1" applyBorder="1" applyAlignment="1">
      <alignment horizontal="left"/>
    </xf>
    <xf numFmtId="14" fontId="40" fillId="0" borderId="14" xfId="0" applyNumberFormat="1" applyFont="1" applyBorder="1"/>
    <xf numFmtId="2" fontId="40" fillId="0" borderId="14" xfId="0" applyNumberFormat="1" applyFont="1" applyBorder="1"/>
    <xf numFmtId="2" fontId="41" fillId="0" borderId="14" xfId="0" applyNumberFormat="1" applyFont="1" applyBorder="1"/>
    <xf numFmtId="0" fontId="40" fillId="0" borderId="14" xfId="0" applyFont="1" applyBorder="1" applyAlignment="1">
      <alignment horizontal="right"/>
    </xf>
    <xf numFmtId="1" fontId="40" fillId="0" borderId="14" xfId="0" applyNumberFormat="1" applyFont="1" applyBorder="1"/>
    <xf numFmtId="0" fontId="40" fillId="0" borderId="14" xfId="0" applyFont="1" applyBorder="1" applyAlignment="1">
      <alignment horizontal="center"/>
    </xf>
    <xf numFmtId="0" fontId="40" fillId="0" borderId="14" xfId="0" applyFont="1" applyBorder="1" applyAlignment="1">
      <alignment vertical="center"/>
    </xf>
    <xf numFmtId="0" fontId="40" fillId="0" borderId="14" xfId="0" applyFont="1" applyBorder="1" applyAlignment="1">
      <alignment horizontal="left" vertical="center"/>
    </xf>
    <xf numFmtId="0" fontId="40" fillId="0" borderId="14" xfId="0" applyFont="1" applyBorder="1" applyAlignment="1">
      <alignment horizontal="center" vertical="center"/>
    </xf>
    <xf numFmtId="0" fontId="32" fillId="0" borderId="14" xfId="1" applyBorder="1" applyAlignment="1" applyProtection="1"/>
    <xf numFmtId="38" fontId="40" fillId="0" borderId="14" xfId="0" applyNumberFormat="1" applyFont="1" applyBorder="1" applyAlignment="1">
      <alignment horizontal="center"/>
    </xf>
    <xf numFmtId="14" fontId="40" fillId="0" borderId="14" xfId="0" applyNumberFormat="1" applyFont="1" applyBorder="1" applyAlignment="1">
      <alignment horizontal="right"/>
    </xf>
    <xf numFmtId="0" fontId="32" fillId="0" borderId="14" xfId="1" applyFill="1" applyBorder="1" applyAlignment="1" applyProtection="1"/>
    <xf numFmtId="14" fontId="2" fillId="0" borderId="14" xfId="0" applyNumberFormat="1" applyFont="1" applyBorder="1"/>
    <xf numFmtId="0" fontId="1" fillId="0" borderId="0" xfId="2" applyFont="1"/>
    <xf numFmtId="2" fontId="2" fillId="0" borderId="0" xfId="2" applyNumberFormat="1"/>
    <xf numFmtId="0" fontId="39" fillId="31" borderId="0" xfId="0" applyFont="1" applyFill="1"/>
    <xf numFmtId="0" fontId="0" fillId="31" borderId="0" xfId="0" applyFill="1"/>
    <xf numFmtId="49" fontId="39" fillId="31" borderId="16" xfId="0" applyNumberFormat="1" applyFont="1" applyFill="1" applyBorder="1" applyProtection="1">
      <protection hidden="1"/>
    </xf>
    <xf numFmtId="14" fontId="40" fillId="32" borderId="14" xfId="0" applyNumberFormat="1" applyFont="1" applyFill="1" applyBorder="1" applyAlignment="1">
      <alignment vertical="center"/>
    </xf>
    <xf numFmtId="14" fontId="40" fillId="32" borderId="14" xfId="0" applyNumberFormat="1" applyFont="1" applyFill="1" applyBorder="1"/>
    <xf numFmtId="0" fontId="27" fillId="0" borderId="0" xfId="2" applyFont="1" applyProtection="1">
      <protection hidden="1"/>
    </xf>
    <xf numFmtId="0" fontId="27" fillId="0" borderId="27" xfId="2" applyFont="1" applyBorder="1" applyProtection="1">
      <protection hidden="1"/>
    </xf>
    <xf numFmtId="0" fontId="28" fillId="4" borderId="31" xfId="2" applyFont="1" applyFill="1" applyBorder="1" applyAlignment="1" applyProtection="1">
      <alignment horizontal="center" wrapText="1"/>
      <protection hidden="1"/>
    </xf>
    <xf numFmtId="3" fontId="28" fillId="26" borderId="32" xfId="2" applyNumberFormat="1" applyFont="1" applyFill="1" applyBorder="1" applyProtection="1">
      <protection hidden="1"/>
    </xf>
    <xf numFmtId="3" fontId="28" fillId="26" borderId="2" xfId="2" applyNumberFormat="1" applyFont="1" applyFill="1" applyBorder="1" applyProtection="1">
      <protection hidden="1"/>
    </xf>
    <xf numFmtId="3" fontId="28" fillId="26" borderId="26" xfId="2" applyNumberFormat="1" applyFont="1" applyFill="1" applyBorder="1" applyProtection="1">
      <protection hidden="1"/>
    </xf>
    <xf numFmtId="3" fontId="28" fillId="26" borderId="33" xfId="2" applyNumberFormat="1" applyFont="1" applyFill="1" applyBorder="1" applyProtection="1">
      <protection hidden="1"/>
    </xf>
    <xf numFmtId="3" fontId="28" fillId="26" borderId="34" xfId="2" applyNumberFormat="1" applyFont="1" applyFill="1" applyBorder="1" applyProtection="1">
      <protection hidden="1"/>
    </xf>
    <xf numFmtId="164" fontId="10" fillId="3" borderId="0" xfId="3" applyNumberFormat="1" applyFont="1" applyFill="1" applyBorder="1" applyProtection="1">
      <protection locked="0"/>
    </xf>
    <xf numFmtId="0" fontId="35" fillId="28" borderId="0" xfId="2" applyFont="1" applyFill="1" applyAlignment="1" applyProtection="1">
      <alignment horizontal="center"/>
      <protection hidden="1"/>
    </xf>
    <xf numFmtId="0" fontId="38" fillId="11" borderId="0" xfId="2" applyFont="1" applyFill="1" applyAlignment="1">
      <alignment horizontal="left" wrapText="1"/>
    </xf>
    <xf numFmtId="0" fontId="38" fillId="11" borderId="12" xfId="2" applyFont="1" applyFill="1" applyBorder="1" applyAlignment="1">
      <alignment horizontal="left" wrapText="1"/>
    </xf>
    <xf numFmtId="0" fontId="2" fillId="0" borderId="29" xfId="2" applyFill="1" applyBorder="1" applyProtection="1">
      <protection hidden="1"/>
    </xf>
  </cellXfs>
  <cellStyles count="4">
    <cellStyle name="Comma" xfId="3" builtinId="3"/>
    <cellStyle name="Hyperlink" xfId="1" builtinId="8"/>
    <cellStyle name="Normal" xfId="0" builtinId="0"/>
    <cellStyle name="Normal 2" xfId="2" xr:uid="{0F81FCF6-07A2-F540-AD15-6695EC5492CD}"/>
  </cellStyles>
  <dxfs count="0"/>
  <tableStyles count="0" defaultTableStyle="TableStyleMedium9" defaultPivotStyle="PivotStyleMedium7"/>
  <colors>
    <mruColors>
      <color rgb="FFFFA7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685800</xdr:colOff>
      <xdr:row>0</xdr:row>
      <xdr:rowOff>0</xdr:rowOff>
    </xdr:from>
    <xdr:to>
      <xdr:col>17</xdr:col>
      <xdr:colOff>685800</xdr:colOff>
      <xdr:row>4</xdr:row>
      <xdr:rowOff>57785</xdr:rowOff>
    </xdr:to>
    <xdr:pic>
      <xdr:nvPicPr>
        <xdr:cNvPr id="2" name="Picture 1" descr="Alviss-Consulting-Logo-Inline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9000" y="0"/>
          <a:ext cx="1651000" cy="74358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0</xdr:row>
      <xdr:rowOff>25400</xdr:rowOff>
    </xdr:from>
    <xdr:to>
      <xdr:col>15</xdr:col>
      <xdr:colOff>77619</xdr:colOff>
      <xdr:row>4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25400"/>
          <a:ext cx="4484519" cy="72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www.energymadeeasy.gov.au/plan?id=GLO94489MRG&amp;postcode=5000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J116"/>
  <sheetViews>
    <sheetView workbookViewId="0">
      <selection activeCell="K35" sqref="K35"/>
    </sheetView>
  </sheetViews>
  <sheetFormatPr baseColWidth="10" defaultRowHeight="13" x14ac:dyDescent="0.15"/>
  <cols>
    <col min="1" max="2" width="7.5" style="23" customWidth="1"/>
    <col min="3" max="3" width="7.6640625" style="23" customWidth="1"/>
    <col min="4" max="13" width="7.5" style="23" customWidth="1"/>
    <col min="14" max="17" width="10.83203125" style="23"/>
    <col min="18" max="18" width="15.1640625" style="23" customWidth="1"/>
    <col min="19" max="19" width="15.6640625" style="23" customWidth="1"/>
    <col min="20" max="20" width="10.83203125" style="23"/>
    <col min="21" max="21" width="13.6640625" style="23" customWidth="1"/>
    <col min="22" max="22" width="10.83203125" style="23"/>
    <col min="23" max="23" width="11.5" style="23" customWidth="1"/>
    <col min="24" max="30" width="7.5" style="23" customWidth="1"/>
    <col min="31" max="16384" width="10.83203125" style="23"/>
  </cols>
  <sheetData>
    <row r="1" spans="1:36" ht="14" x14ac:dyDescent="0.15">
      <c r="A1" s="43" t="s">
        <v>185</v>
      </c>
      <c r="B1" s="44"/>
      <c r="C1" s="44"/>
      <c r="D1" s="44"/>
      <c r="E1" s="44"/>
      <c r="F1" s="44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</row>
    <row r="2" spans="1:36" x14ac:dyDescent="0.15">
      <c r="A2" s="46" t="s">
        <v>109</v>
      </c>
      <c r="B2" s="47"/>
      <c r="C2" s="47"/>
      <c r="D2" s="47"/>
      <c r="E2" s="47"/>
      <c r="F2" s="48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</row>
    <row r="3" spans="1:36" ht="14" x14ac:dyDescent="0.15">
      <c r="A3" s="49" t="s">
        <v>399</v>
      </c>
      <c r="B3" s="44"/>
      <c r="C3" s="44"/>
      <c r="D3" s="44"/>
      <c r="E3" s="44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</row>
    <row r="4" spans="1:36" x14ac:dyDescent="0.15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</row>
    <row r="5" spans="1:36" x14ac:dyDescent="0.15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</row>
    <row r="6" spans="1:36" ht="14" thickBot="1" x14ac:dyDescent="0.2">
      <c r="A6" s="44" t="s">
        <v>190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</row>
    <row r="7" spans="1:36" x14ac:dyDescent="0.15">
      <c r="A7" s="45" t="s">
        <v>290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O7" s="50" t="s">
        <v>291</v>
      </c>
      <c r="P7" s="51"/>
      <c r="Q7" s="51"/>
      <c r="R7" s="51"/>
      <c r="S7" s="51"/>
      <c r="T7" s="51"/>
      <c r="U7" s="52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</row>
    <row r="8" spans="1:36" x14ac:dyDescent="0.15">
      <c r="A8" s="45" t="s">
        <v>164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53" t="s">
        <v>231</v>
      </c>
      <c r="P8" s="54"/>
      <c r="Q8" s="54"/>
      <c r="R8" s="54"/>
      <c r="S8" s="54"/>
      <c r="T8" s="54"/>
      <c r="U8" s="5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</row>
    <row r="9" spans="1:36" x14ac:dyDescent="0.15">
      <c r="A9" s="45" t="s">
        <v>159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53" t="s">
        <v>256</v>
      </c>
      <c r="P9" s="54"/>
      <c r="Q9" s="54"/>
      <c r="R9" s="54"/>
      <c r="S9" s="54"/>
      <c r="T9" s="54"/>
      <c r="U9" s="5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</row>
    <row r="10" spans="1:36" x14ac:dyDescent="0.15">
      <c r="A10" s="45" t="s">
        <v>199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53" t="s">
        <v>121</v>
      </c>
      <c r="P10" s="54"/>
      <c r="Q10" s="54"/>
      <c r="R10" s="54"/>
      <c r="S10" s="54"/>
      <c r="T10" s="54"/>
      <c r="U10" s="5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</row>
    <row r="11" spans="1:36" ht="14" thickBot="1" x14ac:dyDescent="0.2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56" t="s">
        <v>271</v>
      </c>
      <c r="P11" s="57"/>
      <c r="Q11" s="57"/>
      <c r="R11" s="57"/>
      <c r="S11" s="57"/>
      <c r="T11" s="57"/>
      <c r="U11" s="58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</row>
    <row r="12" spans="1:36" ht="14" x14ac:dyDescent="0.15">
      <c r="A12" s="69" t="s">
        <v>262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</row>
    <row r="13" spans="1:36" ht="14" x14ac:dyDescent="0.15">
      <c r="A13" s="60" t="s">
        <v>263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</row>
    <row r="14" spans="1:36" ht="14" thickBot="1" x14ac:dyDescent="0.2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</row>
    <row r="15" spans="1:36" x14ac:dyDescent="0.15">
      <c r="A15" s="44" t="s">
        <v>252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50" t="s">
        <v>253</v>
      </c>
      <c r="P15" s="51"/>
      <c r="Q15" s="51"/>
      <c r="R15" s="51"/>
      <c r="S15" s="51"/>
      <c r="T15" s="51"/>
      <c r="U15" s="51"/>
      <c r="V15" s="51"/>
      <c r="W15" s="52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</row>
    <row r="16" spans="1:36" x14ac:dyDescent="0.15">
      <c r="A16" s="149" t="s">
        <v>424</v>
      </c>
      <c r="B16" s="45"/>
      <c r="C16" s="45"/>
      <c r="D16" s="45"/>
      <c r="E16" s="45"/>
      <c r="F16" s="45"/>
      <c r="G16" s="45"/>
      <c r="H16" s="45"/>
      <c r="I16" s="45"/>
      <c r="J16" s="45"/>
      <c r="K16" s="127"/>
      <c r="L16" s="127"/>
      <c r="M16" s="45"/>
      <c r="N16" s="45"/>
      <c r="O16" s="53" t="s">
        <v>154</v>
      </c>
      <c r="P16" s="54"/>
      <c r="Q16" s="54"/>
      <c r="R16" s="54"/>
      <c r="S16" s="54"/>
      <c r="T16" s="54"/>
      <c r="U16" s="54"/>
      <c r="V16" s="54"/>
      <c r="W16" s="5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</row>
    <row r="17" spans="1:36" x14ac:dyDescent="0.15">
      <c r="A17" s="149" t="s">
        <v>425</v>
      </c>
      <c r="B17" s="45"/>
      <c r="C17" s="45"/>
      <c r="D17" s="45"/>
      <c r="E17" s="45"/>
      <c r="F17" s="45"/>
      <c r="G17" s="45"/>
      <c r="H17" s="45"/>
      <c r="I17" s="45"/>
      <c r="J17" s="45"/>
      <c r="K17" s="127"/>
      <c r="L17" s="127"/>
      <c r="M17" s="45"/>
      <c r="N17" s="45"/>
      <c r="O17" s="53" t="s">
        <v>257</v>
      </c>
      <c r="P17" s="54"/>
      <c r="Q17" s="54"/>
      <c r="R17" s="54"/>
      <c r="S17" s="54"/>
      <c r="T17" s="54"/>
      <c r="U17" s="54"/>
      <c r="V17" s="54"/>
      <c r="W17" s="5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</row>
    <row r="18" spans="1:36" x14ac:dyDescent="0.15">
      <c r="A18" s="149" t="s">
        <v>426</v>
      </c>
      <c r="B18" s="45"/>
      <c r="C18" s="45"/>
      <c r="D18" s="45"/>
      <c r="E18" s="45"/>
      <c r="F18" s="45"/>
      <c r="G18" s="45"/>
      <c r="H18" s="45"/>
      <c r="I18" s="45"/>
      <c r="J18" s="45"/>
      <c r="K18" s="127"/>
      <c r="L18" s="127"/>
      <c r="M18" s="45"/>
      <c r="N18" s="45"/>
      <c r="O18" s="53" t="s">
        <v>223</v>
      </c>
      <c r="P18" s="54"/>
      <c r="Q18" s="54"/>
      <c r="R18" s="54"/>
      <c r="S18" s="54"/>
      <c r="T18" s="54"/>
      <c r="U18" s="54"/>
      <c r="V18" s="54"/>
      <c r="W18" s="5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</row>
    <row r="19" spans="1:36" x14ac:dyDescent="0.15">
      <c r="A19" s="149" t="s">
        <v>427</v>
      </c>
      <c r="B19" s="45"/>
      <c r="C19" s="45"/>
      <c r="D19" s="45"/>
      <c r="E19" s="45"/>
      <c r="F19" s="45"/>
      <c r="G19" s="45"/>
      <c r="H19" s="45"/>
      <c r="I19" s="45"/>
      <c r="J19" s="45"/>
      <c r="K19" s="127"/>
      <c r="L19" s="127"/>
      <c r="M19" s="45"/>
      <c r="N19" s="45"/>
      <c r="O19" s="53" t="s">
        <v>230</v>
      </c>
      <c r="P19" s="54"/>
      <c r="Q19" s="54"/>
      <c r="R19" s="54"/>
      <c r="S19" s="54"/>
      <c r="T19" s="54"/>
      <c r="U19" s="54"/>
      <c r="V19" s="54"/>
      <c r="W19" s="5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</row>
    <row r="20" spans="1:36" x14ac:dyDescent="0.15">
      <c r="A20" s="149" t="s">
        <v>428</v>
      </c>
      <c r="B20" s="45"/>
      <c r="C20" s="45"/>
      <c r="D20" s="45"/>
      <c r="E20" s="45"/>
      <c r="F20" s="45"/>
      <c r="G20" s="45"/>
      <c r="H20" s="45"/>
      <c r="I20" s="45"/>
      <c r="J20" s="45"/>
      <c r="K20" s="127"/>
      <c r="L20" s="127"/>
      <c r="M20" s="45"/>
      <c r="N20" s="45"/>
      <c r="O20" s="53" t="s">
        <v>274</v>
      </c>
      <c r="P20" s="54"/>
      <c r="Q20" s="54"/>
      <c r="R20" s="54"/>
      <c r="S20" s="54"/>
      <c r="T20" s="54"/>
      <c r="U20" s="54"/>
      <c r="V20" s="54"/>
      <c r="W20" s="5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</row>
    <row r="21" spans="1:36" x14ac:dyDescent="0.15">
      <c r="A21" s="149" t="s">
        <v>429</v>
      </c>
      <c r="E21" s="45"/>
      <c r="F21" s="45"/>
      <c r="G21" s="45"/>
      <c r="H21" s="45"/>
      <c r="I21" s="45"/>
      <c r="J21" s="45"/>
      <c r="K21" s="127"/>
      <c r="L21" s="127"/>
      <c r="M21" s="45"/>
      <c r="N21" s="45"/>
      <c r="O21" s="53" t="s">
        <v>163</v>
      </c>
      <c r="P21" s="54"/>
      <c r="Q21" s="54"/>
      <c r="R21" s="54"/>
      <c r="S21" s="54"/>
      <c r="T21" s="54"/>
      <c r="U21" s="54"/>
      <c r="V21" s="54"/>
      <c r="W21" s="5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</row>
    <row r="22" spans="1:36" x14ac:dyDescent="0.15">
      <c r="A22" s="45" t="s">
        <v>293</v>
      </c>
      <c r="B22" s="45"/>
      <c r="C22" s="45"/>
      <c r="D22" s="45"/>
      <c r="E22" s="45"/>
      <c r="F22" s="45"/>
      <c r="G22" s="45"/>
      <c r="H22" s="45"/>
      <c r="I22" s="45"/>
      <c r="J22" s="59"/>
      <c r="K22" s="45"/>
      <c r="L22" s="45"/>
      <c r="M22" s="45"/>
      <c r="N22" s="45"/>
      <c r="O22" s="53" t="s">
        <v>178</v>
      </c>
      <c r="P22" s="54"/>
      <c r="Q22" s="54"/>
      <c r="R22" s="54"/>
      <c r="S22" s="54"/>
      <c r="T22" s="54"/>
      <c r="U22" s="54"/>
      <c r="V22" s="54"/>
      <c r="W22" s="5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</row>
    <row r="23" spans="1:36" ht="14" thickBot="1" x14ac:dyDescent="0.2">
      <c r="A23" s="45" t="s">
        <v>294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56" t="s">
        <v>179</v>
      </c>
      <c r="P23" s="57"/>
      <c r="Q23" s="57"/>
      <c r="R23" s="57"/>
      <c r="S23" s="57"/>
      <c r="T23" s="57"/>
      <c r="U23" s="57"/>
      <c r="V23" s="57"/>
      <c r="W23" s="58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</row>
    <row r="24" spans="1:36" x14ac:dyDescent="0.15">
      <c r="A24" s="45" t="s">
        <v>295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</row>
    <row r="25" spans="1:36" x14ac:dyDescent="0.15">
      <c r="A25" s="45" t="s">
        <v>296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</row>
    <row r="26" spans="1:36" ht="14" thickBot="1" x14ac:dyDescent="0.2">
      <c r="A26" s="45" t="s">
        <v>297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</row>
    <row r="27" spans="1:36" x14ac:dyDescent="0.15">
      <c r="A27" s="149" t="s">
        <v>380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133" t="s">
        <v>270</v>
      </c>
      <c r="P27" s="129"/>
      <c r="Q27" s="45"/>
      <c r="R27" s="154" t="s">
        <v>228</v>
      </c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</row>
    <row r="28" spans="1:36" x14ac:dyDescent="0.15">
      <c r="A28" s="149" t="s">
        <v>381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130" t="s">
        <v>213</v>
      </c>
      <c r="P28" s="131"/>
      <c r="Q28" s="45"/>
      <c r="R28" s="334" t="s">
        <v>422</v>
      </c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</row>
    <row r="29" spans="1:36" x14ac:dyDescent="0.15">
      <c r="A29" s="149" t="s">
        <v>382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130" t="s">
        <v>300</v>
      </c>
      <c r="P29" s="131"/>
      <c r="Q29" s="45"/>
      <c r="R29" s="312" t="s">
        <v>398</v>
      </c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</row>
    <row r="30" spans="1:36" x14ac:dyDescent="0.15">
      <c r="A30" s="149" t="s">
        <v>383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130" t="s">
        <v>301</v>
      </c>
      <c r="P30" s="131"/>
      <c r="Q30" s="45"/>
      <c r="R30" s="307" t="s">
        <v>385</v>
      </c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</row>
    <row r="31" spans="1:36" x14ac:dyDescent="0.15">
      <c r="A31" s="149" t="s">
        <v>384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130" t="s">
        <v>302</v>
      </c>
      <c r="P31" s="131"/>
      <c r="Q31" s="45"/>
      <c r="R31" s="229" t="s">
        <v>360</v>
      </c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</row>
    <row r="32" spans="1:36" x14ac:dyDescent="0.15">
      <c r="A32" s="149" t="s">
        <v>400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130" t="s">
        <v>303</v>
      </c>
      <c r="P32" s="131"/>
      <c r="Q32" s="45"/>
      <c r="R32" s="162" t="s">
        <v>331</v>
      </c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</row>
    <row r="33" spans="1:36" x14ac:dyDescent="0.15">
      <c r="A33" s="149" t="s">
        <v>430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N33" s="45"/>
      <c r="O33" s="130" t="s">
        <v>304</v>
      </c>
      <c r="P33" s="131"/>
      <c r="Q33" s="45"/>
      <c r="R33" s="155" t="s">
        <v>305</v>
      </c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</row>
    <row r="34" spans="1:36" ht="14" x14ac:dyDescent="0.15">
      <c r="A34" s="60" t="s">
        <v>298</v>
      </c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O34" s="130" t="s">
        <v>335</v>
      </c>
      <c r="P34" s="131"/>
      <c r="Q34" s="45"/>
      <c r="R34" s="156" t="s">
        <v>299</v>
      </c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</row>
    <row r="35" spans="1:36" ht="14" thickBot="1" x14ac:dyDescent="0.2">
      <c r="A35" s="44"/>
      <c r="B35" s="45"/>
      <c r="C35" s="45"/>
      <c r="D35" s="45"/>
      <c r="E35" s="45"/>
      <c r="F35" s="45"/>
      <c r="G35" s="45"/>
      <c r="H35" s="45"/>
      <c r="I35" s="45"/>
      <c r="K35" s="45"/>
      <c r="L35" s="45"/>
      <c r="M35" s="45"/>
      <c r="N35" s="45"/>
      <c r="O35" s="170" t="s">
        <v>379</v>
      </c>
      <c r="P35" s="132"/>
      <c r="Q35" s="45"/>
      <c r="R35" s="157" t="s">
        <v>76</v>
      </c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</row>
    <row r="36" spans="1:36" x14ac:dyDescent="0.15">
      <c r="A36" s="44" t="s">
        <v>200</v>
      </c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158" t="s">
        <v>237</v>
      </c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</row>
    <row r="37" spans="1:36" x14ac:dyDescent="0.15">
      <c r="A37" s="149" t="s">
        <v>423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159" t="s">
        <v>232</v>
      </c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</row>
    <row r="38" spans="1:36" x14ac:dyDescent="0.15">
      <c r="A38" s="45" t="s">
        <v>95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160" t="s">
        <v>229</v>
      </c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</row>
    <row r="39" spans="1:36" ht="14" thickBot="1" x14ac:dyDescent="0.2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161" t="s">
        <v>220</v>
      </c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</row>
    <row r="40" spans="1:36" x14ac:dyDescent="0.15">
      <c r="A40" s="45" t="s">
        <v>357</v>
      </c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</row>
    <row r="41" spans="1:36" x14ac:dyDescent="0.15">
      <c r="A41" s="45" t="s">
        <v>142</v>
      </c>
      <c r="B41" s="45"/>
      <c r="C41" s="45"/>
      <c r="D41" s="45"/>
      <c r="E41" s="45"/>
      <c r="F41" s="127"/>
      <c r="G41" s="128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</row>
    <row r="42" spans="1:36" x14ac:dyDescent="0.15">
      <c r="A42" s="45" t="s">
        <v>204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</row>
    <row r="43" spans="1:36" x14ac:dyDescent="0.15">
      <c r="A43" s="45" t="s">
        <v>251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</row>
    <row r="44" spans="1:36" x14ac:dyDescent="0.15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</row>
    <row r="45" spans="1:36" x14ac:dyDescent="0.15">
      <c r="A45" s="45" t="s">
        <v>245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</row>
    <row r="46" spans="1:36" x14ac:dyDescent="0.15">
      <c r="A46" s="45" t="s">
        <v>275</v>
      </c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</row>
    <row r="47" spans="1:36" x14ac:dyDescent="0.15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</row>
    <row r="48" spans="1:36" x14ac:dyDescent="0.15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</row>
    <row r="49" spans="1:36" x14ac:dyDescent="0.15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</row>
    <row r="50" spans="1:36" x14ac:dyDescent="0.1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</row>
    <row r="51" spans="1:36" x14ac:dyDescent="0.15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</row>
    <row r="52" spans="1:36" x14ac:dyDescent="0.1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</row>
    <row r="53" spans="1:36" x14ac:dyDescent="0.1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</row>
    <row r="54" spans="1:36" x14ac:dyDescent="0.1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</row>
    <row r="55" spans="1:36" x14ac:dyDescent="0.1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</row>
    <row r="56" spans="1:36" x14ac:dyDescent="0.1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</row>
    <row r="57" spans="1:36" x14ac:dyDescent="0.1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</row>
    <row r="58" spans="1:36" x14ac:dyDescent="0.1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</row>
    <row r="59" spans="1:36" x14ac:dyDescent="0.1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</row>
    <row r="60" spans="1:36" x14ac:dyDescent="0.1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</row>
    <row r="61" spans="1:36" x14ac:dyDescent="0.1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</row>
    <row r="62" spans="1:36" x14ac:dyDescent="0.1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</row>
    <row r="63" spans="1:36" x14ac:dyDescent="0.1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</row>
    <row r="64" spans="1:36" x14ac:dyDescent="0.1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</row>
    <row r="65" spans="1:36" x14ac:dyDescent="0.1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</row>
    <row r="66" spans="1:36" x14ac:dyDescent="0.1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</row>
    <row r="67" spans="1:36" x14ac:dyDescent="0.1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</row>
    <row r="68" spans="1:36" x14ac:dyDescent="0.1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</row>
    <row r="69" spans="1:36" x14ac:dyDescent="0.1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</row>
    <row r="70" spans="1:36" x14ac:dyDescent="0.1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</row>
    <row r="71" spans="1:36" x14ac:dyDescent="0.1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</row>
    <row r="72" spans="1:36" x14ac:dyDescent="0.1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</row>
    <row r="73" spans="1:36" x14ac:dyDescent="0.1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</row>
    <row r="74" spans="1:36" x14ac:dyDescent="0.1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</row>
    <row r="75" spans="1:36" x14ac:dyDescent="0.1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</row>
    <row r="76" spans="1:36" x14ac:dyDescent="0.1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</row>
    <row r="77" spans="1:36" x14ac:dyDescent="0.1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</row>
    <row r="78" spans="1:36" x14ac:dyDescent="0.1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</row>
    <row r="79" spans="1:36" x14ac:dyDescent="0.1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</row>
    <row r="80" spans="1:36" x14ac:dyDescent="0.1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</row>
    <row r="81" spans="1:36" x14ac:dyDescent="0.1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</row>
    <row r="82" spans="1:36" x14ac:dyDescent="0.1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</row>
    <row r="83" spans="1:36" x14ac:dyDescent="0.1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</row>
    <row r="84" spans="1:36" x14ac:dyDescent="0.1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</row>
    <row r="85" spans="1:36" x14ac:dyDescent="0.15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</row>
    <row r="86" spans="1:36" x14ac:dyDescent="0.15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</row>
    <row r="87" spans="1:36" x14ac:dyDescent="0.15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</row>
    <row r="88" spans="1:36" x14ac:dyDescent="0.15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</row>
    <row r="89" spans="1:36" x14ac:dyDescent="0.15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</row>
    <row r="90" spans="1:36" x14ac:dyDescent="0.15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</row>
    <row r="91" spans="1:36" x14ac:dyDescent="0.15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</row>
    <row r="92" spans="1:36" x14ac:dyDescent="0.15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</row>
    <row r="93" spans="1:36" x14ac:dyDescent="0.15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</row>
    <row r="94" spans="1:36" x14ac:dyDescent="0.15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</row>
    <row r="95" spans="1:36" x14ac:dyDescent="0.15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</row>
    <row r="96" spans="1:36" x14ac:dyDescent="0.15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</row>
    <row r="97" spans="1:36" x14ac:dyDescent="0.15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</row>
    <row r="98" spans="1:36" x14ac:dyDescent="0.15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</row>
    <row r="99" spans="1:36" x14ac:dyDescent="0.15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</row>
    <row r="100" spans="1:36" x14ac:dyDescent="0.15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</row>
    <row r="101" spans="1:36" x14ac:dyDescent="0.15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</row>
    <row r="102" spans="1:36" x14ac:dyDescent="0.15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</row>
    <row r="103" spans="1:36" x14ac:dyDescent="0.15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</row>
    <row r="104" spans="1:36" x14ac:dyDescent="0.15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</row>
    <row r="105" spans="1:36" x14ac:dyDescent="0.15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</row>
    <row r="106" spans="1:36" x14ac:dyDescent="0.15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</row>
    <row r="107" spans="1:36" x14ac:dyDescent="0.15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</row>
    <row r="108" spans="1:36" x14ac:dyDescent="0.1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</row>
    <row r="109" spans="1:36" x14ac:dyDescent="0.15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</row>
    <row r="110" spans="1:36" x14ac:dyDescent="0.15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</row>
    <row r="111" spans="1:36" x14ac:dyDescent="0.15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</row>
    <row r="112" spans="1:36" x14ac:dyDescent="0.15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</row>
    <row r="113" spans="1:36" x14ac:dyDescent="0.15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</row>
    <row r="114" spans="1:36" x14ac:dyDescent="0.15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</row>
    <row r="115" spans="1:36" x14ac:dyDescent="0.15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</row>
    <row r="116" spans="1:36" x14ac:dyDescent="0.15">
      <c r="A116" s="45"/>
      <c r="B116" s="45"/>
      <c r="C116" s="45"/>
      <c r="D116" s="45"/>
      <c r="E116" s="45"/>
      <c r="F116" s="45"/>
      <c r="G116" s="45"/>
      <c r="H116" s="45"/>
      <c r="I116" s="45"/>
    </row>
  </sheetData>
  <sheetProtection algorithmName="SHA-512" hashValue="UwN7FuvzZKUkJf5rydTDSBz1SQAq9DGB1pQUzF5UJBrerLwOC7a5Os92GN0rKULXGprOHAkcDwq6ymiULj69LA==" saltValue="Ht3xpcUs0ZuiSzQmaS9vMA==" spinCount="100000" sheet="1" objects="1" scenarios="1"/>
  <phoneticPr fontId="7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L55"/>
  <sheetViews>
    <sheetView workbookViewId="0">
      <selection activeCell="E38" sqref="E38"/>
    </sheetView>
  </sheetViews>
  <sheetFormatPr baseColWidth="10" defaultRowHeight="13" x14ac:dyDescent="0.15"/>
  <cols>
    <col min="1" max="1" width="22.5" style="23" customWidth="1"/>
    <col min="2" max="2" width="2.6640625" style="23" customWidth="1"/>
    <col min="3" max="3" width="10.5" style="23" customWidth="1"/>
    <col min="4" max="4" width="10.83203125" style="23"/>
    <col min="5" max="5" width="10.83203125" style="23" customWidth="1"/>
    <col min="6" max="6" width="11.5" style="23" customWidth="1"/>
    <col min="7" max="7" width="11.33203125" style="23" customWidth="1"/>
    <col min="8" max="8" width="10" style="23" customWidth="1"/>
    <col min="9" max="9" width="11.5" style="23" customWidth="1"/>
    <col min="10" max="10" width="12.83203125" style="23" customWidth="1"/>
    <col min="11" max="12" width="10" style="23" customWidth="1"/>
    <col min="13" max="16384" width="10.83203125" style="23"/>
  </cols>
  <sheetData>
    <row r="1" spans="1:12" x14ac:dyDescent="0.15">
      <c r="A1" s="22" t="s">
        <v>186</v>
      </c>
    </row>
    <row r="2" spans="1:12" x14ac:dyDescent="0.15">
      <c r="A2" s="65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</row>
    <row r="3" spans="1:12" x14ac:dyDescent="0.15">
      <c r="A3" s="26" t="s">
        <v>120</v>
      </c>
    </row>
    <row r="5" spans="1:12" x14ac:dyDescent="0.15">
      <c r="A5" s="27" t="s">
        <v>224</v>
      </c>
      <c r="B5" s="27"/>
      <c r="C5" s="27" t="s">
        <v>359</v>
      </c>
      <c r="F5" s="40">
        <v>5250</v>
      </c>
    </row>
    <row r="6" spans="1:12" x14ac:dyDescent="0.15">
      <c r="C6" s="28"/>
      <c r="H6" s="11"/>
      <c r="I6" s="11"/>
      <c r="J6" s="11"/>
      <c r="K6" s="11"/>
    </row>
    <row r="7" spans="1:12" x14ac:dyDescent="0.15">
      <c r="A7" s="29" t="s">
        <v>191</v>
      </c>
      <c r="B7" s="30"/>
      <c r="C7" s="11"/>
      <c r="D7" s="11"/>
      <c r="E7" s="11"/>
      <c r="I7" s="11"/>
      <c r="J7" s="11"/>
      <c r="K7" s="11"/>
      <c r="L7" s="11"/>
    </row>
    <row r="8" spans="1:12" x14ac:dyDescent="0.15">
      <c r="J8" s="31"/>
    </row>
    <row r="9" spans="1:12" x14ac:dyDescent="0.15">
      <c r="A9" s="27" t="s">
        <v>202</v>
      </c>
      <c r="C9" s="11" t="s">
        <v>269</v>
      </c>
      <c r="D9" s="11" t="s">
        <v>213</v>
      </c>
      <c r="E9" s="11" t="s">
        <v>133</v>
      </c>
      <c r="F9" s="11" t="s">
        <v>273</v>
      </c>
      <c r="G9" s="11" t="s">
        <v>233</v>
      </c>
      <c r="H9" s="32" t="s">
        <v>278</v>
      </c>
    </row>
    <row r="10" spans="1:12" x14ac:dyDescent="0.15">
      <c r="A10" s="23" t="s">
        <v>187</v>
      </c>
      <c r="C10" s="33">
        <f>IF($F5&gt;'Tariffs Jul''15'!E7,('Tariffs Jul''15'!E7*'Tariffs Jul''15'!E9/100*1.1),('Bills Jul''15'!$F5*'Tariffs Jul''15'!E9/100*1.1))</f>
        <v>203.79150000000001</v>
      </c>
      <c r="D10" s="33">
        <f>IF($F5&lt;'Tariffs Jul''15'!F7,('Bills Jul''15'!$F5*'Tariffs Jul''15'!F9/100*1.1),('Tariffs Jul''15'!F7*'Tariffs Jul''15'!F9/100*1.1))</f>
        <v>117.17750000000001</v>
      </c>
      <c r="E10" s="33">
        <f>IF($F5&lt;'Tariffs Jul''15'!G7,('Bills Jul''15'!$F5*'Tariffs Jul''15'!G9/100*1.1),('Tariffs Jul''15'!G7*'Tariffs Jul''15'!G9/100*1.1))</f>
        <v>110.00000000000001</v>
      </c>
      <c r="F10" s="33">
        <f>IF($F5&lt;'Tariffs Jul''15'!H7,('Bills Jul''15'!$F5*'Tariffs Jul''15'!H9/100*1.1),('Tariffs Jul''15'!H7*'Tariffs Jul''15'!H9/100*1.1))</f>
        <v>172.75500000000002</v>
      </c>
      <c r="G10" s="33">
        <f>IF($F5&lt;'Tariffs Jul''15'!I7,('Bills Jul''15'!$F5*'Tariffs Jul''15'!I9/100*1.1),('Tariffs Jul''15'!I7*'Tariffs Jul''15'!I9/100*1.1))</f>
        <v>201.96</v>
      </c>
      <c r="H10" s="34"/>
    </row>
    <row r="11" spans="1:12" x14ac:dyDescent="0.15">
      <c r="A11" s="23" t="s">
        <v>280</v>
      </c>
      <c r="C11" s="33">
        <f>IF($F5&lt;'Tariffs Jul''15'!E7,0,IF($F5&lt;='Tariffs Jul''15'!E8,($F5-'Tariffs Jul''15'!E7)*('Tariffs Jul''15'!E10/100*1.1),('Tariffs Jul''15'!E8-'Tariffs Jul''15'!E7)*('Tariffs Jul''15'!E10/100*1.1)))</f>
        <v>0</v>
      </c>
      <c r="D11" s="33">
        <f>IF($F5&lt;'Tariffs Jul''15'!F7,0,IF($F5&lt;='Tariffs Jul''15'!F8,($F5-'Tariffs Jul''15'!F7)*('Tariffs Jul''15'!F10/100*1.1),('Tariffs Jul''15'!F8-'Tariffs Jul''15'!F7)*('Tariffs Jul''15'!F10/100*1.1)))</f>
        <v>77.814000000000007</v>
      </c>
      <c r="E11" s="33">
        <f>IF($F5&lt;'Tariffs Jul''15'!G7,0,IF($F5&lt;='Tariffs Jul''15'!G8,($F5-'Tariffs Jul''15'!G7)*('Tariffs Jul''15'!G10/100*1.1),('Tariffs Jul''15'!G8-'Tariffs Jul''15'!G7)*('Tariffs Jul''15'!G10/100*1.1)))</f>
        <v>87.560000000000016</v>
      </c>
      <c r="F11" s="33">
        <f>IF($F5&lt;'Tariffs Jul''15'!H7,0,IF($F5&lt;='Tariffs Jul''15'!H8,($F5-'Tariffs Jul''15'!H7)*('Tariffs Jul''15'!H10/100*1.1),('Tariffs Jul''15'!H8-'Tariffs Jul''15'!H7)*('Tariffs Jul''15'!H10/100*1.1)))</f>
        <v>0</v>
      </c>
      <c r="G11" s="33">
        <f>IF($F5&lt;'Tariffs Jul''15'!I7,0,IF($F5&lt;='Tariffs Jul''15'!I8,($F5-'Tariffs Jul''15'!I7)*('Tariffs Jul''15'!I10/100*1.1),('Tariffs Jul''15'!I8-'Tariffs Jul''15'!I7)*('Tariffs Jul''15'!I10/100*1.1)))</f>
        <v>0</v>
      </c>
      <c r="H11" s="34"/>
    </row>
    <row r="12" spans="1:12" x14ac:dyDescent="0.15">
      <c r="A12" s="23" t="s">
        <v>188</v>
      </c>
      <c r="C12" s="33">
        <f>IF(($F5&lt;'Tariffs Jul''15'!E8),(0),($F5-'Tariffs Jul''15'!E8)*'Tariffs Jul''15'!E11/100*1.1)</f>
        <v>15.526500000000002</v>
      </c>
      <c r="D12" s="33">
        <f>IF(($F5&lt;'Tariffs Jul''15'!F8),(0),($F5-'Tariffs Jul''15'!F8)*'Tariffs Jul''15'!F11/100*1.1)</f>
        <v>14.396250000000002</v>
      </c>
      <c r="E12" s="33">
        <f>IF(($F5&lt;'Tariffs Jul''15'!G8),(0),($F5-'Tariffs Jul''15'!G8)*'Tariffs Jul''15'!G11/100*1.1)</f>
        <v>20.625</v>
      </c>
      <c r="F12" s="33">
        <f>IF(($F5&lt;'Tariffs Jul''15'!H8),(0),($F5-'Tariffs Jul''15'!H8)*'Tariffs Jul''15'!H11/100*1.1)</f>
        <v>19.635000000000002</v>
      </c>
      <c r="G12" s="33">
        <f>IF(($F5&lt;'Tariffs Jul''15'!I8),(0),($F5-'Tariffs Jul''15'!I8)*'Tariffs Jul''15'!I11/100*1.1)</f>
        <v>17.490000000000002</v>
      </c>
      <c r="H12" s="34"/>
    </row>
    <row r="13" spans="1:12" x14ac:dyDescent="0.15">
      <c r="A13" s="23" t="s">
        <v>189</v>
      </c>
      <c r="C13" s="33">
        <f>'Tariffs Jul''15'!E12*91/100*1.1</f>
        <v>68.658590000000018</v>
      </c>
      <c r="D13" s="33">
        <f>'Tariffs Jul''15'!F12*91/100*1.1</f>
        <v>72.53246</v>
      </c>
      <c r="E13" s="33">
        <f>'Tariffs Jul''15'!G12*91/100*1.1</f>
        <v>86.486400000000017</v>
      </c>
      <c r="F13" s="33">
        <f>'Tariffs Jul''15'!H12*91/100*1.1</f>
        <v>75.755680000000012</v>
      </c>
      <c r="G13" s="33">
        <f>'Tariffs Jul''15'!I12*91/100*1.1</f>
        <v>72.282210000000006</v>
      </c>
      <c r="H13" s="34"/>
    </row>
    <row r="14" spans="1:12" x14ac:dyDescent="0.15">
      <c r="A14" s="23" t="s">
        <v>276</v>
      </c>
      <c r="C14" s="33">
        <f>SUM(C10:C13)</f>
        <v>287.97659000000004</v>
      </c>
      <c r="D14" s="33">
        <f>SUM(D10:D13)</f>
        <v>281.92021000000005</v>
      </c>
      <c r="E14" s="33">
        <f t="shared" ref="E14:G14" si="0">SUM(E10:E13)</f>
        <v>304.67140000000006</v>
      </c>
      <c r="F14" s="33">
        <f t="shared" si="0"/>
        <v>268.14568000000003</v>
      </c>
      <c r="G14" s="33">
        <f t="shared" si="0"/>
        <v>291.73221000000001</v>
      </c>
      <c r="H14" s="35">
        <f>AVERAGE(C14:G14)</f>
        <v>286.88921800000008</v>
      </c>
    </row>
    <row r="15" spans="1:12" x14ac:dyDescent="0.15">
      <c r="A15" s="36" t="s">
        <v>277</v>
      </c>
      <c r="B15" s="34"/>
      <c r="C15" s="37">
        <f>C14*4</f>
        <v>1151.9063600000002</v>
      </c>
      <c r="D15" s="37">
        <f t="shared" ref="D15:G15" si="1">D14*4</f>
        <v>1127.6808400000002</v>
      </c>
      <c r="E15" s="37">
        <f t="shared" si="1"/>
        <v>1218.6856000000002</v>
      </c>
      <c r="F15" s="37">
        <f t="shared" si="1"/>
        <v>1072.5827200000001</v>
      </c>
      <c r="G15" s="37">
        <f t="shared" si="1"/>
        <v>1166.92884</v>
      </c>
      <c r="H15" s="37">
        <f>AVERAGE(C15:G15)</f>
        <v>1147.5568720000003</v>
      </c>
    </row>
    <row r="17" spans="1:8" x14ac:dyDescent="0.15">
      <c r="A17" s="27" t="s">
        <v>215</v>
      </c>
      <c r="C17" s="11" t="s">
        <v>243</v>
      </c>
      <c r="D17" s="11" t="s">
        <v>244</v>
      </c>
      <c r="E17" s="11" t="s">
        <v>227</v>
      </c>
      <c r="F17" s="11" t="s">
        <v>273</v>
      </c>
      <c r="G17" s="11" t="s">
        <v>233</v>
      </c>
    </row>
    <row r="18" spans="1:8" x14ac:dyDescent="0.15">
      <c r="A18" s="23" t="s">
        <v>187</v>
      </c>
      <c r="C18" s="39">
        <f>IF($F5&lt;'Tariffs Jul''15'!E15,('Bills Jul''15'!$F5*'Tariffs Jul''15'!E16/100*1.1),('Tariffs Jul''15'!E15*'Tariffs Jul''15'!E16/100*1.1))</f>
        <v>203.79150000000001</v>
      </c>
      <c r="D18" s="38" t="s">
        <v>246</v>
      </c>
      <c r="E18" s="38" t="s">
        <v>246</v>
      </c>
      <c r="F18" s="38" t="s">
        <v>246</v>
      </c>
      <c r="G18" s="38" t="s">
        <v>246</v>
      </c>
    </row>
    <row r="19" spans="1:8" x14ac:dyDescent="0.15">
      <c r="A19" s="23" t="s">
        <v>188</v>
      </c>
      <c r="C19" s="39">
        <f>IF($F5&gt;'Tariffs Jul''15'!E15,('Bills Jul''15'!$F5-'Tariffs Jul''15'!E15)*'Tariffs Jul''15'!E17/100*1.1,0)</f>
        <v>15.526500000000002</v>
      </c>
      <c r="D19" s="38" t="s">
        <v>246</v>
      </c>
      <c r="E19" s="38" t="s">
        <v>246</v>
      </c>
      <c r="F19" s="38" t="s">
        <v>246</v>
      </c>
      <c r="G19" s="38" t="s">
        <v>246</v>
      </c>
    </row>
    <row r="20" spans="1:8" x14ac:dyDescent="0.15">
      <c r="A20" s="23" t="s">
        <v>189</v>
      </c>
      <c r="C20" s="39">
        <f>'Tariffs Jul''15'!E18*91/100*1.1</f>
        <v>68.658590000000018</v>
      </c>
      <c r="D20" s="38" t="s">
        <v>246</v>
      </c>
      <c r="E20" s="38" t="s">
        <v>246</v>
      </c>
      <c r="F20" s="38" t="s">
        <v>246</v>
      </c>
      <c r="G20" s="38" t="s">
        <v>246</v>
      </c>
    </row>
    <row r="21" spans="1:8" x14ac:dyDescent="0.15">
      <c r="A21" s="23" t="s">
        <v>276</v>
      </c>
      <c r="C21" s="39">
        <f>SUM(C18:C20)</f>
        <v>287.97659000000004</v>
      </c>
      <c r="D21" s="38" t="s">
        <v>246</v>
      </c>
      <c r="E21" s="38" t="s">
        <v>246</v>
      </c>
      <c r="F21" s="38" t="s">
        <v>246</v>
      </c>
      <c r="G21" s="38" t="s">
        <v>246</v>
      </c>
    </row>
    <row r="22" spans="1:8" x14ac:dyDescent="0.15">
      <c r="A22" s="36" t="s">
        <v>277</v>
      </c>
      <c r="B22" s="34"/>
      <c r="C22" s="37">
        <f>C21*4</f>
        <v>1151.9063600000002</v>
      </c>
      <c r="D22" s="37"/>
      <c r="E22" s="34"/>
      <c r="F22" s="34"/>
      <c r="G22" s="34"/>
      <c r="H22" s="34"/>
    </row>
    <row r="24" spans="1:8" x14ac:dyDescent="0.15">
      <c r="A24" s="27" t="s">
        <v>132</v>
      </c>
      <c r="C24" s="11" t="s">
        <v>243</v>
      </c>
      <c r="D24" s="11" t="s">
        <v>244</v>
      </c>
      <c r="E24" s="11" t="s">
        <v>227</v>
      </c>
      <c r="F24" s="11" t="s">
        <v>273</v>
      </c>
      <c r="G24" s="11" t="s">
        <v>233</v>
      </c>
    </row>
    <row r="25" spans="1:8" x14ac:dyDescent="0.15">
      <c r="A25" s="23" t="s">
        <v>187</v>
      </c>
      <c r="C25" s="39">
        <f>IF($F5&lt;'Tariffs Jul''15'!E21,('Bills Jul''15'!$F5*'Tariffs Jul''15'!E22/100*1.1),('Tariffs Jul''15'!E21*'Tariffs Jul''15'!E22/100*1.1))</f>
        <v>203.79150000000001</v>
      </c>
      <c r="D25" s="38" t="s">
        <v>246</v>
      </c>
      <c r="E25" s="38" t="s">
        <v>246</v>
      </c>
      <c r="F25" s="38" t="s">
        <v>246</v>
      </c>
      <c r="G25" s="38" t="s">
        <v>246</v>
      </c>
    </row>
    <row r="26" spans="1:8" x14ac:dyDescent="0.15">
      <c r="A26" s="23" t="s">
        <v>188</v>
      </c>
      <c r="C26" s="39">
        <f>IF($F5&gt;'Tariffs Jul''15'!E21,('Bills Jul''15'!$F5-'Tariffs Jul''15'!E21)*'Tariffs Jul''15'!E23/100*1.1,0)</f>
        <v>15.526500000000002</v>
      </c>
      <c r="D26" s="38" t="s">
        <v>246</v>
      </c>
      <c r="E26" s="38" t="s">
        <v>246</v>
      </c>
      <c r="F26" s="38" t="s">
        <v>246</v>
      </c>
      <c r="G26" s="38" t="s">
        <v>246</v>
      </c>
    </row>
    <row r="27" spans="1:8" x14ac:dyDescent="0.15">
      <c r="A27" s="23" t="s">
        <v>189</v>
      </c>
      <c r="C27" s="39">
        <f>'Tariffs Jul''15'!E24*91/100*1.1</f>
        <v>68.658590000000018</v>
      </c>
      <c r="D27" s="38" t="s">
        <v>246</v>
      </c>
      <c r="E27" s="38" t="s">
        <v>246</v>
      </c>
      <c r="F27" s="38" t="s">
        <v>246</v>
      </c>
      <c r="G27" s="38" t="s">
        <v>246</v>
      </c>
    </row>
    <row r="28" spans="1:8" x14ac:dyDescent="0.15">
      <c r="A28" s="23" t="s">
        <v>276</v>
      </c>
      <c r="C28" s="39">
        <f>SUM(C25:C27)</f>
        <v>287.97659000000004</v>
      </c>
      <c r="D28" s="38" t="s">
        <v>246</v>
      </c>
      <c r="E28" s="38" t="s">
        <v>246</v>
      </c>
      <c r="F28" s="38" t="s">
        <v>246</v>
      </c>
      <c r="G28" s="38" t="s">
        <v>246</v>
      </c>
    </row>
    <row r="29" spans="1:8" x14ac:dyDescent="0.15">
      <c r="A29" s="36" t="s">
        <v>277</v>
      </c>
      <c r="B29" s="34"/>
      <c r="C29" s="37">
        <f>C28*4</f>
        <v>1151.9063600000002</v>
      </c>
      <c r="D29" s="37"/>
      <c r="E29" s="34"/>
      <c r="F29" s="34"/>
      <c r="G29" s="34"/>
      <c r="H29" s="34"/>
    </row>
    <row r="31" spans="1:8" x14ac:dyDescent="0.15">
      <c r="A31" s="27" t="s">
        <v>205</v>
      </c>
      <c r="C31" s="11" t="s">
        <v>243</v>
      </c>
      <c r="D31" s="11" t="s">
        <v>244</v>
      </c>
      <c r="E31" s="11" t="s">
        <v>227</v>
      </c>
      <c r="F31" s="11" t="s">
        <v>273</v>
      </c>
      <c r="G31" s="11" t="s">
        <v>233</v>
      </c>
    </row>
    <row r="32" spans="1:8" x14ac:dyDescent="0.15">
      <c r="A32" s="23" t="s">
        <v>187</v>
      </c>
      <c r="C32" s="39">
        <f>IF($F5&lt;'Tariffs Jul''15'!E27,('Bills Jul''15'!$F5*'Tariffs Jul''15'!E28/100*1.1),('Tariffs Jul''15'!E27*'Tariffs Jul''15'!E28/100*1.1))</f>
        <v>203.79150000000001</v>
      </c>
      <c r="D32" s="38" t="s">
        <v>246</v>
      </c>
      <c r="E32" s="38" t="s">
        <v>246</v>
      </c>
      <c r="F32" s="38" t="s">
        <v>246</v>
      </c>
      <c r="G32" s="38" t="s">
        <v>246</v>
      </c>
    </row>
    <row r="33" spans="1:8" x14ac:dyDescent="0.15">
      <c r="A33" s="23" t="s">
        <v>188</v>
      </c>
      <c r="C33" s="39">
        <f>IF($F5&gt;'Tariffs Jul''15'!E27,('Bills Jul''15'!$F5-'Tariffs Jul''15'!E27)*'Tariffs Jul''15'!E29/100*1.1,0)</f>
        <v>15.526500000000002</v>
      </c>
      <c r="D33" s="38" t="s">
        <v>246</v>
      </c>
      <c r="E33" s="38" t="s">
        <v>246</v>
      </c>
      <c r="F33" s="38" t="s">
        <v>246</v>
      </c>
      <c r="G33" s="38" t="s">
        <v>246</v>
      </c>
    </row>
    <row r="34" spans="1:8" x14ac:dyDescent="0.15">
      <c r="A34" s="23" t="s">
        <v>189</v>
      </c>
      <c r="C34" s="39">
        <f>'Tariffs Jul''15'!E30*91/100*1.1</f>
        <v>68.658590000000018</v>
      </c>
      <c r="D34" s="38" t="s">
        <v>246</v>
      </c>
      <c r="E34" s="38" t="s">
        <v>246</v>
      </c>
      <c r="F34" s="38" t="s">
        <v>246</v>
      </c>
      <c r="G34" s="38" t="s">
        <v>246</v>
      </c>
    </row>
    <row r="35" spans="1:8" x14ac:dyDescent="0.15">
      <c r="A35" s="23" t="s">
        <v>276</v>
      </c>
      <c r="C35" s="39">
        <f>SUM(C32:C34)</f>
        <v>287.97659000000004</v>
      </c>
      <c r="D35" s="38" t="s">
        <v>246</v>
      </c>
      <c r="E35" s="38" t="s">
        <v>246</v>
      </c>
      <c r="F35" s="38" t="s">
        <v>246</v>
      </c>
      <c r="G35" s="38" t="s">
        <v>246</v>
      </c>
    </row>
    <row r="36" spans="1:8" x14ac:dyDescent="0.15">
      <c r="A36" s="36" t="s">
        <v>277</v>
      </c>
      <c r="B36" s="34"/>
      <c r="C36" s="37">
        <f>C35*4</f>
        <v>1151.9063600000002</v>
      </c>
      <c r="D36" s="37"/>
      <c r="E36" s="34"/>
      <c r="F36" s="34"/>
      <c r="G36" s="34"/>
      <c r="H36" s="34"/>
    </row>
    <row r="38" spans="1:8" x14ac:dyDescent="0.15">
      <c r="A38" s="27" t="s">
        <v>268</v>
      </c>
      <c r="C38" s="11" t="s">
        <v>243</v>
      </c>
      <c r="D38" s="11" t="s">
        <v>244</v>
      </c>
      <c r="E38" s="11" t="s">
        <v>227</v>
      </c>
      <c r="F38" s="11" t="s">
        <v>273</v>
      </c>
      <c r="G38" s="11" t="s">
        <v>233</v>
      </c>
    </row>
    <row r="39" spans="1:8" x14ac:dyDescent="0.15">
      <c r="A39" s="23" t="s">
        <v>187</v>
      </c>
      <c r="C39" s="39">
        <f>IF($F5&lt;'Tariffs Jul''15'!E33,('Bills Jul''15'!$F5*'Tariffs Jul''15'!E34/100*1.1),('Tariffs Jul''15'!E33*'Tariffs Jul''15'!E34/100*1.1))</f>
        <v>203.79150000000001</v>
      </c>
      <c r="D39" s="38" t="s">
        <v>246</v>
      </c>
      <c r="E39" s="38" t="s">
        <v>246</v>
      </c>
      <c r="F39" s="38" t="s">
        <v>246</v>
      </c>
      <c r="G39" s="38" t="s">
        <v>246</v>
      </c>
    </row>
    <row r="40" spans="1:8" x14ac:dyDescent="0.15">
      <c r="A40" s="23" t="s">
        <v>188</v>
      </c>
      <c r="C40" s="39">
        <f>IF($F5&gt;'Tariffs Jul''15'!E33,('Bills Jul''15'!$F5-'Tariffs Jul''15'!E33)*'Tariffs Jul''15'!E35/100*1.1,0)</f>
        <v>15.526500000000002</v>
      </c>
      <c r="D40" s="38" t="s">
        <v>246</v>
      </c>
      <c r="E40" s="38" t="s">
        <v>246</v>
      </c>
      <c r="F40" s="38" t="s">
        <v>246</v>
      </c>
      <c r="G40" s="38" t="s">
        <v>246</v>
      </c>
    </row>
    <row r="41" spans="1:8" x14ac:dyDescent="0.15">
      <c r="A41" s="23" t="s">
        <v>189</v>
      </c>
      <c r="C41" s="39">
        <f>'Tariffs Jul''15'!E36*91/100*1.1</f>
        <v>68.658590000000018</v>
      </c>
      <c r="D41" s="38" t="s">
        <v>246</v>
      </c>
      <c r="E41" s="38" t="s">
        <v>246</v>
      </c>
      <c r="F41" s="38" t="s">
        <v>246</v>
      </c>
      <c r="G41" s="38" t="s">
        <v>246</v>
      </c>
    </row>
    <row r="42" spans="1:8" x14ac:dyDescent="0.15">
      <c r="A42" s="23" t="s">
        <v>276</v>
      </c>
      <c r="C42" s="39">
        <f>SUM(C39:C41)</f>
        <v>287.97659000000004</v>
      </c>
      <c r="D42" s="38" t="s">
        <v>246</v>
      </c>
      <c r="E42" s="38" t="s">
        <v>246</v>
      </c>
      <c r="F42" s="38" t="s">
        <v>246</v>
      </c>
      <c r="G42" s="38" t="s">
        <v>246</v>
      </c>
    </row>
    <row r="43" spans="1:8" x14ac:dyDescent="0.15">
      <c r="A43" s="36" t="s">
        <v>277</v>
      </c>
      <c r="B43" s="34"/>
      <c r="C43" s="37">
        <f>C42*4</f>
        <v>1151.9063600000002</v>
      </c>
      <c r="D43" s="37"/>
      <c r="E43" s="34"/>
      <c r="F43" s="34"/>
      <c r="G43" s="34"/>
      <c r="H43" s="34"/>
    </row>
    <row r="45" spans="1:8" x14ac:dyDescent="0.15">
      <c r="A45" s="34"/>
      <c r="B45" s="34"/>
      <c r="C45" s="34"/>
      <c r="D45" s="34"/>
      <c r="E45" s="34"/>
      <c r="F45" s="34"/>
      <c r="G45" s="34"/>
      <c r="H45" s="34"/>
    </row>
    <row r="46" spans="1:8" x14ac:dyDescent="0.15">
      <c r="A46" s="27" t="s">
        <v>161</v>
      </c>
      <c r="B46" s="34"/>
      <c r="C46" s="11" t="s">
        <v>269</v>
      </c>
      <c r="D46" s="11" t="s">
        <v>213</v>
      </c>
      <c r="E46" s="11" t="s">
        <v>133</v>
      </c>
      <c r="F46" s="11" t="s">
        <v>273</v>
      </c>
      <c r="G46" s="11" t="s">
        <v>233</v>
      </c>
    </row>
    <row r="47" spans="1:8" x14ac:dyDescent="0.15">
      <c r="A47" s="23" t="s">
        <v>248</v>
      </c>
      <c r="B47" s="34"/>
      <c r="C47" s="23" t="s">
        <v>284</v>
      </c>
      <c r="D47" s="14" t="s">
        <v>239</v>
      </c>
      <c r="E47" s="23" t="s">
        <v>284</v>
      </c>
      <c r="F47" s="12" t="s">
        <v>197</v>
      </c>
      <c r="G47" s="12" t="s">
        <v>283</v>
      </c>
    </row>
    <row r="48" spans="1:8" x14ac:dyDescent="0.15">
      <c r="A48" s="23" t="s">
        <v>236</v>
      </c>
      <c r="B48" s="34"/>
      <c r="C48" s="12" t="s">
        <v>285</v>
      </c>
      <c r="D48" s="12" t="s">
        <v>240</v>
      </c>
      <c r="E48" s="12" t="s">
        <v>285</v>
      </c>
      <c r="F48" s="12" t="s">
        <v>254</v>
      </c>
      <c r="G48" s="12" t="s">
        <v>283</v>
      </c>
    </row>
    <row r="49" spans="1:12" x14ac:dyDescent="0.15">
      <c r="A49" s="23" t="s">
        <v>258</v>
      </c>
      <c r="B49" s="34"/>
      <c r="C49" s="13" t="s">
        <v>284</v>
      </c>
      <c r="D49" s="12" t="s">
        <v>241</v>
      </c>
      <c r="E49" s="13" t="s">
        <v>284</v>
      </c>
      <c r="F49" s="13" t="s">
        <v>282</v>
      </c>
      <c r="G49" s="13" t="s">
        <v>283</v>
      </c>
    </row>
    <row r="50" spans="1:12" x14ac:dyDescent="0.15">
      <c r="A50" s="23" t="s">
        <v>198</v>
      </c>
      <c r="B50" s="34"/>
      <c r="C50" s="12" t="s">
        <v>265</v>
      </c>
      <c r="D50" s="12" t="s">
        <v>238</v>
      </c>
      <c r="E50" s="14" t="s">
        <v>242</v>
      </c>
      <c r="F50" s="14" t="s">
        <v>281</v>
      </c>
      <c r="G50" s="14" t="s">
        <v>235</v>
      </c>
    </row>
    <row r="51" spans="1:12" x14ac:dyDescent="0.15">
      <c r="A51" s="23" t="s">
        <v>267</v>
      </c>
      <c r="B51" s="34"/>
      <c r="C51" s="13">
        <v>12</v>
      </c>
      <c r="D51" s="13">
        <v>12.73</v>
      </c>
      <c r="E51" s="13">
        <v>12</v>
      </c>
      <c r="F51" s="14" t="s">
        <v>283</v>
      </c>
      <c r="G51" s="23" t="s">
        <v>283</v>
      </c>
    </row>
    <row r="52" spans="1:12" x14ac:dyDescent="0.15">
      <c r="A52" s="23" t="s">
        <v>287</v>
      </c>
      <c r="B52" s="34"/>
      <c r="C52" s="12" t="s">
        <v>266</v>
      </c>
      <c r="D52" s="12" t="s">
        <v>183</v>
      </c>
      <c r="E52" s="12" t="s">
        <v>197</v>
      </c>
      <c r="F52" s="12" t="s">
        <v>122</v>
      </c>
      <c r="G52" s="12" t="s">
        <v>283</v>
      </c>
    </row>
    <row r="53" spans="1:12" x14ac:dyDescent="0.15">
      <c r="A53" s="34"/>
      <c r="B53" s="34"/>
      <c r="C53" s="34"/>
      <c r="D53" s="34"/>
      <c r="E53" s="34"/>
      <c r="F53" s="34"/>
      <c r="G53" s="34"/>
      <c r="H53" s="34"/>
    </row>
    <row r="55" spans="1:12" x14ac:dyDescent="0.15">
      <c r="A55" s="65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</row>
  </sheetData>
  <sheetProtection algorithmName="SHA-512" hashValue="stS+vHZErrTggWSU4UjEGOwhXQxqbqrUQU1ppmUrF7op0VbFIE463YDvkQH0S7pojtwWOHh2zDJe9BFUfgImaw==" saltValue="T39QwKSO88jzQ+sjNS4bLA==" spinCount="100000" sheet="1" objects="1" scenarios="1"/>
  <phoneticPr fontId="7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L55"/>
  <sheetViews>
    <sheetView workbookViewId="0">
      <selection activeCell="K26" sqref="K26"/>
    </sheetView>
  </sheetViews>
  <sheetFormatPr baseColWidth="10" defaultRowHeight="13" x14ac:dyDescent="0.15"/>
  <cols>
    <col min="1" max="1" width="22.5" style="23" customWidth="1"/>
    <col min="2" max="2" width="2.6640625" style="23" customWidth="1"/>
    <col min="3" max="3" width="10.5" style="23" customWidth="1"/>
    <col min="4" max="4" width="10.83203125" style="23"/>
    <col min="5" max="5" width="10.83203125" style="23" customWidth="1"/>
    <col min="6" max="6" width="11.5" style="23" customWidth="1"/>
    <col min="7" max="7" width="11.33203125" style="23" customWidth="1"/>
    <col min="8" max="8" width="10" style="23" customWidth="1"/>
    <col min="9" max="9" width="11.5" style="23" customWidth="1"/>
    <col min="10" max="10" width="12.83203125" style="23" customWidth="1"/>
    <col min="11" max="12" width="10" style="23" customWidth="1"/>
    <col min="13" max="16384" width="10.83203125" style="23"/>
  </cols>
  <sheetData>
    <row r="1" spans="1:12" x14ac:dyDescent="0.15">
      <c r="A1" s="22" t="s">
        <v>186</v>
      </c>
    </row>
    <row r="2" spans="1:12" x14ac:dyDescent="0.15">
      <c r="A2" s="61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</row>
    <row r="3" spans="1:12" x14ac:dyDescent="0.15">
      <c r="A3" s="26" t="s">
        <v>192</v>
      </c>
    </row>
    <row r="5" spans="1:12" x14ac:dyDescent="0.15">
      <c r="A5" s="27" t="s">
        <v>224</v>
      </c>
      <c r="B5" s="27"/>
      <c r="C5" s="27" t="s">
        <v>359</v>
      </c>
      <c r="F5" s="40">
        <v>5250</v>
      </c>
    </row>
    <row r="6" spans="1:12" x14ac:dyDescent="0.15">
      <c r="C6" s="28"/>
      <c r="H6" s="11"/>
      <c r="I6" s="11"/>
      <c r="J6" s="11"/>
      <c r="K6" s="11"/>
    </row>
    <row r="7" spans="1:12" x14ac:dyDescent="0.15">
      <c r="A7" s="29" t="s">
        <v>191</v>
      </c>
      <c r="B7" s="30"/>
      <c r="C7" s="11"/>
      <c r="D7" s="11"/>
      <c r="E7" s="11"/>
      <c r="I7" s="11"/>
      <c r="J7" s="11"/>
      <c r="K7" s="11"/>
      <c r="L7" s="11"/>
    </row>
    <row r="8" spans="1:12" x14ac:dyDescent="0.15">
      <c r="J8" s="31"/>
    </row>
    <row r="9" spans="1:12" x14ac:dyDescent="0.15">
      <c r="A9" s="27" t="s">
        <v>202</v>
      </c>
      <c r="C9" s="11" t="s">
        <v>213</v>
      </c>
      <c r="D9" s="11" t="s">
        <v>269</v>
      </c>
      <c r="E9" s="11" t="s">
        <v>133</v>
      </c>
      <c r="F9" s="11" t="s">
        <v>273</v>
      </c>
      <c r="G9" s="11" t="s">
        <v>233</v>
      </c>
      <c r="H9" s="32" t="s">
        <v>278</v>
      </c>
    </row>
    <row r="10" spans="1:12" x14ac:dyDescent="0.15">
      <c r="A10" s="23" t="s">
        <v>187</v>
      </c>
      <c r="C10" s="33">
        <f>IF($F5&gt;'Tariffs Jul''14'!E7,('Tariffs Jul''14'!E7*'Tariffs Jul''14'!E9/100),('Bills Jul''14'!$F5*'Tariffs Jul''14'!E9/100))</f>
        <v>116.27</v>
      </c>
      <c r="D10" s="33">
        <f>IF($F5&lt;'Tariffs Jul''14'!F7,('Bills Jul''14'!$F5*'Tariffs Jul''14'!F9/100),('Tariffs Jul''14'!F7*'Tariffs Jul''14'!F9/100))</f>
        <v>204.93</v>
      </c>
      <c r="E10" s="33">
        <f>IF($F5&lt;'Tariffs Jul''14'!G7,('Bills Jul''14'!$F5*'Tariffs Jul''14'!G9/100),('Tariffs Jul''14'!G7*'Tariffs Jul''14'!G9/100))</f>
        <v>111.925</v>
      </c>
      <c r="F10" s="33">
        <f>IF($F5&lt;'Tariffs Jul''14'!H7,('Bills Jul''14'!$F5*'Tariffs Jul''14'!H9/100),('Tariffs Jul''14'!H7*'Tariffs Jul''14'!H9/100))</f>
        <v>158.79599999999999</v>
      </c>
      <c r="G10" s="33">
        <f>IF($F5&lt;'Tariffs Jul''14'!I7,('Bills Jul''14'!$F5*'Tariffs Jul''14'!I9/100),('Tariffs Jul''14'!I7*'Tariffs Jul''14'!I9/100))</f>
        <v>176.22</v>
      </c>
      <c r="H10" s="34"/>
    </row>
    <row r="11" spans="1:12" x14ac:dyDescent="0.15">
      <c r="A11" s="23" t="s">
        <v>280</v>
      </c>
      <c r="C11" s="33">
        <f>IF($F5&lt;'Tariffs Jul''14'!E7,0,IF($F5&lt;='Tariffs Jul''14'!E8,($F5-'Tariffs Jul''14'!E7)*('Tariffs Jul''14'!E10/100),('Tariffs Jul''14'!E8-'Tariffs Jul''14'!E7)*('Tariffs Jul''14'!E10/100)))</f>
        <v>79.397999999999996</v>
      </c>
      <c r="D11" s="33">
        <v>0</v>
      </c>
      <c r="E11" s="33">
        <f>IF($F5&lt;'Tariffs Jul''14'!G7,0,IF($F5&lt;='Tariffs Jul''14'!G8,($F5-'Tariffs Jul''14'!G7)*('Tariffs Jul''14'!G10/100),('Tariffs Jul''14'!G8-'Tariffs Jul''14'!G7)*('Tariffs Jul''14'!G10/100)))</f>
        <v>89.1</v>
      </c>
      <c r="F11" s="33">
        <v>0</v>
      </c>
      <c r="G11" s="33">
        <v>0</v>
      </c>
      <c r="H11" s="34"/>
    </row>
    <row r="12" spans="1:12" x14ac:dyDescent="0.15">
      <c r="A12" s="23" t="s">
        <v>188</v>
      </c>
      <c r="C12" s="33">
        <f>IF(($F5&lt;'Tariffs Jul''14'!E8),(0),($F5-'Tariffs Jul''14'!E8)*'Tariffs Jul''14'!E11/100)</f>
        <v>15.056249999999999</v>
      </c>
      <c r="D12" s="33">
        <f>IF($F5&gt;'Tariffs Jul''14'!F7,('Bills Jul''14'!$F5-'Tariffs Jul''14'!F7)*'Tariffs Jul''14'!F11/100,0)</f>
        <v>16.59075</v>
      </c>
      <c r="E12" s="33">
        <f>IF(($F5&lt;'Tariffs Jul''14'!G8),(0),($F5-'Tariffs Jul''14'!G8)*'Tariffs Jul''14'!G11/100)</f>
        <v>19.8</v>
      </c>
      <c r="F12" s="33">
        <f>IF($F5&gt;'Tariffs Jul''14'!H7,('Bills Jul''14'!$F5-'Tariffs Jul''14'!H7)*'Tariffs Jul''14'!H11/100,0)</f>
        <v>18.034499999999998</v>
      </c>
      <c r="G12" s="33">
        <f>IF($F5&gt;'Tariffs Jul''14'!I7,('Bills Jul''14'!$F5-'Tariffs Jul''14'!I7)*'Tariffs Jul''14'!I11/100,0)</f>
        <v>15.344999999999997</v>
      </c>
      <c r="H12" s="34"/>
    </row>
    <row r="13" spans="1:12" x14ac:dyDescent="0.15">
      <c r="A13" s="23" t="s">
        <v>189</v>
      </c>
      <c r="C13" s="33">
        <f>'Tariffs Jul''14'!E12*91/100</f>
        <v>72.632559999999998</v>
      </c>
      <c r="D13" s="33">
        <f>'Tariffs Jul''14'!F12*91/100</f>
        <v>68.198130000000006</v>
      </c>
      <c r="E13" s="33">
        <f>'Tariffs Jul''14'!G12*91/100</f>
        <v>90.09</v>
      </c>
      <c r="F13" s="33">
        <f>'Tariffs Jul''14'!H12*91/100</f>
        <v>78.687608999999995</v>
      </c>
      <c r="G13" s="33">
        <f>'Tariffs Jul''14'!I12*91/100</f>
        <v>76.386310000000009</v>
      </c>
      <c r="H13" s="34"/>
    </row>
    <row r="14" spans="1:12" x14ac:dyDescent="0.15">
      <c r="A14" s="23" t="s">
        <v>276</v>
      </c>
      <c r="C14" s="33">
        <f>SUM(C10:C13)</f>
        <v>283.35681</v>
      </c>
      <c r="D14" s="33">
        <f t="shared" ref="D14:G14" si="0">SUM(D10:D13)</f>
        <v>289.71888000000001</v>
      </c>
      <c r="E14" s="33">
        <f t="shared" si="0"/>
        <v>310.91499999999996</v>
      </c>
      <c r="F14" s="33">
        <f t="shared" si="0"/>
        <v>255.51810899999998</v>
      </c>
      <c r="G14" s="33">
        <f t="shared" si="0"/>
        <v>267.95131000000003</v>
      </c>
      <c r="H14" s="35">
        <f>AVERAGE(C14:G14)</f>
        <v>281.49202180000003</v>
      </c>
    </row>
    <row r="15" spans="1:12" x14ac:dyDescent="0.15">
      <c r="A15" s="36" t="s">
        <v>277</v>
      </c>
      <c r="B15" s="34"/>
      <c r="C15" s="37">
        <f>C14*4</f>
        <v>1133.42724</v>
      </c>
      <c r="D15" s="37">
        <f t="shared" ref="D15:G15" si="1">D14*4</f>
        <v>1158.8755200000001</v>
      </c>
      <c r="E15" s="37">
        <f t="shared" si="1"/>
        <v>1243.6599999999999</v>
      </c>
      <c r="F15" s="37">
        <f t="shared" si="1"/>
        <v>1022.0724359999999</v>
      </c>
      <c r="G15" s="37">
        <f t="shared" si="1"/>
        <v>1071.8052400000001</v>
      </c>
      <c r="H15" s="37">
        <f>AVERAGE(C15:G15)</f>
        <v>1125.9680872000001</v>
      </c>
    </row>
    <row r="17" spans="1:8" x14ac:dyDescent="0.15">
      <c r="A17" s="27" t="s">
        <v>215</v>
      </c>
      <c r="C17" s="11" t="s">
        <v>213</v>
      </c>
      <c r="D17" s="11" t="s">
        <v>269</v>
      </c>
      <c r="E17" s="11" t="s">
        <v>227</v>
      </c>
      <c r="F17" s="11" t="s">
        <v>273</v>
      </c>
      <c r="G17" s="11" t="s">
        <v>233</v>
      </c>
    </row>
    <row r="18" spans="1:8" x14ac:dyDescent="0.15">
      <c r="A18" s="23" t="s">
        <v>187</v>
      </c>
      <c r="C18" s="38" t="s">
        <v>246</v>
      </c>
      <c r="D18" s="39">
        <f>IF($F5&lt;'Tariffs Jul''14'!F15,('Bills Jul''14'!$F5*'Tariffs Jul''14'!F16/100),('Tariffs Jul''14'!F15*'Tariffs Jul''14'!F16/100))</f>
        <v>204.93</v>
      </c>
      <c r="E18" s="38" t="s">
        <v>246</v>
      </c>
      <c r="F18" s="38" t="s">
        <v>246</v>
      </c>
      <c r="G18" s="38" t="s">
        <v>246</v>
      </c>
    </row>
    <row r="19" spans="1:8" x14ac:dyDescent="0.15">
      <c r="A19" s="23" t="s">
        <v>188</v>
      </c>
      <c r="C19" s="38" t="s">
        <v>246</v>
      </c>
      <c r="D19" s="39">
        <f>IF($F5&gt;'Tariffs Jul''14'!F15,('Bills Jul''14'!$F5-'Tariffs Jul''14'!F15)*'Tariffs Jul''14'!F17/100,0)</f>
        <v>16.59075</v>
      </c>
      <c r="E19" s="38" t="s">
        <v>246</v>
      </c>
      <c r="F19" s="38" t="s">
        <v>246</v>
      </c>
      <c r="G19" s="38" t="s">
        <v>246</v>
      </c>
    </row>
    <row r="20" spans="1:8" x14ac:dyDescent="0.15">
      <c r="A20" s="23" t="s">
        <v>189</v>
      </c>
      <c r="C20" s="38" t="s">
        <v>246</v>
      </c>
      <c r="D20" s="39">
        <f>'Tariffs Jul''14'!F18*91/100</f>
        <v>68.198130000000006</v>
      </c>
      <c r="E20" s="38" t="s">
        <v>246</v>
      </c>
      <c r="F20" s="38" t="s">
        <v>246</v>
      </c>
      <c r="G20" s="38" t="s">
        <v>246</v>
      </c>
    </row>
    <row r="21" spans="1:8" x14ac:dyDescent="0.15">
      <c r="A21" s="23" t="s">
        <v>276</v>
      </c>
      <c r="C21" s="38" t="s">
        <v>246</v>
      </c>
      <c r="D21" s="39">
        <f>SUM(D18:D20)</f>
        <v>289.71888000000001</v>
      </c>
      <c r="E21" s="38" t="s">
        <v>246</v>
      </c>
      <c r="F21" s="38" t="s">
        <v>246</v>
      </c>
      <c r="G21" s="38" t="s">
        <v>246</v>
      </c>
    </row>
    <row r="22" spans="1:8" x14ac:dyDescent="0.15">
      <c r="A22" s="36" t="s">
        <v>277</v>
      </c>
      <c r="B22" s="34"/>
      <c r="C22" s="34"/>
      <c r="D22" s="37">
        <f>D21*4</f>
        <v>1158.8755200000001</v>
      </c>
      <c r="E22" s="34"/>
      <c r="F22" s="34"/>
      <c r="G22" s="34"/>
      <c r="H22" s="34"/>
    </row>
    <row r="24" spans="1:8" x14ac:dyDescent="0.15">
      <c r="A24" s="27" t="s">
        <v>132</v>
      </c>
      <c r="C24" s="11" t="s">
        <v>213</v>
      </c>
      <c r="D24" s="11" t="s">
        <v>269</v>
      </c>
      <c r="E24" s="11" t="s">
        <v>227</v>
      </c>
      <c r="F24" s="11" t="s">
        <v>273</v>
      </c>
      <c r="G24" s="11" t="s">
        <v>233</v>
      </c>
    </row>
    <row r="25" spans="1:8" x14ac:dyDescent="0.15">
      <c r="A25" s="23" t="s">
        <v>187</v>
      </c>
      <c r="C25" s="38" t="s">
        <v>246</v>
      </c>
      <c r="D25" s="39">
        <f>IF($F5&lt;'Tariffs Jul''14'!F21,('Bills Jul''14'!$F5*'Tariffs Jul''14'!F22/100),('Tariffs Jul''14'!F21*'Tariffs Jul''14'!F22/100))</f>
        <v>204.93</v>
      </c>
      <c r="E25" s="38" t="s">
        <v>246</v>
      </c>
      <c r="F25" s="38" t="s">
        <v>246</v>
      </c>
      <c r="G25" s="38" t="s">
        <v>246</v>
      </c>
    </row>
    <row r="26" spans="1:8" x14ac:dyDescent="0.15">
      <c r="A26" s="23" t="s">
        <v>188</v>
      </c>
      <c r="C26" s="38" t="s">
        <v>246</v>
      </c>
      <c r="D26" s="39">
        <f>IF($F5&gt;'Tariffs Jul''14'!F21,('Bills Jul''14'!$F5-'Tariffs Jul''14'!F21)*'Tariffs Jul''14'!F23/100,0)</f>
        <v>16.59075</v>
      </c>
      <c r="E26" s="38" t="s">
        <v>246</v>
      </c>
      <c r="F26" s="38" t="s">
        <v>246</v>
      </c>
      <c r="G26" s="38" t="s">
        <v>246</v>
      </c>
    </row>
    <row r="27" spans="1:8" x14ac:dyDescent="0.15">
      <c r="A27" s="23" t="s">
        <v>189</v>
      </c>
      <c r="C27" s="38" t="s">
        <v>246</v>
      </c>
      <c r="D27" s="39">
        <f>'Tariffs Jul''14'!F24*91/100</f>
        <v>68.198130000000006</v>
      </c>
      <c r="E27" s="38" t="s">
        <v>246</v>
      </c>
      <c r="F27" s="38" t="s">
        <v>246</v>
      </c>
      <c r="G27" s="38" t="s">
        <v>246</v>
      </c>
    </row>
    <row r="28" spans="1:8" x14ac:dyDescent="0.15">
      <c r="A28" s="23" t="s">
        <v>276</v>
      </c>
      <c r="C28" s="38" t="s">
        <v>246</v>
      </c>
      <c r="D28" s="39">
        <f>SUM(D25:D27)</f>
        <v>289.71888000000001</v>
      </c>
      <c r="E28" s="38" t="s">
        <v>246</v>
      </c>
      <c r="F28" s="38" t="s">
        <v>246</v>
      </c>
      <c r="G28" s="38" t="s">
        <v>246</v>
      </c>
    </row>
    <row r="29" spans="1:8" x14ac:dyDescent="0.15">
      <c r="A29" s="36" t="s">
        <v>277</v>
      </c>
      <c r="B29" s="34"/>
      <c r="C29" s="34"/>
      <c r="D29" s="37">
        <f>D28*4</f>
        <v>1158.8755200000001</v>
      </c>
      <c r="E29" s="34"/>
      <c r="F29" s="34"/>
      <c r="G29" s="34"/>
      <c r="H29" s="34"/>
    </row>
    <row r="31" spans="1:8" x14ac:dyDescent="0.15">
      <c r="A31" s="27" t="s">
        <v>205</v>
      </c>
      <c r="C31" s="11" t="s">
        <v>213</v>
      </c>
      <c r="D31" s="11" t="s">
        <v>269</v>
      </c>
      <c r="E31" s="11" t="s">
        <v>227</v>
      </c>
      <c r="F31" s="11" t="s">
        <v>273</v>
      </c>
      <c r="G31" s="11" t="s">
        <v>233</v>
      </c>
    </row>
    <row r="32" spans="1:8" x14ac:dyDescent="0.15">
      <c r="A32" s="23" t="s">
        <v>187</v>
      </c>
      <c r="C32" s="38" t="s">
        <v>246</v>
      </c>
      <c r="D32" s="39">
        <f>IF($F5&lt;'Tariffs Jul''14'!F27,('Bills Jul''14'!$F5*'Tariffs Jul''14'!F28/100),('Tariffs Jul''14'!F27*'Tariffs Jul''14'!F28/100))</f>
        <v>204.93</v>
      </c>
      <c r="E32" s="38" t="s">
        <v>246</v>
      </c>
      <c r="F32" s="38" t="s">
        <v>246</v>
      </c>
      <c r="G32" s="38" t="s">
        <v>246</v>
      </c>
    </row>
    <row r="33" spans="1:8" x14ac:dyDescent="0.15">
      <c r="A33" s="23" t="s">
        <v>188</v>
      </c>
      <c r="C33" s="38" t="s">
        <v>246</v>
      </c>
      <c r="D33" s="39">
        <f>IF($F5&gt;'Tariffs Jul''14'!F27,('Bills Jul''14'!$F5-'Tariffs Jul''14'!F27)*'Tariffs Jul''14'!F29/100,0)</f>
        <v>16.59075</v>
      </c>
      <c r="E33" s="38" t="s">
        <v>246</v>
      </c>
      <c r="F33" s="38" t="s">
        <v>246</v>
      </c>
      <c r="G33" s="38" t="s">
        <v>246</v>
      </c>
    </row>
    <row r="34" spans="1:8" x14ac:dyDescent="0.15">
      <c r="A34" s="23" t="s">
        <v>189</v>
      </c>
      <c r="C34" s="38" t="s">
        <v>246</v>
      </c>
      <c r="D34" s="39">
        <f>'Tariffs Jul''14'!F30*91/100</f>
        <v>68.198130000000006</v>
      </c>
      <c r="E34" s="38" t="s">
        <v>246</v>
      </c>
      <c r="F34" s="38" t="s">
        <v>246</v>
      </c>
      <c r="G34" s="38" t="s">
        <v>246</v>
      </c>
    </row>
    <row r="35" spans="1:8" x14ac:dyDescent="0.15">
      <c r="A35" s="23" t="s">
        <v>276</v>
      </c>
      <c r="C35" s="38" t="s">
        <v>246</v>
      </c>
      <c r="D35" s="39">
        <f>SUM(D32:D34)</f>
        <v>289.71888000000001</v>
      </c>
      <c r="E35" s="38" t="s">
        <v>246</v>
      </c>
      <c r="F35" s="38" t="s">
        <v>246</v>
      </c>
      <c r="G35" s="38" t="s">
        <v>246</v>
      </c>
    </row>
    <row r="36" spans="1:8" x14ac:dyDescent="0.15">
      <c r="A36" s="36" t="s">
        <v>277</v>
      </c>
      <c r="B36" s="34"/>
      <c r="C36" s="34"/>
      <c r="D36" s="37">
        <f>D35*4</f>
        <v>1158.8755200000001</v>
      </c>
      <c r="E36" s="34"/>
      <c r="F36" s="34"/>
      <c r="G36" s="34"/>
      <c r="H36" s="34"/>
    </row>
    <row r="38" spans="1:8" x14ac:dyDescent="0.15">
      <c r="A38" s="27" t="s">
        <v>268</v>
      </c>
      <c r="C38" s="11" t="s">
        <v>213</v>
      </c>
      <c r="D38" s="11" t="s">
        <v>269</v>
      </c>
      <c r="E38" s="11" t="s">
        <v>227</v>
      </c>
      <c r="F38" s="11" t="s">
        <v>273</v>
      </c>
      <c r="G38" s="11" t="s">
        <v>233</v>
      </c>
    </row>
    <row r="39" spans="1:8" x14ac:dyDescent="0.15">
      <c r="A39" s="23" t="s">
        <v>187</v>
      </c>
      <c r="C39" s="38" t="s">
        <v>246</v>
      </c>
      <c r="D39" s="39">
        <f>IF($F5&lt;'Tariffs Jul''14'!F33,('Bills Jul''14'!$F5*'Tariffs Jul''14'!F34/100),('Tariffs Jul''14'!F33*'Tariffs Jul''14'!F34/100))</f>
        <v>204.93</v>
      </c>
      <c r="E39" s="38" t="s">
        <v>246</v>
      </c>
      <c r="F39" s="38" t="s">
        <v>246</v>
      </c>
      <c r="G39" s="38" t="s">
        <v>246</v>
      </c>
    </row>
    <row r="40" spans="1:8" x14ac:dyDescent="0.15">
      <c r="A40" s="23" t="s">
        <v>188</v>
      </c>
      <c r="C40" s="38" t="s">
        <v>246</v>
      </c>
      <c r="D40" s="39">
        <f>IF($F5&gt;'Tariffs Jul''14'!F33,('Bills Jul''14'!$F5-'Tariffs Jul''14'!F33)*'Tariffs Jul''14'!F35/100,0)</f>
        <v>16.59075</v>
      </c>
      <c r="E40" s="38" t="s">
        <v>246</v>
      </c>
      <c r="F40" s="38" t="s">
        <v>246</v>
      </c>
      <c r="G40" s="38" t="s">
        <v>246</v>
      </c>
    </row>
    <row r="41" spans="1:8" x14ac:dyDescent="0.15">
      <c r="A41" s="23" t="s">
        <v>189</v>
      </c>
      <c r="C41" s="38" t="s">
        <v>246</v>
      </c>
      <c r="D41" s="39">
        <f>'Tariffs Jul''14'!F36*91/100</f>
        <v>68.198130000000006</v>
      </c>
      <c r="E41" s="38" t="s">
        <v>246</v>
      </c>
      <c r="F41" s="38" t="s">
        <v>246</v>
      </c>
      <c r="G41" s="38" t="s">
        <v>246</v>
      </c>
    </row>
    <row r="42" spans="1:8" x14ac:dyDescent="0.15">
      <c r="A42" s="23" t="s">
        <v>276</v>
      </c>
      <c r="C42" s="38" t="s">
        <v>246</v>
      </c>
      <c r="D42" s="39">
        <f>SUM(D39:D41)</f>
        <v>289.71888000000001</v>
      </c>
      <c r="E42" s="38" t="s">
        <v>246</v>
      </c>
      <c r="F42" s="38" t="s">
        <v>246</v>
      </c>
      <c r="G42" s="38" t="s">
        <v>246</v>
      </c>
    </row>
    <row r="43" spans="1:8" x14ac:dyDescent="0.15">
      <c r="A43" s="36" t="s">
        <v>277</v>
      </c>
      <c r="B43" s="34"/>
      <c r="C43" s="34"/>
      <c r="D43" s="37">
        <f>D42*4</f>
        <v>1158.8755200000001</v>
      </c>
      <c r="E43" s="34"/>
      <c r="F43" s="34"/>
      <c r="G43" s="34"/>
      <c r="H43" s="34"/>
    </row>
    <row r="45" spans="1:8" x14ac:dyDescent="0.15">
      <c r="A45" s="34"/>
      <c r="B45" s="34"/>
      <c r="C45" s="34"/>
      <c r="D45" s="34"/>
      <c r="E45" s="34"/>
      <c r="F45" s="34"/>
      <c r="G45" s="34"/>
      <c r="H45" s="34"/>
    </row>
    <row r="46" spans="1:8" x14ac:dyDescent="0.15">
      <c r="A46" s="27" t="s">
        <v>161</v>
      </c>
      <c r="B46" s="34"/>
      <c r="C46" s="11" t="s">
        <v>213</v>
      </c>
      <c r="D46" s="11" t="s">
        <v>269</v>
      </c>
      <c r="E46" s="11" t="s">
        <v>133</v>
      </c>
      <c r="F46" s="11" t="s">
        <v>273</v>
      </c>
      <c r="G46" s="11" t="s">
        <v>233</v>
      </c>
    </row>
    <row r="47" spans="1:8" x14ac:dyDescent="0.15">
      <c r="A47" s="23" t="s">
        <v>248</v>
      </c>
      <c r="B47" s="34"/>
      <c r="C47" s="14" t="s">
        <v>259</v>
      </c>
      <c r="D47" s="23" t="s">
        <v>284</v>
      </c>
      <c r="E47" s="12" t="s">
        <v>170</v>
      </c>
      <c r="F47" s="12" t="s">
        <v>197</v>
      </c>
      <c r="G47" s="12" t="s">
        <v>283</v>
      </c>
    </row>
    <row r="48" spans="1:8" x14ac:dyDescent="0.15">
      <c r="A48" s="23" t="s">
        <v>236</v>
      </c>
      <c r="B48" s="34"/>
      <c r="C48" s="12" t="s">
        <v>254</v>
      </c>
      <c r="D48" s="12" t="s">
        <v>285</v>
      </c>
      <c r="E48" s="12" t="s">
        <v>286</v>
      </c>
      <c r="F48" s="12" t="s">
        <v>254</v>
      </c>
      <c r="G48" s="12" t="s">
        <v>283</v>
      </c>
    </row>
    <row r="49" spans="1:12" x14ac:dyDescent="0.15">
      <c r="A49" s="23" t="s">
        <v>258</v>
      </c>
      <c r="B49" s="34"/>
      <c r="C49" s="12" t="s">
        <v>195</v>
      </c>
      <c r="D49" s="13" t="s">
        <v>284</v>
      </c>
      <c r="E49" s="13" t="s">
        <v>176</v>
      </c>
      <c r="F49" s="13" t="s">
        <v>282</v>
      </c>
      <c r="G49" s="13" t="s">
        <v>283</v>
      </c>
    </row>
    <row r="50" spans="1:12" x14ac:dyDescent="0.15">
      <c r="A50" s="23" t="s">
        <v>198</v>
      </c>
      <c r="B50" s="34"/>
      <c r="C50" s="12" t="s">
        <v>260</v>
      </c>
      <c r="D50" s="12" t="s">
        <v>171</v>
      </c>
      <c r="E50" s="14" t="s">
        <v>261</v>
      </c>
      <c r="F50" s="14" t="s">
        <v>281</v>
      </c>
      <c r="G50" s="14" t="s">
        <v>235</v>
      </c>
    </row>
    <row r="51" spans="1:12" x14ac:dyDescent="0.15">
      <c r="A51" s="23" t="s">
        <v>267</v>
      </c>
      <c r="B51" s="34"/>
      <c r="C51" s="13">
        <v>14</v>
      </c>
      <c r="D51" s="13">
        <v>12</v>
      </c>
      <c r="E51" s="14" t="s">
        <v>283</v>
      </c>
      <c r="F51" s="14" t="s">
        <v>283</v>
      </c>
      <c r="G51" s="23" t="s">
        <v>283</v>
      </c>
    </row>
    <row r="52" spans="1:12" x14ac:dyDescent="0.15">
      <c r="A52" s="23" t="s">
        <v>287</v>
      </c>
      <c r="B52" s="34"/>
      <c r="C52" s="12" t="s">
        <v>183</v>
      </c>
      <c r="D52" s="12" t="s">
        <v>183</v>
      </c>
      <c r="E52" s="12" t="s">
        <v>197</v>
      </c>
      <c r="F52" s="12" t="s">
        <v>122</v>
      </c>
      <c r="G52" s="12" t="s">
        <v>283</v>
      </c>
    </row>
    <row r="53" spans="1:12" x14ac:dyDescent="0.15">
      <c r="A53" s="34"/>
      <c r="B53" s="34"/>
      <c r="C53" s="34"/>
      <c r="D53" s="34"/>
      <c r="E53" s="34"/>
      <c r="F53" s="34"/>
      <c r="G53" s="34"/>
      <c r="H53" s="34"/>
    </row>
    <row r="55" spans="1:12" x14ac:dyDescent="0.15">
      <c r="A55" s="61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</row>
  </sheetData>
  <sheetProtection algorithmName="SHA-512" hashValue="8eW4iQ8AeDLWTuKNpnCG8Ayascbr4oAgciPQiOUiVuYoNOs2b8Lzh2fTVs6pzpNYM4aImCjMgD0LMzCaPMD/Gw==" saltValue="25RoDlotOhbEh1NGM9GR6A==" spinCount="100000" sheet="1" objects="1" scenarios="1"/>
  <phoneticPr fontId="7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L53"/>
  <sheetViews>
    <sheetView workbookViewId="0">
      <selection activeCell="F5" sqref="F5"/>
    </sheetView>
  </sheetViews>
  <sheetFormatPr baseColWidth="10" defaultRowHeight="13" x14ac:dyDescent="0.15"/>
  <cols>
    <col min="1" max="1" width="22.5" style="23" customWidth="1"/>
    <col min="2" max="2" width="2.6640625" style="23" customWidth="1"/>
    <col min="3" max="3" width="10.5" style="23" customWidth="1"/>
    <col min="4" max="4" width="10.83203125" style="23"/>
    <col min="5" max="5" width="10.83203125" style="23" customWidth="1"/>
    <col min="6" max="6" width="11.5" style="23" customWidth="1"/>
    <col min="7" max="7" width="11.33203125" style="23" customWidth="1"/>
    <col min="8" max="8" width="10" style="23" customWidth="1"/>
    <col min="9" max="9" width="11.5" style="23" customWidth="1"/>
    <col min="10" max="10" width="12.83203125" style="23" customWidth="1"/>
    <col min="11" max="12" width="10" style="23" customWidth="1"/>
    <col min="13" max="16384" width="10.83203125" style="23"/>
  </cols>
  <sheetData>
    <row r="1" spans="1:12" x14ac:dyDescent="0.15">
      <c r="A1" s="22" t="s">
        <v>186</v>
      </c>
    </row>
    <row r="2" spans="1:12" x14ac:dyDescent="0.15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x14ac:dyDescent="0.15">
      <c r="A3" s="26" t="s">
        <v>221</v>
      </c>
    </row>
    <row r="5" spans="1:12" x14ac:dyDescent="0.15">
      <c r="A5" s="27" t="s">
        <v>224</v>
      </c>
      <c r="B5" s="27"/>
      <c r="C5" s="27" t="s">
        <v>359</v>
      </c>
      <c r="F5" s="40">
        <v>5250</v>
      </c>
    </row>
    <row r="6" spans="1:12" x14ac:dyDescent="0.15">
      <c r="C6" s="28"/>
      <c r="H6" s="11"/>
      <c r="I6" s="11"/>
      <c r="J6" s="11"/>
      <c r="K6" s="11"/>
    </row>
    <row r="7" spans="1:12" x14ac:dyDescent="0.15">
      <c r="A7" s="29" t="s">
        <v>191</v>
      </c>
      <c r="B7" s="30"/>
      <c r="C7" s="11"/>
      <c r="D7" s="11"/>
      <c r="E7" s="11"/>
      <c r="F7" s="11"/>
      <c r="G7" s="11"/>
      <c r="H7" s="11"/>
      <c r="I7" s="11"/>
      <c r="J7" s="11"/>
      <c r="K7" s="11"/>
      <c r="L7" s="11"/>
    </row>
    <row r="8" spans="1:12" x14ac:dyDescent="0.15">
      <c r="J8" s="31"/>
    </row>
    <row r="9" spans="1:12" x14ac:dyDescent="0.15">
      <c r="A9" s="27" t="s">
        <v>202</v>
      </c>
      <c r="C9" s="11" t="s">
        <v>213</v>
      </c>
      <c r="D9" s="11" t="s">
        <v>269</v>
      </c>
      <c r="E9" s="11" t="s">
        <v>216</v>
      </c>
      <c r="F9" s="11" t="s">
        <v>273</v>
      </c>
      <c r="G9" s="11" t="s">
        <v>233</v>
      </c>
      <c r="H9" s="32" t="s">
        <v>278</v>
      </c>
    </row>
    <row r="10" spans="1:12" x14ac:dyDescent="0.15">
      <c r="A10" s="23" t="s">
        <v>187</v>
      </c>
      <c r="C10" s="33">
        <f>IF($F5&gt;'Tariffs Jul''13'!E7,('Tariffs Jul''13'!E7*'Tariffs Jul''13'!E9/100),('Bills Jul''13'!$F5*'Tariffs Jul''13'!E9/100))</f>
        <v>103.86750000000001</v>
      </c>
      <c r="D10" s="33">
        <f>IF($F5&lt;'Tariffs Jul''13'!F7,('Bills Jul''13'!$F5*'Tariffs Jul''13'!F9/100),('Tariffs Jul''13'!F7*'Tariffs Jul''13'!F9/100))</f>
        <v>178.59599999999998</v>
      </c>
      <c r="E10" s="33">
        <f>IF($F5&lt;'Tariffs Jul''13'!G7,('Bills Jul''13'!$F5*'Tariffs Jul''13'!G9/100),('Tariffs Jul''13'!G7*'Tariffs Jul''13'!G9/100))</f>
        <v>186.12</v>
      </c>
      <c r="F10" s="33">
        <f>IF($F5&lt;'Tariffs Jul''13'!H7,('Bills Jul''13'!$F5*'Tariffs Jul''13'!H9/100),('Tariffs Jul''13'!H7*'Tariffs Jul''13'!H9/100))</f>
        <v>158.79599999999999</v>
      </c>
      <c r="G10" s="33">
        <f>IF($F5&lt;'Tariffs Jul''13'!I7,('Bills Jul''13'!$F5*'Tariffs Jul''13'!I9/100),('Tariffs Jul''13'!I7*'Tariffs Jul''13'!I9/100))</f>
        <v>176.22</v>
      </c>
      <c r="H10" s="34"/>
    </row>
    <row r="11" spans="1:12" x14ac:dyDescent="0.15">
      <c r="A11" s="23" t="s">
        <v>280</v>
      </c>
      <c r="C11" s="33">
        <f>IF($F5&lt;'Tariffs Jul''13'!E7,0,IF($F5&lt;='Tariffs Jul''13'!E8,($F5-'Tariffs Jul''13'!E7)*('Tariffs Jul''13'!E10/100),('Tariffs Jul''13'!E8-'Tariffs Jul''13'!E7)*('Tariffs Jul''13'!E10/100)))</f>
        <v>72.05</v>
      </c>
      <c r="D11" s="33">
        <v>0</v>
      </c>
      <c r="E11" s="33">
        <v>0</v>
      </c>
      <c r="F11" s="33">
        <v>0</v>
      </c>
      <c r="G11" s="33">
        <v>0</v>
      </c>
      <c r="H11" s="34"/>
    </row>
    <row r="12" spans="1:12" x14ac:dyDescent="0.15">
      <c r="A12" s="23" t="s">
        <v>188</v>
      </c>
      <c r="C12" s="33">
        <f>IF(($F5&lt;'Tariffs Jul''13'!E8),(0),($F5-'Tariffs Jul''13'!E8)*'Tariffs Jul''13'!E11/100)</f>
        <v>13.290750000000001</v>
      </c>
      <c r="D12" s="33">
        <f>IF($F5&gt;'Tariffs Jul''13'!F7,('Bills Jul''13'!$F5-'Tariffs Jul''13'!F7)*'Tariffs Jul''13'!F11/100,0)</f>
        <v>13.134</v>
      </c>
      <c r="E12" s="33">
        <f>IF($F5&gt;'Tariffs Jul''13'!G7,('Bills Jul''13'!$F5-'Tariffs Jul''13'!G7)*'Tariffs Jul''13'!G11/100,0)</f>
        <v>18.149999999999999</v>
      </c>
      <c r="F12" s="33">
        <f>IF($F5&gt;'Tariffs Jul''13'!H7,('Bills Jul''13'!$F5-'Tariffs Jul''13'!H7)*'Tariffs Jul''13'!H11/100,0)</f>
        <v>18.034499999999998</v>
      </c>
      <c r="G12" s="33">
        <f>IF($F5&gt;'Tariffs Jul''13'!I7,('Bills Jul''13'!$F5-'Tariffs Jul''13'!I7)*'Tariffs Jul''13'!I11/100,0)</f>
        <v>15.344999999999997</v>
      </c>
      <c r="H12" s="34"/>
    </row>
    <row r="13" spans="1:12" x14ac:dyDescent="0.15">
      <c r="A13" s="23" t="s">
        <v>189</v>
      </c>
      <c r="C13" s="33">
        <f>'Tariffs Jul''13'!E12*91/100</f>
        <v>67.737669999999994</v>
      </c>
      <c r="D13" s="33">
        <f>'Tariffs Jul''13'!F12*91/100</f>
        <v>65.725660000000005</v>
      </c>
      <c r="E13" s="33">
        <f>'Tariffs Jul''13'!G12*91/100</f>
        <v>79.079000000000008</v>
      </c>
      <c r="F13" s="33">
        <f>'Tariffs Jul''13'!H12*91/100</f>
        <v>78.687608999999995</v>
      </c>
      <c r="G13" s="33">
        <f>'Tariffs Jul''13'!I12*91/100</f>
        <v>76.386310000000009</v>
      </c>
      <c r="H13" s="34"/>
    </row>
    <row r="14" spans="1:12" x14ac:dyDescent="0.15">
      <c r="A14" s="23" t="s">
        <v>276</v>
      </c>
      <c r="C14" s="33">
        <f>SUM(C10:C13)</f>
        <v>256.94592</v>
      </c>
      <c r="D14" s="33">
        <f t="shared" ref="D14:F14" si="0">SUM(D10:D13)</f>
        <v>257.45565999999997</v>
      </c>
      <c r="E14" s="33">
        <f t="shared" si="0"/>
        <v>283.34900000000005</v>
      </c>
      <c r="F14" s="33">
        <f t="shared" si="0"/>
        <v>255.51810899999998</v>
      </c>
      <c r="G14" s="33">
        <f t="shared" ref="G14" si="1">SUM(G10:G13)</f>
        <v>267.95131000000003</v>
      </c>
      <c r="H14" s="35">
        <f>AVERAGE(C14:G14)</f>
        <v>264.24399979999998</v>
      </c>
    </row>
    <row r="15" spans="1:12" x14ac:dyDescent="0.15">
      <c r="A15" s="36" t="s">
        <v>277</v>
      </c>
      <c r="B15" s="34"/>
      <c r="C15" s="37">
        <f>C14*4</f>
        <v>1027.78368</v>
      </c>
      <c r="D15" s="37">
        <f t="shared" ref="D15:F15" si="2">D14*4</f>
        <v>1029.8226399999999</v>
      </c>
      <c r="E15" s="37">
        <f t="shared" si="2"/>
        <v>1133.3960000000002</v>
      </c>
      <c r="F15" s="37">
        <f t="shared" si="2"/>
        <v>1022.0724359999999</v>
      </c>
      <c r="G15" s="37">
        <f t="shared" ref="G15" si="3">G14*4</f>
        <v>1071.8052400000001</v>
      </c>
      <c r="H15" s="37">
        <f>AVERAGE(C15:G15)</f>
        <v>1056.9759991999999</v>
      </c>
    </row>
    <row r="17" spans="1:8" x14ac:dyDescent="0.15">
      <c r="A17" s="27" t="s">
        <v>215</v>
      </c>
      <c r="C17" s="11" t="s">
        <v>213</v>
      </c>
      <c r="D17" s="11" t="s">
        <v>269</v>
      </c>
      <c r="E17" s="11" t="s">
        <v>227</v>
      </c>
      <c r="F17" s="11" t="s">
        <v>273</v>
      </c>
      <c r="G17" s="11" t="s">
        <v>233</v>
      </c>
    </row>
    <row r="18" spans="1:8" x14ac:dyDescent="0.15">
      <c r="A18" s="23" t="s">
        <v>187</v>
      </c>
      <c r="C18" s="38" t="s">
        <v>246</v>
      </c>
      <c r="D18" s="39">
        <f>IF($F5&lt;'Tariffs Jul''13'!F15,('Bills Jul''13'!$F5*'Tariffs Jul''13'!F16/100),('Tariffs Jul''13'!F15*'Tariffs Jul''13'!F16/100))</f>
        <v>181.41749999999999</v>
      </c>
      <c r="E18" s="38" t="s">
        <v>246</v>
      </c>
      <c r="F18" s="38" t="s">
        <v>246</v>
      </c>
      <c r="G18" s="38" t="s">
        <v>246</v>
      </c>
    </row>
    <row r="19" spans="1:8" x14ac:dyDescent="0.15">
      <c r="A19" s="23" t="s">
        <v>188</v>
      </c>
      <c r="C19" s="38" t="s">
        <v>247</v>
      </c>
      <c r="D19" s="39">
        <f>IF($F5&gt;'Tariffs Jul''13'!F15,('Bills Jul''13'!$F5-'Tariffs Jul''13'!F15)*'Tariffs Jul''13'!F17/100,0)</f>
        <v>13.068</v>
      </c>
      <c r="E19" s="38" t="s">
        <v>247</v>
      </c>
      <c r="F19" s="38" t="s">
        <v>247</v>
      </c>
      <c r="G19" s="38" t="s">
        <v>246</v>
      </c>
    </row>
    <row r="20" spans="1:8" x14ac:dyDescent="0.15">
      <c r="A20" s="23" t="s">
        <v>189</v>
      </c>
      <c r="C20" s="38" t="s">
        <v>246</v>
      </c>
      <c r="D20" s="39">
        <f>'Tariffs Jul''13'!F18*91/100</f>
        <v>65.725660000000005</v>
      </c>
      <c r="E20" s="38" t="s">
        <v>246</v>
      </c>
      <c r="F20" s="38" t="s">
        <v>246</v>
      </c>
      <c r="G20" s="38" t="s">
        <v>246</v>
      </c>
    </row>
    <row r="21" spans="1:8" x14ac:dyDescent="0.15">
      <c r="A21" s="23" t="s">
        <v>276</v>
      </c>
      <c r="C21" s="38" t="s">
        <v>246</v>
      </c>
      <c r="D21" s="39">
        <f>SUM(D18:D20)</f>
        <v>260.21116000000001</v>
      </c>
      <c r="E21" s="38" t="s">
        <v>246</v>
      </c>
      <c r="F21" s="38" t="s">
        <v>246</v>
      </c>
      <c r="G21" s="38" t="s">
        <v>246</v>
      </c>
    </row>
    <row r="22" spans="1:8" x14ac:dyDescent="0.15">
      <c r="A22" s="36" t="s">
        <v>277</v>
      </c>
      <c r="B22" s="34"/>
      <c r="C22" s="34"/>
      <c r="D22" s="37">
        <f>D21*4</f>
        <v>1040.84464</v>
      </c>
      <c r="E22" s="34"/>
      <c r="F22" s="34"/>
      <c r="G22" s="34"/>
      <c r="H22" s="34"/>
    </row>
    <row r="24" spans="1:8" x14ac:dyDescent="0.15">
      <c r="A24" s="27" t="s">
        <v>132</v>
      </c>
      <c r="C24" s="11" t="s">
        <v>213</v>
      </c>
      <c r="D24" s="11" t="s">
        <v>269</v>
      </c>
      <c r="E24" s="11" t="s">
        <v>227</v>
      </c>
      <c r="F24" s="11" t="s">
        <v>273</v>
      </c>
      <c r="G24" s="11" t="s">
        <v>233</v>
      </c>
    </row>
    <row r="25" spans="1:8" x14ac:dyDescent="0.15">
      <c r="A25" s="23" t="s">
        <v>187</v>
      </c>
      <c r="C25" s="38" t="s">
        <v>246</v>
      </c>
      <c r="D25" s="39">
        <f>IF($F5&lt;'Tariffs Jul''13'!F21,('Bills Jul''13'!$F5*'Tariffs Jul''13'!F22/100),('Tariffs Jul''13'!F21*'Tariffs Jul''13'!F22/100))</f>
        <v>181.41749999999999</v>
      </c>
      <c r="E25" s="38" t="s">
        <v>246</v>
      </c>
      <c r="F25" s="38" t="s">
        <v>246</v>
      </c>
      <c r="G25" s="38" t="s">
        <v>246</v>
      </c>
    </row>
    <row r="26" spans="1:8" x14ac:dyDescent="0.15">
      <c r="A26" s="23" t="s">
        <v>188</v>
      </c>
      <c r="C26" s="38" t="s">
        <v>247</v>
      </c>
      <c r="D26" s="39">
        <f>IF($F5&gt;'Tariffs Jul''13'!F21,('Bills Jul''13'!$F5-'Tariffs Jul''13'!F21)*'Tariffs Jul''13'!F23/100,0)</f>
        <v>13.224750000000002</v>
      </c>
      <c r="E26" s="38" t="s">
        <v>247</v>
      </c>
      <c r="F26" s="38" t="s">
        <v>247</v>
      </c>
      <c r="G26" s="38" t="s">
        <v>246</v>
      </c>
    </row>
    <row r="27" spans="1:8" x14ac:dyDescent="0.15">
      <c r="A27" s="23" t="s">
        <v>189</v>
      </c>
      <c r="C27" s="38" t="s">
        <v>246</v>
      </c>
      <c r="D27" s="39">
        <f>'Tariffs Jul''13'!F24*91/100</f>
        <v>65.725660000000005</v>
      </c>
      <c r="E27" s="38" t="s">
        <v>246</v>
      </c>
      <c r="F27" s="38" t="s">
        <v>246</v>
      </c>
      <c r="G27" s="38" t="s">
        <v>246</v>
      </c>
    </row>
    <row r="28" spans="1:8" x14ac:dyDescent="0.15">
      <c r="A28" s="23" t="s">
        <v>276</v>
      </c>
      <c r="C28" s="38" t="s">
        <v>246</v>
      </c>
      <c r="D28" s="39">
        <f>SUM(D25:D27)</f>
        <v>260.36790999999999</v>
      </c>
      <c r="E28" s="38" t="s">
        <v>246</v>
      </c>
      <c r="F28" s="38" t="s">
        <v>246</v>
      </c>
      <c r="G28" s="38" t="s">
        <v>246</v>
      </c>
    </row>
    <row r="29" spans="1:8" x14ac:dyDescent="0.15">
      <c r="A29" s="36" t="s">
        <v>277</v>
      </c>
      <c r="B29" s="34"/>
      <c r="C29" s="34"/>
      <c r="D29" s="37">
        <f>D28*4</f>
        <v>1041.47164</v>
      </c>
      <c r="E29" s="34"/>
      <c r="F29" s="34"/>
      <c r="G29" s="34"/>
      <c r="H29" s="34"/>
    </row>
    <row r="31" spans="1:8" x14ac:dyDescent="0.15">
      <c r="A31" s="27" t="s">
        <v>205</v>
      </c>
      <c r="C31" s="11" t="s">
        <v>213</v>
      </c>
      <c r="D31" s="11" t="s">
        <v>269</v>
      </c>
      <c r="E31" s="11" t="s">
        <v>227</v>
      </c>
      <c r="F31" s="11" t="s">
        <v>273</v>
      </c>
      <c r="G31" s="11" t="s">
        <v>233</v>
      </c>
    </row>
    <row r="32" spans="1:8" x14ac:dyDescent="0.15">
      <c r="A32" s="23" t="s">
        <v>187</v>
      </c>
      <c r="C32" s="38" t="s">
        <v>246</v>
      </c>
      <c r="D32" s="39">
        <f>IF($F5&lt;'Tariffs Jul''13'!F27,('Bills Jul''13'!$F5*'Tariffs Jul''13'!F28/100),('Tariffs Jul''13'!F27*'Tariffs Jul''13'!F28/100))</f>
        <v>181.46700000000001</v>
      </c>
      <c r="E32" s="38" t="s">
        <v>246</v>
      </c>
      <c r="F32" s="38" t="s">
        <v>246</v>
      </c>
      <c r="G32" s="38" t="s">
        <v>246</v>
      </c>
    </row>
    <row r="33" spans="1:8" x14ac:dyDescent="0.15">
      <c r="A33" s="23" t="s">
        <v>188</v>
      </c>
      <c r="C33" s="38" t="s">
        <v>247</v>
      </c>
      <c r="D33" s="39">
        <f>IF($F5&gt;'Tariffs Jul''13'!F27,('Bills Jul''13'!$F5-'Tariffs Jul''13'!F27)*'Tariffs Jul''13'!F29/100,0)</f>
        <v>13.257750000000001</v>
      </c>
      <c r="E33" s="38" t="s">
        <v>247</v>
      </c>
      <c r="F33" s="38" t="s">
        <v>247</v>
      </c>
      <c r="G33" s="38" t="s">
        <v>246</v>
      </c>
    </row>
    <row r="34" spans="1:8" x14ac:dyDescent="0.15">
      <c r="A34" s="23" t="s">
        <v>189</v>
      </c>
      <c r="C34" s="38" t="s">
        <v>246</v>
      </c>
      <c r="D34" s="39">
        <f>'Tariffs Jul''13'!F30*91/100</f>
        <v>65.725660000000005</v>
      </c>
      <c r="E34" s="38" t="s">
        <v>246</v>
      </c>
      <c r="F34" s="38" t="s">
        <v>246</v>
      </c>
      <c r="G34" s="38" t="s">
        <v>246</v>
      </c>
    </row>
    <row r="35" spans="1:8" x14ac:dyDescent="0.15">
      <c r="A35" s="23" t="s">
        <v>276</v>
      </c>
      <c r="C35" s="38" t="s">
        <v>246</v>
      </c>
      <c r="D35" s="39">
        <f>SUM(D32:D34)</f>
        <v>260.45041000000003</v>
      </c>
      <c r="E35" s="38" t="s">
        <v>246</v>
      </c>
      <c r="F35" s="38" t="s">
        <v>246</v>
      </c>
      <c r="G35" s="38" t="s">
        <v>246</v>
      </c>
    </row>
    <row r="36" spans="1:8" x14ac:dyDescent="0.15">
      <c r="A36" s="36" t="s">
        <v>277</v>
      </c>
      <c r="B36" s="34"/>
      <c r="C36" s="34"/>
      <c r="D36" s="37">
        <f>D35*4</f>
        <v>1041.8016400000001</v>
      </c>
      <c r="E36" s="34"/>
      <c r="F36" s="34"/>
      <c r="G36" s="34"/>
      <c r="H36" s="34"/>
    </row>
    <row r="38" spans="1:8" x14ac:dyDescent="0.15">
      <c r="A38" s="27" t="s">
        <v>268</v>
      </c>
      <c r="C38" s="11" t="s">
        <v>213</v>
      </c>
      <c r="D38" s="11" t="s">
        <v>269</v>
      </c>
      <c r="E38" s="11" t="s">
        <v>227</v>
      </c>
      <c r="F38" s="11" t="s">
        <v>273</v>
      </c>
      <c r="G38" s="11" t="s">
        <v>233</v>
      </c>
    </row>
    <row r="39" spans="1:8" x14ac:dyDescent="0.15">
      <c r="A39" s="23" t="s">
        <v>187</v>
      </c>
      <c r="C39" s="38" t="s">
        <v>246</v>
      </c>
      <c r="D39" s="39">
        <f>IF($F5&lt;'Tariffs Jul''13'!F33,('Bills Jul''13'!$F5*'Tariffs Jul''13'!F34/100),('Tariffs Jul''13'!F33*'Tariffs Jul''13'!F34/100))</f>
        <v>182.60550000000001</v>
      </c>
      <c r="E39" s="38" t="s">
        <v>246</v>
      </c>
      <c r="F39" s="38" t="s">
        <v>246</v>
      </c>
      <c r="G39" s="38" t="s">
        <v>246</v>
      </c>
    </row>
    <row r="40" spans="1:8" x14ac:dyDescent="0.15">
      <c r="A40" s="23" t="s">
        <v>188</v>
      </c>
      <c r="C40" s="38" t="s">
        <v>247</v>
      </c>
      <c r="D40" s="39">
        <f>IF($F5&gt;'Tariffs Jul''13'!F33,('Bills Jul''13'!$F5-'Tariffs Jul''13'!F33)*'Tariffs Jul''13'!F35/100,0)</f>
        <v>13.53</v>
      </c>
      <c r="E40" s="38" t="s">
        <v>247</v>
      </c>
      <c r="F40" s="38" t="s">
        <v>247</v>
      </c>
      <c r="G40" s="38" t="s">
        <v>246</v>
      </c>
    </row>
    <row r="41" spans="1:8" x14ac:dyDescent="0.15">
      <c r="A41" s="23" t="s">
        <v>189</v>
      </c>
      <c r="C41" s="38" t="s">
        <v>246</v>
      </c>
      <c r="D41" s="39">
        <f>'Tariffs Jul''13'!F36*91/100</f>
        <v>65.725660000000005</v>
      </c>
      <c r="E41" s="38" t="s">
        <v>246</v>
      </c>
      <c r="F41" s="38" t="s">
        <v>246</v>
      </c>
      <c r="G41" s="38" t="s">
        <v>246</v>
      </c>
    </row>
    <row r="42" spans="1:8" x14ac:dyDescent="0.15">
      <c r="A42" s="23" t="s">
        <v>276</v>
      </c>
      <c r="C42" s="38" t="s">
        <v>246</v>
      </c>
      <c r="D42" s="39">
        <f>SUM(D39:D41)</f>
        <v>261.86116000000004</v>
      </c>
      <c r="E42" s="38" t="s">
        <v>246</v>
      </c>
      <c r="F42" s="38" t="s">
        <v>246</v>
      </c>
      <c r="G42" s="38" t="s">
        <v>246</v>
      </c>
    </row>
    <row r="43" spans="1:8" x14ac:dyDescent="0.15">
      <c r="A43" s="36" t="s">
        <v>277</v>
      </c>
      <c r="B43" s="34"/>
      <c r="C43" s="34"/>
      <c r="D43" s="37">
        <f>D42*4</f>
        <v>1047.4446400000002</v>
      </c>
      <c r="E43" s="34"/>
      <c r="F43" s="34"/>
      <c r="G43" s="34"/>
      <c r="H43" s="34"/>
    </row>
    <row r="45" spans="1:8" x14ac:dyDescent="0.15">
      <c r="A45" s="34"/>
      <c r="B45" s="34"/>
      <c r="C45" s="34"/>
      <c r="D45" s="34"/>
      <c r="E45" s="34"/>
      <c r="F45" s="34"/>
      <c r="G45" s="34"/>
      <c r="H45" s="34"/>
    </row>
    <row r="46" spans="1:8" x14ac:dyDescent="0.15">
      <c r="A46" s="27" t="s">
        <v>161</v>
      </c>
      <c r="B46" s="34"/>
      <c r="C46" s="11" t="s">
        <v>213</v>
      </c>
      <c r="D46" s="11" t="s">
        <v>269</v>
      </c>
      <c r="E46" s="11" t="s">
        <v>216</v>
      </c>
      <c r="F46" s="11" t="s">
        <v>273</v>
      </c>
      <c r="G46" s="11" t="s">
        <v>233</v>
      </c>
    </row>
    <row r="47" spans="1:8" x14ac:dyDescent="0.15">
      <c r="A47" s="23" t="s">
        <v>248</v>
      </c>
      <c r="B47" s="34"/>
      <c r="C47" s="14" t="s">
        <v>289</v>
      </c>
      <c r="D47" s="12" t="s">
        <v>196</v>
      </c>
      <c r="E47" s="12" t="s">
        <v>217</v>
      </c>
      <c r="F47" s="12" t="s">
        <v>197</v>
      </c>
      <c r="G47" s="12" t="s">
        <v>234</v>
      </c>
    </row>
    <row r="48" spans="1:8" x14ac:dyDescent="0.15">
      <c r="A48" s="23" t="s">
        <v>236</v>
      </c>
      <c r="B48" s="34"/>
      <c r="C48" s="12" t="s">
        <v>254</v>
      </c>
      <c r="D48" s="12" t="s">
        <v>285</v>
      </c>
      <c r="E48" s="12" t="s">
        <v>286</v>
      </c>
      <c r="F48" s="12" t="s">
        <v>254</v>
      </c>
      <c r="G48" s="12" t="s">
        <v>234</v>
      </c>
    </row>
    <row r="49" spans="1:8" x14ac:dyDescent="0.15">
      <c r="A49" s="23" t="s">
        <v>258</v>
      </c>
      <c r="B49" s="34"/>
      <c r="C49" s="12" t="s">
        <v>195</v>
      </c>
      <c r="D49" s="13">
        <v>70</v>
      </c>
      <c r="E49" s="13" t="s">
        <v>176</v>
      </c>
      <c r="F49" s="13" t="s">
        <v>282</v>
      </c>
      <c r="G49" s="13" t="s">
        <v>234</v>
      </c>
    </row>
    <row r="50" spans="1:8" x14ac:dyDescent="0.15">
      <c r="A50" s="23" t="s">
        <v>198</v>
      </c>
      <c r="B50" s="34"/>
      <c r="C50" s="12" t="s">
        <v>272</v>
      </c>
      <c r="D50" s="14" t="s">
        <v>219</v>
      </c>
      <c r="E50" s="14" t="s">
        <v>218</v>
      </c>
      <c r="F50" s="14" t="s">
        <v>281</v>
      </c>
      <c r="G50" s="14" t="s">
        <v>235</v>
      </c>
    </row>
    <row r="51" spans="1:8" x14ac:dyDescent="0.15">
      <c r="A51" s="23" t="s">
        <v>267</v>
      </c>
      <c r="B51" s="34"/>
      <c r="C51" s="13">
        <v>14</v>
      </c>
      <c r="D51" s="13">
        <v>12</v>
      </c>
      <c r="E51" s="14" t="s">
        <v>181</v>
      </c>
      <c r="F51" s="14" t="s">
        <v>283</v>
      </c>
      <c r="G51" s="23" t="s">
        <v>234</v>
      </c>
    </row>
    <row r="52" spans="1:8" x14ac:dyDescent="0.15">
      <c r="A52" s="23" t="s">
        <v>287</v>
      </c>
      <c r="B52" s="34"/>
      <c r="C52" s="12" t="s">
        <v>288</v>
      </c>
      <c r="D52" s="12" t="s">
        <v>122</v>
      </c>
      <c r="E52" s="12" t="s">
        <v>197</v>
      </c>
      <c r="F52" s="12" t="s">
        <v>122</v>
      </c>
      <c r="G52" s="12" t="s">
        <v>234</v>
      </c>
    </row>
    <row r="53" spans="1:8" x14ac:dyDescent="0.15">
      <c r="A53" s="34"/>
      <c r="B53" s="34"/>
      <c r="C53" s="34"/>
      <c r="D53" s="34"/>
      <c r="E53" s="34"/>
      <c r="F53" s="34"/>
      <c r="G53" s="34"/>
      <c r="H53" s="34"/>
    </row>
  </sheetData>
  <sheetProtection algorithmName="SHA-512" hashValue="M+l/PYadiwwWX3YRYw6WMYs3DSi75d2yzaSOXV3MtBqglochqLU4j2x7R+svHhfusNZy2j62s1l89oOs+ZKFfA==" saltValue="7eKgK+D4mwj+BSYDR56J0Q==" spinCount="100000" sheet="1" objects="1" scenarios="1"/>
  <phoneticPr fontId="7" type="noConversion"/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L52"/>
  <sheetViews>
    <sheetView workbookViewId="0">
      <selection activeCell="D40" sqref="D40"/>
    </sheetView>
  </sheetViews>
  <sheetFormatPr baseColWidth="10" defaultRowHeight="13" x14ac:dyDescent="0.15"/>
  <cols>
    <col min="1" max="1" width="22.5" style="23" customWidth="1"/>
    <col min="2" max="2" width="2.6640625" style="23" customWidth="1"/>
    <col min="3" max="3" width="10.5" style="23" customWidth="1"/>
    <col min="4" max="4" width="10.83203125" style="23"/>
    <col min="5" max="5" width="10.83203125" style="23" customWidth="1"/>
    <col min="6" max="6" width="11.5" style="23" customWidth="1"/>
    <col min="7" max="7" width="11.33203125" style="23" customWidth="1"/>
    <col min="8" max="8" width="10" style="23" customWidth="1"/>
    <col min="9" max="9" width="11.5" style="23" customWidth="1"/>
    <col min="10" max="10" width="12.83203125" style="23" customWidth="1"/>
    <col min="11" max="12" width="10" style="23" customWidth="1"/>
    <col min="13" max="16384" width="10.83203125" style="23"/>
  </cols>
  <sheetData>
    <row r="1" spans="1:12" x14ac:dyDescent="0.15">
      <c r="A1" s="22" t="s">
        <v>186</v>
      </c>
    </row>
    <row r="2" spans="1:12" x14ac:dyDescent="0.15">
      <c r="A2" s="24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</row>
    <row r="3" spans="1:12" x14ac:dyDescent="0.15">
      <c r="A3" s="26" t="s">
        <v>264</v>
      </c>
    </row>
    <row r="5" spans="1:12" x14ac:dyDescent="0.15">
      <c r="A5" s="27" t="s">
        <v>224</v>
      </c>
      <c r="B5" s="27"/>
      <c r="C5" s="27" t="s">
        <v>359</v>
      </c>
      <c r="F5" s="40">
        <v>5250</v>
      </c>
    </row>
    <row r="6" spans="1:12" x14ac:dyDescent="0.15">
      <c r="C6" s="28"/>
      <c r="H6" s="11"/>
      <c r="I6" s="11"/>
      <c r="J6" s="11"/>
      <c r="K6" s="11"/>
    </row>
    <row r="7" spans="1:12" x14ac:dyDescent="0.15">
      <c r="A7" s="29" t="s">
        <v>191</v>
      </c>
      <c r="B7" s="30"/>
      <c r="C7" s="11"/>
      <c r="D7" s="11"/>
      <c r="E7" s="11"/>
      <c r="F7" s="11"/>
      <c r="G7" s="11"/>
      <c r="H7" s="11"/>
      <c r="I7" s="11"/>
      <c r="J7" s="11"/>
      <c r="K7" s="11"/>
      <c r="L7" s="11"/>
    </row>
    <row r="8" spans="1:12" x14ac:dyDescent="0.15">
      <c r="J8" s="31"/>
    </row>
    <row r="9" spans="1:12" x14ac:dyDescent="0.15">
      <c r="A9" s="27" t="s">
        <v>202</v>
      </c>
      <c r="C9" s="11" t="s">
        <v>213</v>
      </c>
      <c r="D9" s="11" t="s">
        <v>269</v>
      </c>
      <c r="E9" s="11" t="s">
        <v>162</v>
      </c>
      <c r="F9" s="11" t="s">
        <v>273</v>
      </c>
      <c r="G9" s="32" t="s">
        <v>278</v>
      </c>
    </row>
    <row r="10" spans="1:12" x14ac:dyDescent="0.15">
      <c r="A10" s="23" t="s">
        <v>187</v>
      </c>
      <c r="C10" s="33">
        <f>IF($F5&lt;'Tariffs Jul''12'!E7,('Bills Jul''12'!$F5*'Tariffs Jul''12'!E8/100),('Tariffs Jul''12'!E7*'Tariffs Jul''12'!E8/100))</f>
        <v>149.39099999999999</v>
      </c>
      <c r="D10" s="33">
        <f>IF($F5&lt;'Tariffs Jul''12'!F7,('Bills Jul''12'!$F5*'Tariffs Jul''12'!F8/100),('Tariffs Jul''12'!F7*'Tariffs Jul''12'!F8/100))</f>
        <v>149.39099999999999</v>
      </c>
      <c r="E10" s="33">
        <f>IF($F5&lt;'Tariffs Jul''12'!G7,('Bills Jul''12'!$F5*'Tariffs Jul''12'!G8/100),('Tariffs Jul''12'!G7*'Tariffs Jul''12'!G8/100))</f>
        <v>150.97499999999999</v>
      </c>
      <c r="F10" s="33">
        <f>IF($F5&lt;'Tariffs Jul''12'!H7,('Bills Jul''12'!$F5*'Tariffs Jul''12'!H8/100),('Tariffs Jul''12'!H7*'Tariffs Jul''12'!H8/100))</f>
        <v>143.20349999999999</v>
      </c>
      <c r="G10" s="34"/>
    </row>
    <row r="11" spans="1:12" x14ac:dyDescent="0.15">
      <c r="A11" s="23" t="s">
        <v>188</v>
      </c>
      <c r="C11" s="33">
        <f>IF($F5&gt;'Tariffs Jul''12'!E7,('Bills Jul''12'!$F5-'Tariffs Jul''12'!E7)*'Tariffs Jul''12'!E9/100,0)</f>
        <v>13.0185</v>
      </c>
      <c r="D11" s="33">
        <f>IF($F5&gt;'Tariffs Jul''12'!F7,('Bills Jul''12'!$F5-'Tariffs Jul''12'!F7)*'Tariffs Jul''12'!F9/100,0)</f>
        <v>13.0185</v>
      </c>
      <c r="E11" s="33">
        <f>IF($F5&gt;'Tariffs Jul''12'!G7,('Bills Jul''12'!$F5-'Tariffs Jul''12'!G7)*'Tariffs Jul''12'!G9/100,0)</f>
        <v>16.004999999999999</v>
      </c>
      <c r="F11" s="33">
        <f>IF($F5&gt;'Tariffs Jul''12'!H7,('Bills Jul''12'!$F5-'Tariffs Jul''12'!H7)*'Tariffs Jul''12'!H9/100,0)</f>
        <v>16.260750000000002</v>
      </c>
      <c r="G11" s="34"/>
    </row>
    <row r="12" spans="1:12" x14ac:dyDescent="0.15">
      <c r="A12" s="23" t="s">
        <v>189</v>
      </c>
      <c r="C12" s="33">
        <f>'Tariffs Jul''12'!E10*91/100</f>
        <v>64.674610000000001</v>
      </c>
      <c r="D12" s="33">
        <f>'Tariffs Jul''12'!F10*91/100</f>
        <v>64.674610000000001</v>
      </c>
      <c r="E12" s="33">
        <f>'Tariffs Jul''12'!G10*91/100</f>
        <v>77.076999999999998</v>
      </c>
      <c r="F12" s="33">
        <f>'Tariffs Jul''12'!H10*91/100</f>
        <v>70.110039999999998</v>
      </c>
      <c r="G12" s="34"/>
    </row>
    <row r="13" spans="1:12" x14ac:dyDescent="0.15">
      <c r="A13" s="23" t="s">
        <v>276</v>
      </c>
      <c r="C13" s="33">
        <f>SUM(C10:C12)</f>
        <v>227.08410999999998</v>
      </c>
      <c r="D13" s="33">
        <f t="shared" ref="D13:F13" si="0">SUM(D10:D12)</f>
        <v>227.08410999999998</v>
      </c>
      <c r="E13" s="33">
        <f t="shared" si="0"/>
        <v>244.05699999999999</v>
      </c>
      <c r="F13" s="33">
        <f t="shared" si="0"/>
        <v>229.57428999999999</v>
      </c>
      <c r="G13" s="35">
        <f>AVERAGE(C13:F13)</f>
        <v>231.94987749999999</v>
      </c>
    </row>
    <row r="14" spans="1:12" x14ac:dyDescent="0.15">
      <c r="A14" s="36" t="s">
        <v>277</v>
      </c>
      <c r="B14" s="34"/>
      <c r="C14" s="37">
        <f>C13*4</f>
        <v>908.33643999999993</v>
      </c>
      <c r="D14" s="37">
        <f t="shared" ref="D14:F14" si="1">D13*4</f>
        <v>908.33643999999993</v>
      </c>
      <c r="E14" s="37">
        <f t="shared" si="1"/>
        <v>976.22799999999995</v>
      </c>
      <c r="F14" s="37">
        <f t="shared" si="1"/>
        <v>918.29715999999996</v>
      </c>
      <c r="G14" s="37">
        <f>AVERAGE(C14:F14)</f>
        <v>927.79950999999994</v>
      </c>
    </row>
    <row r="16" spans="1:12" x14ac:dyDescent="0.15">
      <c r="A16" s="27" t="s">
        <v>215</v>
      </c>
      <c r="C16" s="11" t="s">
        <v>213</v>
      </c>
      <c r="D16" s="11" t="s">
        <v>269</v>
      </c>
      <c r="E16" s="11" t="s">
        <v>162</v>
      </c>
      <c r="F16" s="11" t="s">
        <v>273</v>
      </c>
    </row>
    <row r="17" spans="1:7" x14ac:dyDescent="0.15">
      <c r="A17" s="23" t="s">
        <v>187</v>
      </c>
      <c r="C17" s="38" t="s">
        <v>246</v>
      </c>
      <c r="D17" s="39">
        <f>IF($F5&lt;'Tariffs Jul''12'!F13,('Bills Jul''12'!$F5*'Tariffs Jul''12'!F14/100),('Tariffs Jul''12'!F13*'Tariffs Jul''12'!F14/100))</f>
        <v>152.16300000000001</v>
      </c>
      <c r="E17" s="38" t="s">
        <v>246</v>
      </c>
      <c r="F17" s="38" t="s">
        <v>246</v>
      </c>
    </row>
    <row r="18" spans="1:7" x14ac:dyDescent="0.15">
      <c r="A18" s="23" t="s">
        <v>188</v>
      </c>
      <c r="C18" s="38" t="s">
        <v>247</v>
      </c>
      <c r="D18" s="39">
        <f>IF($F5&gt;'Tariffs Jul''12'!F13,('Bills Jul''12'!$F5-'Tariffs Jul''12'!F13)*'Tariffs Jul''12'!F15/100,0)</f>
        <v>12.952500000000001</v>
      </c>
      <c r="E18" s="38" t="s">
        <v>247</v>
      </c>
      <c r="F18" s="38" t="s">
        <v>247</v>
      </c>
    </row>
    <row r="19" spans="1:7" x14ac:dyDescent="0.15">
      <c r="A19" s="23" t="s">
        <v>189</v>
      </c>
      <c r="C19" s="38" t="s">
        <v>194</v>
      </c>
      <c r="D19" s="39">
        <f>'Tariffs Jul''12'!F16*91/100</f>
        <v>64.674610000000001</v>
      </c>
      <c r="E19" s="38" t="s">
        <v>194</v>
      </c>
      <c r="F19" s="38" t="s">
        <v>194</v>
      </c>
    </row>
    <row r="20" spans="1:7" x14ac:dyDescent="0.15">
      <c r="A20" s="23" t="s">
        <v>276</v>
      </c>
      <c r="C20" s="38" t="s">
        <v>194</v>
      </c>
      <c r="D20" s="39">
        <f>SUM(D17:D19)</f>
        <v>229.79011</v>
      </c>
      <c r="E20" s="38" t="s">
        <v>194</v>
      </c>
      <c r="F20" s="38" t="s">
        <v>194</v>
      </c>
    </row>
    <row r="21" spans="1:7" x14ac:dyDescent="0.15">
      <c r="A21" s="36" t="s">
        <v>277</v>
      </c>
      <c r="B21" s="34"/>
      <c r="C21" s="34"/>
      <c r="D21" s="37">
        <f>D20*4</f>
        <v>919.16043999999999</v>
      </c>
      <c r="E21" s="34"/>
      <c r="F21" s="34"/>
      <c r="G21" s="34"/>
    </row>
    <row r="23" spans="1:7" x14ac:dyDescent="0.15">
      <c r="A23" s="27" t="s">
        <v>132</v>
      </c>
      <c r="C23" s="11" t="s">
        <v>213</v>
      </c>
      <c r="D23" s="11" t="s">
        <v>269</v>
      </c>
      <c r="E23" s="11" t="s">
        <v>162</v>
      </c>
      <c r="F23" s="11" t="s">
        <v>273</v>
      </c>
    </row>
    <row r="24" spans="1:7" x14ac:dyDescent="0.15">
      <c r="A24" s="23" t="s">
        <v>187</v>
      </c>
      <c r="C24" s="38" t="s">
        <v>246</v>
      </c>
      <c r="D24" s="39">
        <f>IF($F5&lt;'Tariffs Jul''12'!F19,('Bills Jul''12'!$F5*'Tariffs Jul''12'!F20/100),('Tariffs Jul''12'!F19*'Tariffs Jul''12'!F20/100))</f>
        <v>152.16300000000001</v>
      </c>
      <c r="E24" s="38" t="s">
        <v>246</v>
      </c>
      <c r="F24" s="38" t="s">
        <v>246</v>
      </c>
    </row>
    <row r="25" spans="1:7" x14ac:dyDescent="0.15">
      <c r="A25" s="23" t="s">
        <v>188</v>
      </c>
      <c r="C25" s="38" t="s">
        <v>247</v>
      </c>
      <c r="D25" s="39">
        <f>IF($F5&gt;'Tariffs Jul''12'!F19,('Bills Jul''12'!$F5-'Tariffs Jul''12'!F19)*'Tariffs Jul''12'!F21/100,0)</f>
        <v>13.109249999999999</v>
      </c>
      <c r="E25" s="38" t="s">
        <v>247</v>
      </c>
      <c r="F25" s="38" t="s">
        <v>247</v>
      </c>
    </row>
    <row r="26" spans="1:7" x14ac:dyDescent="0.15">
      <c r="A26" s="23" t="s">
        <v>189</v>
      </c>
      <c r="C26" s="38" t="s">
        <v>194</v>
      </c>
      <c r="D26" s="39">
        <f>'Tariffs Jul''12'!F22*91/100</f>
        <v>64.674610000000001</v>
      </c>
      <c r="E26" s="38" t="s">
        <v>194</v>
      </c>
      <c r="F26" s="38" t="s">
        <v>194</v>
      </c>
    </row>
    <row r="27" spans="1:7" x14ac:dyDescent="0.15">
      <c r="A27" s="23" t="s">
        <v>276</v>
      </c>
      <c r="C27" s="38" t="s">
        <v>194</v>
      </c>
      <c r="D27" s="39">
        <f>SUM(D24:D26)</f>
        <v>229.94686000000002</v>
      </c>
      <c r="E27" s="38" t="s">
        <v>194</v>
      </c>
      <c r="F27" s="38" t="s">
        <v>194</v>
      </c>
    </row>
    <row r="28" spans="1:7" x14ac:dyDescent="0.15">
      <c r="A28" s="36" t="s">
        <v>277</v>
      </c>
      <c r="B28" s="34"/>
      <c r="C28" s="34"/>
      <c r="D28" s="37">
        <f>D27*4</f>
        <v>919.78744000000006</v>
      </c>
      <c r="E28" s="34"/>
      <c r="F28" s="34"/>
      <c r="G28" s="34"/>
    </row>
    <row r="30" spans="1:7" x14ac:dyDescent="0.15">
      <c r="A30" s="27" t="s">
        <v>205</v>
      </c>
      <c r="C30" s="11" t="s">
        <v>213</v>
      </c>
      <c r="D30" s="11" t="s">
        <v>269</v>
      </c>
      <c r="E30" s="11" t="s">
        <v>162</v>
      </c>
      <c r="F30" s="11" t="s">
        <v>273</v>
      </c>
    </row>
    <row r="31" spans="1:7" x14ac:dyDescent="0.15">
      <c r="A31" s="23" t="s">
        <v>187</v>
      </c>
      <c r="C31" s="38" t="s">
        <v>246</v>
      </c>
      <c r="D31" s="39">
        <f>IF($F5&lt;'Tariffs Jul''12'!F25,('Bills Jul''12'!$F5*'Tariffs Jul''12'!F26/100),('Tariffs Jul''12'!F25*'Tariffs Jul''12'!F26/100))</f>
        <v>152.262</v>
      </c>
      <c r="E31" s="38" t="s">
        <v>246</v>
      </c>
      <c r="F31" s="38" t="s">
        <v>246</v>
      </c>
    </row>
    <row r="32" spans="1:7" x14ac:dyDescent="0.15">
      <c r="A32" s="23" t="s">
        <v>188</v>
      </c>
      <c r="C32" s="38" t="s">
        <v>247</v>
      </c>
      <c r="D32" s="39">
        <f>IF($F5&gt;'Tariffs Jul''12'!F25,('Bills Jul''12'!$F5-'Tariffs Jul''12'!F25)*'Tariffs Jul''12'!F27/100,0)</f>
        <v>13.142249999999999</v>
      </c>
      <c r="E32" s="38" t="s">
        <v>247</v>
      </c>
      <c r="F32" s="38" t="s">
        <v>247</v>
      </c>
    </row>
    <row r="33" spans="1:7" x14ac:dyDescent="0.15">
      <c r="A33" s="23" t="s">
        <v>189</v>
      </c>
      <c r="C33" s="38" t="s">
        <v>194</v>
      </c>
      <c r="D33" s="39">
        <f>'Tariffs Jul''12'!F28*91/100</f>
        <v>64.674610000000001</v>
      </c>
      <c r="E33" s="38" t="s">
        <v>194</v>
      </c>
      <c r="F33" s="38" t="s">
        <v>194</v>
      </c>
    </row>
    <row r="34" spans="1:7" x14ac:dyDescent="0.15">
      <c r="A34" s="23" t="s">
        <v>276</v>
      </c>
      <c r="C34" s="38" t="s">
        <v>194</v>
      </c>
      <c r="D34" s="39">
        <f>SUM(D31:D33)</f>
        <v>230.07885999999999</v>
      </c>
      <c r="E34" s="38" t="s">
        <v>194</v>
      </c>
      <c r="F34" s="38" t="s">
        <v>194</v>
      </c>
    </row>
    <row r="35" spans="1:7" x14ac:dyDescent="0.15">
      <c r="A35" s="36" t="s">
        <v>277</v>
      </c>
      <c r="B35" s="34"/>
      <c r="C35" s="34"/>
      <c r="D35" s="37">
        <f>D34*4</f>
        <v>920.31543999999997</v>
      </c>
      <c r="E35" s="34"/>
      <c r="F35" s="34"/>
      <c r="G35" s="34"/>
    </row>
    <row r="37" spans="1:7" x14ac:dyDescent="0.15">
      <c r="A37" s="27" t="s">
        <v>268</v>
      </c>
      <c r="C37" s="11" t="s">
        <v>213</v>
      </c>
      <c r="D37" s="11" t="s">
        <v>269</v>
      </c>
      <c r="E37" s="11" t="s">
        <v>162</v>
      </c>
      <c r="F37" s="11" t="s">
        <v>273</v>
      </c>
    </row>
    <row r="38" spans="1:7" x14ac:dyDescent="0.15">
      <c r="A38" s="23" t="s">
        <v>187</v>
      </c>
      <c r="C38" s="38" t="s">
        <v>246</v>
      </c>
      <c r="D38" s="39">
        <f>IF($F5&lt;'Tariffs Jul''12'!F31,('Bills Jul''12'!$F5*'Tariffs Jul''12'!F32/100),('Tariffs Jul''12'!F31*'Tariffs Jul''12'!F32/100))</f>
        <v>153.351</v>
      </c>
      <c r="E38" s="38" t="s">
        <v>246</v>
      </c>
      <c r="F38" s="38" t="s">
        <v>246</v>
      </c>
    </row>
    <row r="39" spans="1:7" x14ac:dyDescent="0.15">
      <c r="A39" s="23" t="s">
        <v>188</v>
      </c>
      <c r="C39" s="38" t="s">
        <v>247</v>
      </c>
      <c r="D39" s="39">
        <f>IF($F5&gt;'Tariffs Jul''12'!F31,('Bills Jul''12'!$F5-'Tariffs Jul''12'!F31)*'Tariffs Jul''12'!F33/100,0)</f>
        <v>13.4145</v>
      </c>
      <c r="E39" s="38" t="s">
        <v>247</v>
      </c>
      <c r="F39" s="38" t="s">
        <v>247</v>
      </c>
    </row>
    <row r="40" spans="1:7" x14ac:dyDescent="0.15">
      <c r="A40" s="23" t="s">
        <v>189</v>
      </c>
      <c r="C40" s="38" t="s">
        <v>194</v>
      </c>
      <c r="D40" s="39">
        <f>'Tariffs Jul''12'!F34*91/100</f>
        <v>64.674610000000001</v>
      </c>
      <c r="E40" s="38" t="s">
        <v>194</v>
      </c>
      <c r="F40" s="38" t="s">
        <v>194</v>
      </c>
    </row>
    <row r="41" spans="1:7" x14ac:dyDescent="0.15">
      <c r="A41" s="23" t="s">
        <v>276</v>
      </c>
      <c r="C41" s="38" t="s">
        <v>194</v>
      </c>
      <c r="D41" s="39">
        <f>SUM(D38:D40)</f>
        <v>231.44011</v>
      </c>
      <c r="E41" s="38" t="s">
        <v>194</v>
      </c>
      <c r="F41" s="38" t="s">
        <v>194</v>
      </c>
    </row>
    <row r="42" spans="1:7" x14ac:dyDescent="0.15">
      <c r="A42" s="36" t="s">
        <v>277</v>
      </c>
      <c r="B42" s="34"/>
      <c r="C42" s="34"/>
      <c r="D42" s="37">
        <f>D41*4</f>
        <v>925.76044000000002</v>
      </c>
      <c r="E42" s="34"/>
      <c r="F42" s="34"/>
      <c r="G42" s="34"/>
    </row>
    <row r="44" spans="1:7" x14ac:dyDescent="0.15">
      <c r="A44" s="34"/>
      <c r="B44" s="34"/>
      <c r="C44" s="34"/>
      <c r="D44" s="34"/>
      <c r="E44" s="34"/>
      <c r="F44" s="34"/>
      <c r="G44" s="34"/>
    </row>
    <row r="45" spans="1:7" x14ac:dyDescent="0.15">
      <c r="A45" s="27" t="s">
        <v>161</v>
      </c>
      <c r="B45" s="34"/>
      <c r="C45" s="11" t="s">
        <v>213</v>
      </c>
      <c r="D45" s="11" t="s">
        <v>269</v>
      </c>
      <c r="E45" s="11" t="s">
        <v>162</v>
      </c>
      <c r="F45" s="11" t="s">
        <v>273</v>
      </c>
    </row>
    <row r="46" spans="1:7" x14ac:dyDescent="0.15">
      <c r="A46" s="23" t="s">
        <v>248</v>
      </c>
      <c r="B46" s="34"/>
      <c r="C46" s="14" t="s">
        <v>249</v>
      </c>
      <c r="D46" s="12" t="s">
        <v>196</v>
      </c>
      <c r="E46" s="12" t="s">
        <v>177</v>
      </c>
      <c r="F46" s="12" t="s">
        <v>197</v>
      </c>
    </row>
    <row r="47" spans="1:7" x14ac:dyDescent="0.15">
      <c r="A47" s="23" t="s">
        <v>236</v>
      </c>
      <c r="B47" s="34"/>
      <c r="C47" s="12" t="s">
        <v>254</v>
      </c>
      <c r="D47" s="12" t="s">
        <v>285</v>
      </c>
      <c r="E47" s="12" t="s">
        <v>286</v>
      </c>
      <c r="F47" s="12" t="s">
        <v>254</v>
      </c>
    </row>
    <row r="48" spans="1:7" x14ac:dyDescent="0.15">
      <c r="A48" s="23" t="s">
        <v>258</v>
      </c>
      <c r="B48" s="34"/>
      <c r="C48" s="12" t="s">
        <v>195</v>
      </c>
      <c r="D48" s="13">
        <v>70</v>
      </c>
      <c r="E48" s="13" t="s">
        <v>176</v>
      </c>
      <c r="F48" s="13" t="s">
        <v>282</v>
      </c>
    </row>
    <row r="49" spans="1:7" x14ac:dyDescent="0.15">
      <c r="A49" s="23" t="s">
        <v>198</v>
      </c>
      <c r="B49" s="34"/>
      <c r="C49" s="12" t="s">
        <v>197</v>
      </c>
      <c r="D49" s="14">
        <v>0.02</v>
      </c>
      <c r="E49" s="14" t="s">
        <v>180</v>
      </c>
      <c r="F49" s="14" t="s">
        <v>123</v>
      </c>
    </row>
    <row r="50" spans="1:7" x14ac:dyDescent="0.15">
      <c r="A50" s="23" t="s">
        <v>267</v>
      </c>
      <c r="B50" s="34"/>
      <c r="C50" s="13">
        <v>14</v>
      </c>
      <c r="D50" s="13">
        <v>12</v>
      </c>
      <c r="E50" s="14" t="s">
        <v>181</v>
      </c>
      <c r="F50" s="14" t="s">
        <v>283</v>
      </c>
    </row>
    <row r="51" spans="1:7" x14ac:dyDescent="0.15">
      <c r="A51" s="23" t="s">
        <v>287</v>
      </c>
      <c r="B51" s="34"/>
      <c r="C51" s="12" t="s">
        <v>288</v>
      </c>
      <c r="D51" s="12" t="s">
        <v>182</v>
      </c>
      <c r="E51" s="12" t="s">
        <v>197</v>
      </c>
      <c r="F51" s="12" t="s">
        <v>122</v>
      </c>
    </row>
    <row r="52" spans="1:7" x14ac:dyDescent="0.15">
      <c r="A52" s="34"/>
      <c r="B52" s="34"/>
      <c r="C52" s="34"/>
      <c r="D52" s="34"/>
      <c r="E52" s="34"/>
      <c r="F52" s="34"/>
      <c r="G52" s="34"/>
    </row>
  </sheetData>
  <sheetProtection algorithmName="SHA-512" hashValue="A25o0MLgrdL4n50l4VIkRBstwgDrrW5I4j4JXcqGKLTT0/+jF28ciCWOVv2WTUg0jUKQmYKaF54UZ4+C/yLsnw==" saltValue="7D4TmkFsEAACx7CBhDf5Nw==" spinCount="100000" sheet="1" objects="1" scenarios="1"/>
  <phoneticPr fontId="7" type="noConversion"/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9D61E-2C96-194B-8D1D-7843048FB27E}">
  <sheetPr codeName="Sheet25"/>
  <dimension ref="A1:BT15"/>
  <sheetViews>
    <sheetView zoomScale="130" zoomScaleNormal="130" workbookViewId="0">
      <pane xSplit="7" ySplit="2" topLeftCell="AM3" activePane="bottomRight" state="frozen"/>
      <selection pane="topRight" activeCell="H1" sqref="H1"/>
      <selection pane="bottomLeft" activeCell="A3" sqref="A3"/>
      <selection pane="bottomRight" activeCell="H11" sqref="H11"/>
    </sheetView>
  </sheetViews>
  <sheetFormatPr baseColWidth="10" defaultRowHeight="13" x14ac:dyDescent="0.15"/>
  <cols>
    <col min="1" max="3" width="10.83203125" style="196"/>
    <col min="4" max="4" width="19" style="196" bestFit="1" customWidth="1"/>
    <col min="5" max="5" width="10.83203125" style="196"/>
    <col min="6" max="6" width="14.1640625" style="196" bestFit="1" customWidth="1"/>
    <col min="7" max="16384" width="10.83203125" style="196"/>
  </cols>
  <sheetData>
    <row r="1" spans="1:72" ht="17" customHeight="1" x14ac:dyDescent="0.15">
      <c r="A1" s="171"/>
      <c r="B1" s="171"/>
      <c r="C1" s="172"/>
      <c r="D1" s="173"/>
      <c r="E1" s="171"/>
      <c r="F1" s="172"/>
      <c r="G1" s="173"/>
      <c r="H1" s="174"/>
      <c r="I1" s="175"/>
      <c r="J1" s="176"/>
      <c r="K1" s="347" t="s">
        <v>354</v>
      </c>
      <c r="L1" s="347"/>
      <c r="M1" s="347"/>
      <c r="N1" s="347"/>
      <c r="O1" s="347"/>
      <c r="P1" s="348"/>
      <c r="Q1" s="179"/>
      <c r="R1" s="179"/>
      <c r="S1" s="179"/>
      <c r="T1" s="179"/>
      <c r="U1" s="179"/>
      <c r="V1" s="180"/>
      <c r="W1" s="181"/>
      <c r="X1" s="181"/>
      <c r="Y1" s="181"/>
      <c r="Z1" s="181"/>
      <c r="AA1" s="181"/>
      <c r="AB1" s="182"/>
      <c r="AC1" s="183"/>
      <c r="AD1" s="183"/>
      <c r="AE1" s="183"/>
      <c r="AF1" s="183"/>
      <c r="AG1" s="183"/>
      <c r="AH1" s="184"/>
      <c r="AI1" s="185"/>
      <c r="AJ1" s="185"/>
      <c r="AK1" s="185"/>
      <c r="AL1" s="185"/>
      <c r="AM1" s="185"/>
      <c r="AN1" s="186"/>
      <c r="AO1" s="187"/>
      <c r="AP1" s="187"/>
      <c r="AQ1" s="187"/>
      <c r="AR1" s="188"/>
      <c r="AS1" s="189"/>
      <c r="AT1" s="190"/>
      <c r="AU1" s="191"/>
      <c r="AV1" s="190"/>
      <c r="AW1" s="181"/>
      <c r="AX1" s="192"/>
      <c r="AY1" s="181"/>
      <c r="AZ1" s="192"/>
      <c r="BA1" s="182"/>
      <c r="BB1" s="190"/>
      <c r="BC1" s="193"/>
      <c r="BD1" s="192"/>
      <c r="BE1" s="182"/>
      <c r="BF1" s="171"/>
      <c r="BG1" s="194"/>
      <c r="BH1" s="195"/>
      <c r="BI1" s="194"/>
      <c r="BJ1" s="194"/>
      <c r="BK1" s="194"/>
      <c r="BL1" s="194"/>
      <c r="BM1" s="171"/>
      <c r="BN1" s="172"/>
      <c r="BO1" s="194"/>
      <c r="BP1" s="194"/>
      <c r="BQ1" s="194"/>
      <c r="BR1" s="172"/>
      <c r="BS1" s="194"/>
    </row>
    <row r="2" spans="1:72" ht="70" x14ac:dyDescent="0.15">
      <c r="A2" s="171" t="s">
        <v>138</v>
      </c>
      <c r="B2" s="171" t="s">
        <v>139</v>
      </c>
      <c r="C2" s="172" t="s">
        <v>140</v>
      </c>
      <c r="D2" s="173" t="s">
        <v>141</v>
      </c>
      <c r="E2" s="171" t="s">
        <v>70</v>
      </c>
      <c r="F2" s="172" t="s">
        <v>71</v>
      </c>
      <c r="G2" s="173" t="s">
        <v>143</v>
      </c>
      <c r="H2" s="174" t="s">
        <v>144</v>
      </c>
      <c r="I2" s="175" t="s">
        <v>345</v>
      </c>
      <c r="J2" s="176" t="s">
        <v>346</v>
      </c>
      <c r="K2" s="177" t="s">
        <v>145</v>
      </c>
      <c r="L2" s="177" t="s">
        <v>146</v>
      </c>
      <c r="M2" s="177" t="s">
        <v>147</v>
      </c>
      <c r="N2" s="177" t="s">
        <v>148</v>
      </c>
      <c r="O2" s="177" t="s">
        <v>149</v>
      </c>
      <c r="P2" s="178" t="s">
        <v>150</v>
      </c>
      <c r="Q2" s="179" t="s">
        <v>347</v>
      </c>
      <c r="R2" s="179" t="s">
        <v>348</v>
      </c>
      <c r="S2" s="179" t="s">
        <v>349</v>
      </c>
      <c r="T2" s="179" t="s">
        <v>350</v>
      </c>
      <c r="U2" s="179" t="s">
        <v>351</v>
      </c>
      <c r="V2" s="180" t="s">
        <v>352</v>
      </c>
      <c r="W2" s="181" t="s">
        <v>151</v>
      </c>
      <c r="X2" s="181" t="s">
        <v>152</v>
      </c>
      <c r="Y2" s="181" t="s">
        <v>47</v>
      </c>
      <c r="Z2" s="181" t="s">
        <v>48</v>
      </c>
      <c r="AA2" s="181" t="s">
        <v>49</v>
      </c>
      <c r="AB2" s="182" t="s">
        <v>50</v>
      </c>
      <c r="AC2" s="183" t="s">
        <v>51</v>
      </c>
      <c r="AD2" s="183" t="s">
        <v>77</v>
      </c>
      <c r="AE2" s="183" t="s">
        <v>78</v>
      </c>
      <c r="AF2" s="183" t="s">
        <v>52</v>
      </c>
      <c r="AG2" s="183" t="s">
        <v>53</v>
      </c>
      <c r="AH2" s="184" t="s">
        <v>54</v>
      </c>
      <c r="AI2" s="185" t="s">
        <v>55</v>
      </c>
      <c r="AJ2" s="185" t="s">
        <v>56</v>
      </c>
      <c r="AK2" s="185" t="s">
        <v>57</v>
      </c>
      <c r="AL2" s="185" t="s">
        <v>58</v>
      </c>
      <c r="AM2" s="185" t="s">
        <v>125</v>
      </c>
      <c r="AN2" s="186" t="s">
        <v>126</v>
      </c>
      <c r="AO2" s="187" t="s">
        <v>127</v>
      </c>
      <c r="AP2" s="187" t="s">
        <v>128</v>
      </c>
      <c r="AQ2" s="187" t="s">
        <v>129</v>
      </c>
      <c r="AR2" s="188" t="s">
        <v>130</v>
      </c>
      <c r="AS2" s="189" t="s">
        <v>306</v>
      </c>
      <c r="AT2" s="190" t="s">
        <v>13</v>
      </c>
      <c r="AU2" s="191" t="s">
        <v>14</v>
      </c>
      <c r="AV2" s="190" t="s">
        <v>15</v>
      </c>
      <c r="AW2" s="181" t="s">
        <v>16</v>
      </c>
      <c r="AX2" s="192" t="s">
        <v>134</v>
      </c>
      <c r="AY2" s="181" t="s">
        <v>135</v>
      </c>
      <c r="AZ2" s="192" t="s">
        <v>105</v>
      </c>
      <c r="BA2" s="182" t="s">
        <v>106</v>
      </c>
      <c r="BB2" s="190" t="s">
        <v>307</v>
      </c>
      <c r="BC2" s="193" t="s">
        <v>308</v>
      </c>
      <c r="BD2" s="192" t="s">
        <v>107</v>
      </c>
      <c r="BE2" s="182" t="s">
        <v>108</v>
      </c>
      <c r="BF2" s="171" t="s">
        <v>110</v>
      </c>
      <c r="BG2" s="194" t="s">
        <v>111</v>
      </c>
      <c r="BH2" s="195" t="s">
        <v>112</v>
      </c>
      <c r="BI2" s="194" t="s">
        <v>113</v>
      </c>
      <c r="BJ2" s="194" t="s">
        <v>309</v>
      </c>
      <c r="BK2" s="194" t="s">
        <v>310</v>
      </c>
      <c r="BL2" s="194" t="s">
        <v>311</v>
      </c>
      <c r="BM2" s="171" t="s">
        <v>114</v>
      </c>
      <c r="BN2" s="172" t="s">
        <v>115</v>
      </c>
      <c r="BO2" s="194" t="s">
        <v>116</v>
      </c>
      <c r="BP2" s="194" t="s">
        <v>98</v>
      </c>
      <c r="BQ2" s="194" t="s">
        <v>353</v>
      </c>
      <c r="BR2" s="172" t="s">
        <v>117</v>
      </c>
      <c r="BS2" s="194" t="s">
        <v>118</v>
      </c>
    </row>
    <row r="3" spans="1:72" customFormat="1" ht="13" customHeight="1" x14ac:dyDescent="0.15">
      <c r="A3" s="313">
        <v>3516</v>
      </c>
      <c r="B3" s="335">
        <v>43657</v>
      </c>
      <c r="C3" s="315" t="s">
        <v>401</v>
      </c>
      <c r="D3" s="313" t="s">
        <v>388</v>
      </c>
      <c r="E3" s="316">
        <v>43649</v>
      </c>
      <c r="F3" s="315" t="s">
        <v>402</v>
      </c>
      <c r="G3" s="313" t="s">
        <v>403</v>
      </c>
      <c r="H3" s="317">
        <v>73.909090909090907</v>
      </c>
      <c r="I3" s="318"/>
      <c r="J3" s="318"/>
      <c r="K3" s="319" t="s">
        <v>363</v>
      </c>
      <c r="L3" s="320">
        <v>6600</v>
      </c>
      <c r="M3" s="320"/>
      <c r="N3" s="313"/>
      <c r="O3" s="313"/>
      <c r="P3" s="313"/>
      <c r="Q3" s="313"/>
      <c r="R3" s="313"/>
      <c r="S3" s="313"/>
      <c r="T3" s="313"/>
      <c r="U3" s="313"/>
      <c r="V3" s="313"/>
      <c r="W3" s="317">
        <v>4.2727272727272725</v>
      </c>
      <c r="X3" s="317">
        <v>2.6363636363636362</v>
      </c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8"/>
      <c r="AO3" s="321" t="s">
        <v>404</v>
      </c>
      <c r="AP3" s="321"/>
      <c r="AQ3" s="321"/>
      <c r="AR3" s="321"/>
      <c r="AS3" s="313"/>
      <c r="AT3" s="321">
        <v>0</v>
      </c>
      <c r="AU3" s="321">
        <v>0</v>
      </c>
      <c r="AV3" s="321">
        <v>0</v>
      </c>
      <c r="AW3" s="321">
        <v>0</v>
      </c>
      <c r="AX3" s="321">
        <v>0</v>
      </c>
      <c r="AY3" s="321">
        <v>0</v>
      </c>
      <c r="AZ3" s="321">
        <v>0</v>
      </c>
      <c r="BA3" s="321">
        <v>0</v>
      </c>
      <c r="BB3" s="321">
        <v>0</v>
      </c>
      <c r="BC3" s="321">
        <v>0</v>
      </c>
      <c r="BD3" s="321">
        <v>0</v>
      </c>
      <c r="BE3" s="321">
        <v>0</v>
      </c>
      <c r="BF3" s="321"/>
      <c r="BG3" s="321" t="s">
        <v>404</v>
      </c>
      <c r="BH3" s="321">
        <v>12</v>
      </c>
      <c r="BI3" s="321" t="s">
        <v>404</v>
      </c>
      <c r="BJ3" s="321"/>
      <c r="BK3" s="321"/>
      <c r="BL3" s="321"/>
      <c r="BM3" s="322"/>
      <c r="BN3" s="323"/>
      <c r="BO3" s="324"/>
      <c r="BP3" s="321" t="s">
        <v>405</v>
      </c>
      <c r="BQ3" s="321"/>
      <c r="BR3" s="315" t="s">
        <v>406</v>
      </c>
      <c r="BS3" s="315" t="s">
        <v>431</v>
      </c>
    </row>
    <row r="4" spans="1:72" customFormat="1" ht="13" customHeight="1" x14ac:dyDescent="0.15">
      <c r="A4" s="313">
        <v>3513</v>
      </c>
      <c r="B4" s="335">
        <v>43657</v>
      </c>
      <c r="C4" s="315" t="s">
        <v>401</v>
      </c>
      <c r="D4" s="313" t="s">
        <v>388</v>
      </c>
      <c r="E4" s="316">
        <v>43646</v>
      </c>
      <c r="F4" s="315" t="s">
        <v>408</v>
      </c>
      <c r="G4" s="313" t="s">
        <v>409</v>
      </c>
      <c r="H4" s="317">
        <v>90.3</v>
      </c>
      <c r="I4" s="318"/>
      <c r="J4" s="318"/>
      <c r="K4" s="319" t="s">
        <v>363</v>
      </c>
      <c r="L4" s="320">
        <v>1644</v>
      </c>
      <c r="M4" s="320">
        <v>1314</v>
      </c>
      <c r="N4" s="313"/>
      <c r="O4" s="313"/>
      <c r="P4" s="313"/>
      <c r="Q4" s="313"/>
      <c r="R4" s="313"/>
      <c r="S4" s="313"/>
      <c r="T4" s="313"/>
      <c r="U4" s="313"/>
      <c r="V4" s="313"/>
      <c r="W4" s="317">
        <v>6.2272727272727266</v>
      </c>
      <c r="X4" s="317">
        <v>4.6090909090909093</v>
      </c>
      <c r="Y4" s="317">
        <v>2.9545454545454541</v>
      </c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21" t="s">
        <v>404</v>
      </c>
      <c r="AP4" s="321"/>
      <c r="AQ4" s="321"/>
      <c r="AR4" s="321"/>
      <c r="AS4" s="313"/>
      <c r="AT4" s="321">
        <v>4</v>
      </c>
      <c r="AU4" s="321">
        <v>0</v>
      </c>
      <c r="AV4" s="321">
        <v>0</v>
      </c>
      <c r="AW4" s="321">
        <v>0</v>
      </c>
      <c r="AX4" s="321">
        <v>0</v>
      </c>
      <c r="AY4" s="321">
        <v>0</v>
      </c>
      <c r="AZ4" s="321">
        <v>0</v>
      </c>
      <c r="BA4" s="321">
        <v>0</v>
      </c>
      <c r="BB4" s="321">
        <v>0</v>
      </c>
      <c r="BC4" s="321">
        <v>0</v>
      </c>
      <c r="BD4" s="321">
        <v>0</v>
      </c>
      <c r="BE4" s="321">
        <v>0</v>
      </c>
      <c r="BF4" s="321"/>
      <c r="BG4" s="321" t="s">
        <v>404</v>
      </c>
      <c r="BH4" s="321">
        <v>12</v>
      </c>
      <c r="BI4" s="321" t="s">
        <v>404</v>
      </c>
      <c r="BJ4" s="321"/>
      <c r="BK4" s="321"/>
      <c r="BL4" s="321"/>
      <c r="BM4" s="315"/>
      <c r="BN4" s="313"/>
      <c r="BO4" s="321"/>
      <c r="BP4" s="321" t="s">
        <v>405</v>
      </c>
      <c r="BQ4" s="321"/>
      <c r="BR4" s="315"/>
      <c r="BS4" s="325" t="s">
        <v>432</v>
      </c>
    </row>
    <row r="5" spans="1:72" customFormat="1" ht="13" customHeight="1" x14ac:dyDescent="0.15">
      <c r="A5" s="313">
        <v>552</v>
      </c>
      <c r="B5" s="335">
        <v>43657</v>
      </c>
      <c r="C5" s="315" t="s">
        <v>401</v>
      </c>
      <c r="D5" s="313" t="s">
        <v>388</v>
      </c>
      <c r="E5" s="316">
        <v>43646</v>
      </c>
      <c r="F5" s="315" t="s">
        <v>413</v>
      </c>
      <c r="G5" s="313" t="s">
        <v>391</v>
      </c>
      <c r="H5" s="317">
        <v>80.399999999999991</v>
      </c>
      <c r="I5" s="318"/>
      <c r="J5" s="318"/>
      <c r="K5" s="319" t="s">
        <v>363</v>
      </c>
      <c r="L5" s="320">
        <v>2959</v>
      </c>
      <c r="M5" s="320"/>
      <c r="N5" s="313"/>
      <c r="O5" s="313"/>
      <c r="P5" s="313"/>
      <c r="Q5" s="313"/>
      <c r="R5" s="313"/>
      <c r="S5" s="313"/>
      <c r="T5" s="313"/>
      <c r="U5" s="313"/>
      <c r="V5" s="313"/>
      <c r="W5" s="317">
        <v>4.918181818181818</v>
      </c>
      <c r="X5" s="317">
        <v>2.545454545454545</v>
      </c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21" t="s">
        <v>404</v>
      </c>
      <c r="AP5" s="321"/>
      <c r="AQ5" s="321"/>
      <c r="AR5" s="321"/>
      <c r="AS5" s="313"/>
      <c r="AT5" s="321">
        <v>0</v>
      </c>
      <c r="AU5" s="321">
        <v>0</v>
      </c>
      <c r="AV5" s="321">
        <v>0</v>
      </c>
      <c r="AW5" s="321">
        <v>0</v>
      </c>
      <c r="AX5" s="321">
        <v>0</v>
      </c>
      <c r="AY5" s="321">
        <v>0</v>
      </c>
      <c r="AZ5" s="321">
        <v>0</v>
      </c>
      <c r="BA5" s="321">
        <v>0</v>
      </c>
      <c r="BB5" s="321">
        <v>0</v>
      </c>
      <c r="BC5" s="321">
        <v>0</v>
      </c>
      <c r="BD5" s="321">
        <v>0</v>
      </c>
      <c r="BE5" s="321">
        <v>0</v>
      </c>
      <c r="BF5" s="321"/>
      <c r="BG5" s="321" t="s">
        <v>404</v>
      </c>
      <c r="BH5" s="321">
        <v>12</v>
      </c>
      <c r="BI5" s="321" t="s">
        <v>404</v>
      </c>
      <c r="BJ5" s="321"/>
      <c r="BK5" s="321"/>
      <c r="BL5" s="321"/>
      <c r="BM5" s="315"/>
      <c r="BN5" s="313"/>
      <c r="BO5" s="326"/>
      <c r="BP5" s="321" t="s">
        <v>405</v>
      </c>
      <c r="BQ5" s="321"/>
      <c r="BR5" s="315"/>
      <c r="BS5" s="325" t="s">
        <v>433</v>
      </c>
    </row>
    <row r="6" spans="1:72" customFormat="1" ht="13" customHeight="1" x14ac:dyDescent="0.15">
      <c r="A6" s="313">
        <v>3554</v>
      </c>
      <c r="B6" s="335">
        <v>43657</v>
      </c>
      <c r="C6" s="315" t="s">
        <v>401</v>
      </c>
      <c r="D6" s="313" t="s">
        <v>388</v>
      </c>
      <c r="E6" s="316">
        <v>43646</v>
      </c>
      <c r="F6" s="315" t="s">
        <v>415</v>
      </c>
      <c r="G6" s="313" t="s">
        <v>369</v>
      </c>
      <c r="H6" s="317">
        <v>62.61818181818181</v>
      </c>
      <c r="I6" s="318"/>
      <c r="J6" s="318"/>
      <c r="K6" s="319" t="s">
        <v>363</v>
      </c>
      <c r="L6" s="320">
        <v>1620</v>
      </c>
      <c r="M6" s="320">
        <v>1320</v>
      </c>
      <c r="N6" s="313"/>
      <c r="O6" s="313"/>
      <c r="P6" s="313"/>
      <c r="Q6" s="313"/>
      <c r="R6" s="313"/>
      <c r="S6" s="313"/>
      <c r="T6" s="313"/>
      <c r="U6" s="313"/>
      <c r="V6" s="313"/>
      <c r="W6" s="317">
        <v>7.3636363636363624</v>
      </c>
      <c r="X6" s="317">
        <v>4.5636363636363626</v>
      </c>
      <c r="Y6" s="317">
        <v>2.8545454545454545</v>
      </c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21" t="s">
        <v>404</v>
      </c>
      <c r="AP6" s="321"/>
      <c r="AQ6" s="321"/>
      <c r="AR6" s="321"/>
      <c r="AS6" s="313"/>
      <c r="AT6" s="321">
        <v>4</v>
      </c>
      <c r="AU6" s="321">
        <v>0</v>
      </c>
      <c r="AV6" s="321">
        <v>0</v>
      </c>
      <c r="AW6" s="321">
        <v>0</v>
      </c>
      <c r="AX6" s="321">
        <v>0</v>
      </c>
      <c r="AY6" s="321">
        <v>0</v>
      </c>
      <c r="AZ6" s="321">
        <v>0</v>
      </c>
      <c r="BA6" s="321">
        <v>0</v>
      </c>
      <c r="BB6" s="321">
        <v>0</v>
      </c>
      <c r="BC6" s="321">
        <v>0</v>
      </c>
      <c r="BD6" s="321">
        <v>0</v>
      </c>
      <c r="BE6" s="321">
        <v>0</v>
      </c>
      <c r="BF6" s="321"/>
      <c r="BG6" s="321" t="s">
        <v>327</v>
      </c>
      <c r="BH6" s="321"/>
      <c r="BI6" s="321" t="s">
        <v>404</v>
      </c>
      <c r="BJ6" s="321"/>
      <c r="BK6" s="321"/>
      <c r="BL6" s="321"/>
      <c r="BM6" s="315"/>
      <c r="BN6" s="313"/>
      <c r="BO6" s="321"/>
      <c r="BP6" s="321" t="s">
        <v>405</v>
      </c>
      <c r="BQ6" s="321"/>
      <c r="BR6" s="315"/>
      <c r="BS6" s="328" t="s">
        <v>434</v>
      </c>
    </row>
    <row r="7" spans="1:72" customFormat="1" ht="13" customHeight="1" x14ac:dyDescent="0.15">
      <c r="A7" s="313">
        <v>2377</v>
      </c>
      <c r="B7" s="335">
        <v>43657</v>
      </c>
      <c r="C7" s="315" t="s">
        <v>401</v>
      </c>
      <c r="D7" s="313" t="s">
        <v>388</v>
      </c>
      <c r="E7" s="316">
        <v>43646</v>
      </c>
      <c r="F7" s="315" t="s">
        <v>417</v>
      </c>
      <c r="G7" s="313" t="s">
        <v>371</v>
      </c>
      <c r="H7" s="317">
        <v>92</v>
      </c>
      <c r="I7" s="318"/>
      <c r="J7" s="318"/>
      <c r="K7" s="319" t="s">
        <v>363</v>
      </c>
      <c r="L7" s="320">
        <v>2959</v>
      </c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17">
        <v>4.1909090909090905</v>
      </c>
      <c r="X7" s="317">
        <v>2.2909090909090906</v>
      </c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21" t="s">
        <v>404</v>
      </c>
      <c r="AP7" s="313"/>
      <c r="AQ7" s="313"/>
      <c r="AR7" s="313"/>
      <c r="AS7" s="313"/>
      <c r="AT7" s="321">
        <v>0</v>
      </c>
      <c r="AU7" s="321">
        <v>0</v>
      </c>
      <c r="AV7" s="321">
        <v>0</v>
      </c>
      <c r="AW7" s="321">
        <v>0</v>
      </c>
      <c r="AX7" s="321">
        <v>0</v>
      </c>
      <c r="AY7" s="321">
        <v>0</v>
      </c>
      <c r="AZ7" s="321">
        <v>0</v>
      </c>
      <c r="BA7" s="321">
        <v>0</v>
      </c>
      <c r="BB7" s="321">
        <v>0</v>
      </c>
      <c r="BC7" s="321">
        <v>0</v>
      </c>
      <c r="BD7" s="321">
        <v>0</v>
      </c>
      <c r="BE7" s="321">
        <v>0</v>
      </c>
      <c r="BF7" s="321"/>
      <c r="BG7" s="321" t="s">
        <v>404</v>
      </c>
      <c r="BH7" s="321"/>
      <c r="BI7" s="321" t="s">
        <v>404</v>
      </c>
      <c r="BJ7" s="321"/>
      <c r="BK7" s="321"/>
      <c r="BL7" s="321"/>
      <c r="BM7" s="315"/>
      <c r="BN7" s="313"/>
      <c r="BO7" s="321"/>
      <c r="BP7" s="321" t="s">
        <v>405</v>
      </c>
      <c r="BQ7" s="321"/>
      <c r="BR7" s="315"/>
      <c r="BS7" s="328" t="s">
        <v>435</v>
      </c>
    </row>
    <row r="8" spans="1:72" customFormat="1" ht="13" customHeight="1" x14ac:dyDescent="0.15">
      <c r="A8" s="313">
        <v>2482</v>
      </c>
      <c r="B8" s="335">
        <v>43657</v>
      </c>
      <c r="C8" s="315" t="s">
        <v>401</v>
      </c>
      <c r="D8" s="313" t="s">
        <v>388</v>
      </c>
      <c r="E8" s="316">
        <v>43646</v>
      </c>
      <c r="F8" s="315" t="s">
        <v>335</v>
      </c>
      <c r="G8" s="313" t="s">
        <v>394</v>
      </c>
      <c r="H8" s="317">
        <v>82</v>
      </c>
      <c r="I8" s="318"/>
      <c r="J8" s="318"/>
      <c r="K8" s="319" t="s">
        <v>363</v>
      </c>
      <c r="L8" s="320">
        <v>2959</v>
      </c>
      <c r="M8" s="320"/>
      <c r="N8" s="313"/>
      <c r="O8" s="313"/>
      <c r="P8" s="313"/>
      <c r="Q8" s="313"/>
      <c r="R8" s="313"/>
      <c r="S8" s="313"/>
      <c r="T8" s="313"/>
      <c r="U8" s="313"/>
      <c r="V8" s="313"/>
      <c r="W8" s="317">
        <v>4.1818181818181808</v>
      </c>
      <c r="X8" s="317">
        <v>2.2818181818181813</v>
      </c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18"/>
      <c r="AK8" s="318"/>
      <c r="AL8" s="318"/>
      <c r="AM8" s="318"/>
      <c r="AN8" s="318"/>
      <c r="AO8" s="321" t="s">
        <v>404</v>
      </c>
      <c r="AP8" s="321"/>
      <c r="AQ8" s="321"/>
      <c r="AR8" s="321"/>
      <c r="AS8" s="313"/>
      <c r="AT8" s="321">
        <v>0</v>
      </c>
      <c r="AU8" s="321">
        <v>0</v>
      </c>
      <c r="AV8" s="321">
        <v>0</v>
      </c>
      <c r="AW8" s="321">
        <v>0</v>
      </c>
      <c r="AX8" s="321">
        <v>0</v>
      </c>
      <c r="AY8" s="321">
        <v>0</v>
      </c>
      <c r="AZ8" s="321">
        <v>0</v>
      </c>
      <c r="BA8" s="321">
        <v>0</v>
      </c>
      <c r="BB8" s="321">
        <v>0</v>
      </c>
      <c r="BC8" s="321">
        <v>0</v>
      </c>
      <c r="BD8" s="321">
        <v>0</v>
      </c>
      <c r="BE8" s="321">
        <v>0</v>
      </c>
      <c r="BF8" s="321"/>
      <c r="BG8" s="321" t="s">
        <v>404</v>
      </c>
      <c r="BH8" s="321"/>
      <c r="BI8" s="321" t="s">
        <v>404</v>
      </c>
      <c r="BJ8" s="321"/>
      <c r="BK8" s="321"/>
      <c r="BL8" s="321"/>
      <c r="BM8" s="315"/>
      <c r="BN8" s="313"/>
      <c r="BO8" s="321"/>
      <c r="BP8" s="321" t="s">
        <v>330</v>
      </c>
      <c r="BQ8" s="321"/>
      <c r="BR8" s="315"/>
      <c r="BS8" s="235" t="s">
        <v>436</v>
      </c>
    </row>
    <row r="9" spans="1:72" customFormat="1" ht="13" customHeight="1" x14ac:dyDescent="0.15">
      <c r="A9" s="313">
        <v>3556</v>
      </c>
      <c r="B9" s="335">
        <v>43657</v>
      </c>
      <c r="C9" s="165" t="s">
        <v>361</v>
      </c>
      <c r="D9" s="313" t="s">
        <v>388</v>
      </c>
      <c r="E9" s="329">
        <v>43650</v>
      </c>
      <c r="F9" s="165" t="s">
        <v>374</v>
      </c>
      <c r="G9" s="313" t="s">
        <v>420</v>
      </c>
      <c r="H9" s="317">
        <v>65</v>
      </c>
      <c r="I9" s="318"/>
      <c r="J9" s="318"/>
      <c r="K9" s="319" t="s">
        <v>363</v>
      </c>
      <c r="L9" s="320">
        <v>3040</v>
      </c>
      <c r="M9" s="320"/>
      <c r="N9" s="320"/>
      <c r="O9" s="320"/>
      <c r="P9" s="313"/>
      <c r="Q9" s="313"/>
      <c r="R9" s="313"/>
      <c r="S9" s="313"/>
      <c r="T9" s="313"/>
      <c r="U9" s="313"/>
      <c r="V9" s="313"/>
      <c r="W9" s="317">
        <v>4.4363636363636356</v>
      </c>
      <c r="X9" s="317">
        <v>2.2727272727272725</v>
      </c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21" t="s">
        <v>404</v>
      </c>
      <c r="AP9" s="321"/>
      <c r="AQ9" s="321"/>
      <c r="AR9" s="321"/>
      <c r="AS9" s="313"/>
      <c r="AT9" s="321">
        <v>0</v>
      </c>
      <c r="AU9" s="321">
        <v>0</v>
      </c>
      <c r="AV9" s="321">
        <v>0</v>
      </c>
      <c r="AW9" s="321">
        <v>0</v>
      </c>
      <c r="AX9" s="321">
        <v>0</v>
      </c>
      <c r="AY9" s="321">
        <v>0</v>
      </c>
      <c r="AZ9" s="321">
        <v>0</v>
      </c>
      <c r="BA9" s="321">
        <v>0</v>
      </c>
      <c r="BB9" s="321">
        <v>0</v>
      </c>
      <c r="BC9" s="321">
        <v>0</v>
      </c>
      <c r="BD9" s="321">
        <v>0</v>
      </c>
      <c r="BE9" s="321">
        <v>0</v>
      </c>
      <c r="BF9" s="321"/>
      <c r="BG9" s="321" t="s">
        <v>404</v>
      </c>
      <c r="BH9" s="321"/>
      <c r="BI9" s="321" t="s">
        <v>404</v>
      </c>
      <c r="BJ9" s="321"/>
      <c r="BK9" s="321"/>
      <c r="BL9" s="321"/>
      <c r="BM9" s="315"/>
      <c r="BN9" s="313"/>
      <c r="BO9" s="321"/>
      <c r="BP9" s="321" t="s">
        <v>405</v>
      </c>
      <c r="BQ9" s="321">
        <v>1</v>
      </c>
      <c r="BR9" s="315"/>
      <c r="BS9" s="325" t="s">
        <v>437</v>
      </c>
    </row>
    <row r="10" spans="1:72" customFormat="1" ht="13" customHeight="1" x14ac:dyDescent="0.15">
      <c r="A10" s="313" t="s">
        <v>438</v>
      </c>
      <c r="B10" s="335">
        <v>43657</v>
      </c>
      <c r="C10" s="315" t="s">
        <v>401</v>
      </c>
      <c r="D10" s="313" t="s">
        <v>388</v>
      </c>
      <c r="E10" s="316">
        <v>43646</v>
      </c>
      <c r="F10" s="315" t="s">
        <v>439</v>
      </c>
      <c r="G10" s="313" t="s">
        <v>440</v>
      </c>
      <c r="H10" s="317">
        <v>67.127272727272725</v>
      </c>
      <c r="I10" s="318"/>
      <c r="J10" s="318"/>
      <c r="K10" s="319" t="s">
        <v>363</v>
      </c>
      <c r="L10" s="320">
        <v>3000</v>
      </c>
      <c r="M10" s="320"/>
      <c r="N10" s="313"/>
      <c r="O10" s="313"/>
      <c r="P10" s="313"/>
      <c r="Q10" s="313"/>
      <c r="R10" s="313"/>
      <c r="S10" s="313"/>
      <c r="T10" s="313"/>
      <c r="U10" s="313"/>
      <c r="V10" s="313"/>
      <c r="W10" s="317">
        <v>5.4999999999999991</v>
      </c>
      <c r="X10" s="317">
        <v>3.754545454545454</v>
      </c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21" t="s">
        <v>404</v>
      </c>
      <c r="AP10" s="321"/>
      <c r="AQ10" s="321"/>
      <c r="AR10" s="321"/>
      <c r="AS10" s="313"/>
      <c r="AT10" s="321">
        <v>0</v>
      </c>
      <c r="AU10" s="321">
        <v>0</v>
      </c>
      <c r="AV10" s="321">
        <v>0</v>
      </c>
      <c r="AW10" s="321">
        <v>0</v>
      </c>
      <c r="AX10" s="321">
        <v>0</v>
      </c>
      <c r="AY10" s="321">
        <v>0</v>
      </c>
      <c r="AZ10" s="321">
        <v>0</v>
      </c>
      <c r="BA10" s="321">
        <v>0</v>
      </c>
      <c r="BB10" s="321">
        <v>0</v>
      </c>
      <c r="BC10" s="321">
        <v>0</v>
      </c>
      <c r="BD10" s="321">
        <v>0</v>
      </c>
      <c r="BE10" s="321">
        <v>0</v>
      </c>
      <c r="BF10" s="321"/>
      <c r="BG10" s="321" t="s">
        <v>404</v>
      </c>
      <c r="BH10" s="321"/>
      <c r="BI10" s="321" t="s">
        <v>404</v>
      </c>
      <c r="BJ10" s="321"/>
      <c r="BK10" s="321"/>
      <c r="BL10" s="321"/>
      <c r="BM10" s="315"/>
      <c r="BN10" s="313"/>
      <c r="BO10" s="326"/>
      <c r="BP10" s="321" t="s">
        <v>405</v>
      </c>
      <c r="BQ10" s="321"/>
      <c r="BR10" s="315"/>
      <c r="BS10" s="325" t="s">
        <v>441</v>
      </c>
    </row>
    <row r="11" spans="1:72" customFormat="1" ht="13" customHeight="1" x14ac:dyDescent="0.15">
      <c r="A11" s="313" t="s">
        <v>438</v>
      </c>
      <c r="B11" s="335">
        <v>43657</v>
      </c>
      <c r="C11" s="315" t="s">
        <v>401</v>
      </c>
      <c r="D11" s="313" t="s">
        <v>388</v>
      </c>
      <c r="E11" s="336">
        <v>43566</v>
      </c>
      <c r="F11" s="315" t="s">
        <v>442</v>
      </c>
      <c r="G11" s="313" t="s">
        <v>443</v>
      </c>
      <c r="H11" s="317">
        <v>82.090909090909079</v>
      </c>
      <c r="I11" s="318"/>
      <c r="J11" s="318"/>
      <c r="K11" s="319" t="s">
        <v>363</v>
      </c>
      <c r="L11" s="320">
        <v>1644</v>
      </c>
      <c r="M11" s="320">
        <v>1314</v>
      </c>
      <c r="N11" s="313"/>
      <c r="O11" s="313"/>
      <c r="P11" s="313"/>
      <c r="Q11" s="313"/>
      <c r="R11" s="313"/>
      <c r="S11" s="313"/>
      <c r="T11" s="313"/>
      <c r="U11" s="313"/>
      <c r="V11" s="313"/>
      <c r="W11" s="317">
        <v>4.3636363636363633</v>
      </c>
      <c r="X11" s="317">
        <v>4.3636363636363633</v>
      </c>
      <c r="Y11" s="317">
        <v>2.6909090909090905</v>
      </c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21" t="s">
        <v>404</v>
      </c>
      <c r="AP11" s="321"/>
      <c r="AQ11" s="321"/>
      <c r="AR11" s="321"/>
      <c r="AS11" s="313"/>
      <c r="AT11" s="321">
        <v>0</v>
      </c>
      <c r="AU11" s="321">
        <v>0</v>
      </c>
      <c r="AV11" s="321">
        <v>0</v>
      </c>
      <c r="AW11" s="321">
        <v>0</v>
      </c>
      <c r="AX11" s="321">
        <v>0</v>
      </c>
      <c r="AY11" s="321">
        <v>0</v>
      </c>
      <c r="AZ11" s="321">
        <v>0</v>
      </c>
      <c r="BA11" s="321">
        <v>0</v>
      </c>
      <c r="BB11" s="321">
        <v>0</v>
      </c>
      <c r="BC11" s="321">
        <v>0</v>
      </c>
      <c r="BD11" s="321">
        <v>0</v>
      </c>
      <c r="BE11" s="321">
        <v>0</v>
      </c>
      <c r="BF11" s="321"/>
      <c r="BG11" s="321" t="s">
        <v>404</v>
      </c>
      <c r="BH11" s="321"/>
      <c r="BI11" s="321" t="s">
        <v>404</v>
      </c>
      <c r="BJ11" s="321"/>
      <c r="BK11" s="321"/>
      <c r="BL11" s="321"/>
      <c r="BM11" s="315"/>
      <c r="BN11" s="313"/>
      <c r="BO11" s="321"/>
      <c r="BP11" s="321" t="s">
        <v>405</v>
      </c>
      <c r="BQ11" s="321"/>
      <c r="BR11" s="315"/>
      <c r="BS11" s="325" t="s">
        <v>444</v>
      </c>
    </row>
    <row r="12" spans="1:72" x14ac:dyDescent="0.15">
      <c r="A12" s="197">
        <v>2131</v>
      </c>
      <c r="B12" s="335">
        <v>43657</v>
      </c>
      <c r="C12" s="198" t="s">
        <v>361</v>
      </c>
      <c r="D12" s="199" t="s">
        <v>89</v>
      </c>
      <c r="E12" s="316">
        <v>43646</v>
      </c>
      <c r="F12" s="315" t="s">
        <v>413</v>
      </c>
      <c r="G12" s="313" t="s">
        <v>391</v>
      </c>
      <c r="H12" s="317">
        <v>80.399999999999991</v>
      </c>
      <c r="I12" s="318"/>
      <c r="J12" s="318"/>
      <c r="K12" s="319" t="s">
        <v>363</v>
      </c>
      <c r="L12" s="320">
        <v>2959</v>
      </c>
      <c r="M12" s="320"/>
      <c r="N12" s="313"/>
      <c r="O12" s="313"/>
      <c r="P12" s="313"/>
      <c r="Q12" s="313"/>
      <c r="R12" s="313"/>
      <c r="S12" s="313"/>
      <c r="T12" s="313"/>
      <c r="U12" s="313"/>
      <c r="V12" s="313"/>
      <c r="W12" s="317">
        <v>4.918181818181818</v>
      </c>
      <c r="X12" s="317">
        <v>2.545454545454545</v>
      </c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8"/>
      <c r="AM12" s="318"/>
      <c r="AN12" s="318"/>
      <c r="AO12" s="321" t="s">
        <v>404</v>
      </c>
      <c r="AP12" s="321"/>
      <c r="AQ12" s="321"/>
      <c r="AR12" s="321"/>
      <c r="AS12" s="313"/>
      <c r="AT12" s="321">
        <v>0</v>
      </c>
      <c r="AU12" s="321">
        <v>0</v>
      </c>
      <c r="AV12" s="321">
        <v>0</v>
      </c>
      <c r="AW12" s="321">
        <v>0</v>
      </c>
      <c r="AX12" s="321">
        <v>0</v>
      </c>
      <c r="AY12" s="321">
        <v>0</v>
      </c>
      <c r="AZ12" s="321">
        <v>0</v>
      </c>
      <c r="BA12" s="321">
        <v>0</v>
      </c>
      <c r="BB12" s="321">
        <v>0</v>
      </c>
      <c r="BC12" s="321">
        <v>0</v>
      </c>
      <c r="BD12" s="321">
        <v>0</v>
      </c>
      <c r="BE12" s="321">
        <v>0</v>
      </c>
      <c r="BF12" s="321"/>
      <c r="BG12" s="321" t="s">
        <v>404</v>
      </c>
      <c r="BH12" s="321">
        <v>12</v>
      </c>
      <c r="BI12" s="321" t="s">
        <v>404</v>
      </c>
      <c r="BJ12" s="321"/>
      <c r="BK12" s="321"/>
      <c r="BL12" s="321"/>
      <c r="BM12" s="315"/>
      <c r="BN12" s="313"/>
      <c r="BO12" s="326"/>
      <c r="BP12" s="321" t="s">
        <v>405</v>
      </c>
      <c r="BQ12" s="321"/>
      <c r="BR12" s="315"/>
      <c r="BS12" s="325" t="s">
        <v>433</v>
      </c>
      <c r="BT12"/>
    </row>
    <row r="13" spans="1:72" x14ac:dyDescent="0.15">
      <c r="A13" s="197">
        <v>2131</v>
      </c>
      <c r="B13" s="335">
        <v>43657</v>
      </c>
      <c r="C13" s="198" t="s">
        <v>34</v>
      </c>
      <c r="D13" s="199" t="s">
        <v>35</v>
      </c>
      <c r="E13" s="316">
        <v>43646</v>
      </c>
      <c r="F13" s="315" t="s">
        <v>413</v>
      </c>
      <c r="G13" s="313" t="s">
        <v>391</v>
      </c>
      <c r="H13" s="317">
        <v>80.399999999999991</v>
      </c>
      <c r="I13" s="318"/>
      <c r="J13" s="318"/>
      <c r="K13" s="319" t="s">
        <v>363</v>
      </c>
      <c r="L13" s="320">
        <v>2959</v>
      </c>
      <c r="M13" s="320"/>
      <c r="N13" s="313"/>
      <c r="O13" s="313"/>
      <c r="P13" s="313"/>
      <c r="Q13" s="313"/>
      <c r="R13" s="313"/>
      <c r="S13" s="313"/>
      <c r="T13" s="313"/>
      <c r="U13" s="313"/>
      <c r="V13" s="313"/>
      <c r="W13" s="317">
        <v>4.918181818181818</v>
      </c>
      <c r="X13" s="317">
        <v>2.545454545454545</v>
      </c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318"/>
      <c r="AN13" s="318"/>
      <c r="AO13" s="321" t="s">
        <v>404</v>
      </c>
      <c r="AP13" s="321"/>
      <c r="AQ13" s="321"/>
      <c r="AR13" s="321"/>
      <c r="AS13" s="313"/>
      <c r="AT13" s="321">
        <v>0</v>
      </c>
      <c r="AU13" s="321">
        <v>0</v>
      </c>
      <c r="AV13" s="321">
        <v>0</v>
      </c>
      <c r="AW13" s="321">
        <v>0</v>
      </c>
      <c r="AX13" s="321">
        <v>0</v>
      </c>
      <c r="AY13" s="321">
        <v>0</v>
      </c>
      <c r="AZ13" s="321">
        <v>0</v>
      </c>
      <c r="BA13" s="321">
        <v>0</v>
      </c>
      <c r="BB13" s="321">
        <v>0</v>
      </c>
      <c r="BC13" s="321">
        <v>0</v>
      </c>
      <c r="BD13" s="321">
        <v>0</v>
      </c>
      <c r="BE13" s="321">
        <v>0</v>
      </c>
      <c r="BF13" s="321"/>
      <c r="BG13" s="321" t="s">
        <v>404</v>
      </c>
      <c r="BH13" s="321">
        <v>12</v>
      </c>
      <c r="BI13" s="321" t="s">
        <v>404</v>
      </c>
      <c r="BJ13" s="321"/>
      <c r="BK13" s="321"/>
      <c r="BL13" s="321"/>
      <c r="BM13" s="315"/>
      <c r="BN13" s="313"/>
      <c r="BO13" s="326"/>
      <c r="BP13" s="321" t="s">
        <v>405</v>
      </c>
      <c r="BQ13" s="321"/>
      <c r="BR13" s="315"/>
      <c r="BS13" s="325" t="s">
        <v>433</v>
      </c>
      <c r="BT13"/>
    </row>
    <row r="14" spans="1:72" x14ac:dyDescent="0.15">
      <c r="A14" s="197">
        <v>2131</v>
      </c>
      <c r="B14" s="335">
        <v>43657</v>
      </c>
      <c r="C14" s="198" t="s">
        <v>34</v>
      </c>
      <c r="D14" s="199" t="s">
        <v>41</v>
      </c>
      <c r="E14" s="316">
        <v>43646</v>
      </c>
      <c r="F14" s="315" t="s">
        <v>413</v>
      </c>
      <c r="G14" s="313" t="s">
        <v>391</v>
      </c>
      <c r="H14" s="317">
        <v>80.399999999999991</v>
      </c>
      <c r="I14" s="318"/>
      <c r="J14" s="318"/>
      <c r="K14" s="319" t="s">
        <v>363</v>
      </c>
      <c r="L14" s="320">
        <v>2959</v>
      </c>
      <c r="M14" s="320"/>
      <c r="N14" s="313"/>
      <c r="O14" s="313"/>
      <c r="P14" s="313"/>
      <c r="Q14" s="313"/>
      <c r="R14" s="313"/>
      <c r="S14" s="313"/>
      <c r="T14" s="313"/>
      <c r="U14" s="313"/>
      <c r="V14" s="313"/>
      <c r="W14" s="317">
        <v>4.918181818181818</v>
      </c>
      <c r="X14" s="317">
        <v>2.545454545454545</v>
      </c>
      <c r="Y14" s="318"/>
      <c r="Z14" s="318"/>
      <c r="AA14" s="318"/>
      <c r="AB14" s="318"/>
      <c r="AC14" s="318"/>
      <c r="AD14" s="318"/>
      <c r="AE14" s="318"/>
      <c r="AF14" s="318"/>
      <c r="AG14" s="318"/>
      <c r="AH14" s="318"/>
      <c r="AI14" s="318"/>
      <c r="AJ14" s="318"/>
      <c r="AK14" s="318"/>
      <c r="AL14" s="318"/>
      <c r="AM14" s="318"/>
      <c r="AN14" s="318"/>
      <c r="AO14" s="321" t="s">
        <v>404</v>
      </c>
      <c r="AP14" s="321"/>
      <c r="AQ14" s="321"/>
      <c r="AR14" s="321"/>
      <c r="AS14" s="313"/>
      <c r="AT14" s="321">
        <v>0</v>
      </c>
      <c r="AU14" s="321">
        <v>0</v>
      </c>
      <c r="AV14" s="321">
        <v>0</v>
      </c>
      <c r="AW14" s="321">
        <v>0</v>
      </c>
      <c r="AX14" s="321">
        <v>0</v>
      </c>
      <c r="AY14" s="321">
        <v>0</v>
      </c>
      <c r="AZ14" s="321">
        <v>0</v>
      </c>
      <c r="BA14" s="321">
        <v>0</v>
      </c>
      <c r="BB14" s="321">
        <v>0</v>
      </c>
      <c r="BC14" s="321">
        <v>0</v>
      </c>
      <c r="BD14" s="321">
        <v>0</v>
      </c>
      <c r="BE14" s="321">
        <v>0</v>
      </c>
      <c r="BF14" s="321"/>
      <c r="BG14" s="321" t="s">
        <v>404</v>
      </c>
      <c r="BH14" s="321">
        <v>12</v>
      </c>
      <c r="BI14" s="321" t="s">
        <v>404</v>
      </c>
      <c r="BJ14" s="321"/>
      <c r="BK14" s="321"/>
      <c r="BL14" s="321"/>
      <c r="BM14" s="315"/>
      <c r="BN14" s="313"/>
      <c r="BO14" s="326"/>
      <c r="BP14" s="321" t="s">
        <v>405</v>
      </c>
      <c r="BQ14" s="321"/>
      <c r="BR14" s="315"/>
      <c r="BS14" s="325" t="s">
        <v>433</v>
      </c>
      <c r="BT14"/>
    </row>
    <row r="15" spans="1:72" x14ac:dyDescent="0.15">
      <c r="A15" s="197">
        <v>2131</v>
      </c>
      <c r="B15" s="335">
        <v>43657</v>
      </c>
      <c r="C15" s="198" t="s">
        <v>34</v>
      </c>
      <c r="D15" s="199" t="s">
        <v>42</v>
      </c>
      <c r="E15" s="316">
        <v>43646</v>
      </c>
      <c r="F15" s="315" t="s">
        <v>413</v>
      </c>
      <c r="G15" s="313" t="s">
        <v>391</v>
      </c>
      <c r="H15" s="317">
        <v>80.399999999999991</v>
      </c>
      <c r="I15" s="318"/>
      <c r="J15" s="318"/>
      <c r="K15" s="319" t="s">
        <v>363</v>
      </c>
      <c r="L15" s="320">
        <v>2959</v>
      </c>
      <c r="M15" s="320"/>
      <c r="N15" s="313"/>
      <c r="O15" s="313"/>
      <c r="P15" s="313"/>
      <c r="Q15" s="313"/>
      <c r="R15" s="313"/>
      <c r="S15" s="313"/>
      <c r="T15" s="313"/>
      <c r="U15" s="313"/>
      <c r="V15" s="313"/>
      <c r="W15" s="317">
        <v>4.918181818181818</v>
      </c>
      <c r="X15" s="317">
        <v>2.545454545454545</v>
      </c>
      <c r="Y15" s="318"/>
      <c r="Z15" s="318"/>
      <c r="AA15" s="318"/>
      <c r="AB15" s="318"/>
      <c r="AC15" s="318"/>
      <c r="AD15" s="318"/>
      <c r="AE15" s="318"/>
      <c r="AF15" s="318"/>
      <c r="AG15" s="318"/>
      <c r="AH15" s="318"/>
      <c r="AI15" s="318"/>
      <c r="AJ15" s="318"/>
      <c r="AK15" s="318"/>
      <c r="AL15" s="318"/>
      <c r="AM15" s="318"/>
      <c r="AN15" s="318"/>
      <c r="AO15" s="321" t="s">
        <v>404</v>
      </c>
      <c r="AP15" s="321"/>
      <c r="AQ15" s="321"/>
      <c r="AR15" s="321"/>
      <c r="AS15" s="313"/>
      <c r="AT15" s="321">
        <v>0</v>
      </c>
      <c r="AU15" s="321">
        <v>0</v>
      </c>
      <c r="AV15" s="321">
        <v>0</v>
      </c>
      <c r="AW15" s="321">
        <v>0</v>
      </c>
      <c r="AX15" s="321">
        <v>0</v>
      </c>
      <c r="AY15" s="321">
        <v>0</v>
      </c>
      <c r="AZ15" s="321">
        <v>0</v>
      </c>
      <c r="BA15" s="321">
        <v>0</v>
      </c>
      <c r="BB15" s="321">
        <v>0</v>
      </c>
      <c r="BC15" s="321">
        <v>0</v>
      </c>
      <c r="BD15" s="321">
        <v>0</v>
      </c>
      <c r="BE15" s="321">
        <v>0</v>
      </c>
      <c r="BF15" s="321"/>
      <c r="BG15" s="321" t="s">
        <v>404</v>
      </c>
      <c r="BH15" s="321">
        <v>12</v>
      </c>
      <c r="BI15" s="321" t="s">
        <v>404</v>
      </c>
      <c r="BJ15" s="321"/>
      <c r="BK15" s="321"/>
      <c r="BL15" s="321"/>
      <c r="BM15" s="315"/>
      <c r="BN15" s="313"/>
      <c r="BO15" s="326"/>
      <c r="BP15" s="321" t="s">
        <v>405</v>
      </c>
      <c r="BQ15" s="321"/>
      <c r="BR15" s="315"/>
      <c r="BS15" s="325" t="s">
        <v>433</v>
      </c>
      <c r="BT15"/>
    </row>
  </sheetData>
  <sheetProtection algorithmName="SHA-512" hashValue="H+zxMrR5RdnVYPf/sGJxxwgH5HsnZsy+ijPXy6DJpCQ0dyiqkI+QmlhqzvZ5piDiNLBHFt/BUkomGMVlOX2gCA==" saltValue="BKY6abS00M0mWpQhCGllPg==" spinCount="100000" sheet="1" objects="1" scenarios="1"/>
  <mergeCells count="1">
    <mergeCell ref="K1:P1"/>
  </mergeCells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1426D-C05B-C04C-ABB4-8EF3CD15E21D}">
  <sheetPr codeName="Sheet22"/>
  <dimension ref="A1:BT31"/>
  <sheetViews>
    <sheetView zoomScale="130" zoomScaleNormal="130" workbookViewId="0">
      <pane xSplit="7" ySplit="2" topLeftCell="H3" activePane="bottomRight" state="frozen"/>
      <selection pane="topRight" activeCell="H1" sqref="H1"/>
      <selection pane="bottomLeft" activeCell="A3" sqref="A3"/>
      <selection pane="bottomRight" activeCell="V20" sqref="V20"/>
    </sheetView>
  </sheetViews>
  <sheetFormatPr baseColWidth="10" defaultRowHeight="13" x14ac:dyDescent="0.15"/>
  <cols>
    <col min="1" max="3" width="10.83203125" style="196"/>
    <col min="4" max="4" width="19" style="196" bestFit="1" customWidth="1"/>
    <col min="5" max="5" width="10.83203125" style="196"/>
    <col min="6" max="6" width="14.1640625" style="196" bestFit="1" customWidth="1"/>
    <col min="7" max="16384" width="10.83203125" style="196"/>
  </cols>
  <sheetData>
    <row r="1" spans="1:72" ht="17" customHeight="1" x14ac:dyDescent="0.15">
      <c r="A1" s="171"/>
      <c r="B1" s="171"/>
      <c r="C1" s="172"/>
      <c r="D1" s="173"/>
      <c r="E1" s="171"/>
      <c r="F1" s="172"/>
      <c r="G1" s="173"/>
      <c r="H1" s="174"/>
      <c r="I1" s="175"/>
      <c r="J1" s="176"/>
      <c r="K1" s="347" t="s">
        <v>354</v>
      </c>
      <c r="L1" s="347"/>
      <c r="M1" s="347"/>
      <c r="N1" s="347"/>
      <c r="O1" s="347"/>
      <c r="P1" s="348"/>
      <c r="Q1" s="179"/>
      <c r="R1" s="179"/>
      <c r="S1" s="179"/>
      <c r="T1" s="179"/>
      <c r="U1" s="179"/>
      <c r="V1" s="180"/>
      <c r="W1" s="181"/>
      <c r="X1" s="181"/>
      <c r="Y1" s="181"/>
      <c r="Z1" s="181"/>
      <c r="AA1" s="181"/>
      <c r="AB1" s="182"/>
      <c r="AC1" s="183"/>
      <c r="AD1" s="183"/>
      <c r="AE1" s="183"/>
      <c r="AF1" s="183"/>
      <c r="AG1" s="183"/>
      <c r="AH1" s="184"/>
      <c r="AI1" s="185"/>
      <c r="AJ1" s="185"/>
      <c r="AK1" s="185"/>
      <c r="AL1" s="185"/>
      <c r="AM1" s="185"/>
      <c r="AN1" s="186"/>
      <c r="AO1" s="187"/>
      <c r="AP1" s="187"/>
      <c r="AQ1" s="187"/>
      <c r="AR1" s="188"/>
      <c r="AS1" s="189"/>
      <c r="AT1" s="190"/>
      <c r="AU1" s="191"/>
      <c r="AV1" s="190"/>
      <c r="AW1" s="181"/>
      <c r="AX1" s="192"/>
      <c r="AY1" s="181"/>
      <c r="AZ1" s="192"/>
      <c r="BA1" s="182"/>
      <c r="BB1" s="190"/>
      <c r="BC1" s="193"/>
      <c r="BD1" s="192"/>
      <c r="BE1" s="182"/>
      <c r="BF1" s="171"/>
      <c r="BG1" s="194"/>
      <c r="BH1" s="195"/>
      <c r="BI1" s="194"/>
      <c r="BJ1" s="194"/>
      <c r="BK1" s="194"/>
      <c r="BL1" s="194"/>
      <c r="BM1" s="171"/>
      <c r="BN1" s="172"/>
      <c r="BO1" s="194"/>
      <c r="BP1" s="194"/>
      <c r="BQ1" s="194"/>
      <c r="BR1" s="172"/>
      <c r="BS1" s="194"/>
      <c r="BT1" s="171"/>
    </row>
    <row r="2" spans="1:72" ht="70" x14ac:dyDescent="0.15">
      <c r="A2" s="171" t="s">
        <v>138</v>
      </c>
      <c r="B2" s="171" t="s">
        <v>139</v>
      </c>
      <c r="C2" s="172" t="s">
        <v>140</v>
      </c>
      <c r="D2" s="173" t="s">
        <v>141</v>
      </c>
      <c r="E2" s="171" t="s">
        <v>70</v>
      </c>
      <c r="F2" s="172" t="s">
        <v>71</v>
      </c>
      <c r="G2" s="173" t="s">
        <v>143</v>
      </c>
      <c r="H2" s="174" t="s">
        <v>144</v>
      </c>
      <c r="I2" s="175" t="s">
        <v>345</v>
      </c>
      <c r="J2" s="176" t="s">
        <v>346</v>
      </c>
      <c r="K2" s="177" t="s">
        <v>145</v>
      </c>
      <c r="L2" s="177" t="s">
        <v>146</v>
      </c>
      <c r="M2" s="177" t="s">
        <v>147</v>
      </c>
      <c r="N2" s="177" t="s">
        <v>148</v>
      </c>
      <c r="O2" s="177" t="s">
        <v>149</v>
      </c>
      <c r="P2" s="178" t="s">
        <v>150</v>
      </c>
      <c r="Q2" s="179" t="s">
        <v>347</v>
      </c>
      <c r="R2" s="179" t="s">
        <v>348</v>
      </c>
      <c r="S2" s="179" t="s">
        <v>349</v>
      </c>
      <c r="T2" s="179" t="s">
        <v>350</v>
      </c>
      <c r="U2" s="179" t="s">
        <v>351</v>
      </c>
      <c r="V2" s="180" t="s">
        <v>352</v>
      </c>
      <c r="W2" s="181" t="s">
        <v>151</v>
      </c>
      <c r="X2" s="181" t="s">
        <v>152</v>
      </c>
      <c r="Y2" s="181" t="s">
        <v>47</v>
      </c>
      <c r="Z2" s="181" t="s">
        <v>48</v>
      </c>
      <c r="AA2" s="181" t="s">
        <v>49</v>
      </c>
      <c r="AB2" s="182" t="s">
        <v>50</v>
      </c>
      <c r="AC2" s="183" t="s">
        <v>51</v>
      </c>
      <c r="AD2" s="183" t="s">
        <v>77</v>
      </c>
      <c r="AE2" s="183" t="s">
        <v>78</v>
      </c>
      <c r="AF2" s="183" t="s">
        <v>52</v>
      </c>
      <c r="AG2" s="183" t="s">
        <v>53</v>
      </c>
      <c r="AH2" s="184" t="s">
        <v>54</v>
      </c>
      <c r="AI2" s="185" t="s">
        <v>55</v>
      </c>
      <c r="AJ2" s="185" t="s">
        <v>56</v>
      </c>
      <c r="AK2" s="185" t="s">
        <v>57</v>
      </c>
      <c r="AL2" s="185" t="s">
        <v>58</v>
      </c>
      <c r="AM2" s="185" t="s">
        <v>125</v>
      </c>
      <c r="AN2" s="186" t="s">
        <v>126</v>
      </c>
      <c r="AO2" s="187" t="s">
        <v>127</v>
      </c>
      <c r="AP2" s="187" t="s">
        <v>128</v>
      </c>
      <c r="AQ2" s="187" t="s">
        <v>129</v>
      </c>
      <c r="AR2" s="188" t="s">
        <v>130</v>
      </c>
      <c r="AS2" s="189" t="s">
        <v>306</v>
      </c>
      <c r="AT2" s="190" t="s">
        <v>13</v>
      </c>
      <c r="AU2" s="191" t="s">
        <v>14</v>
      </c>
      <c r="AV2" s="190" t="s">
        <v>15</v>
      </c>
      <c r="AW2" s="181" t="s">
        <v>16</v>
      </c>
      <c r="AX2" s="192" t="s">
        <v>134</v>
      </c>
      <c r="AY2" s="181" t="s">
        <v>135</v>
      </c>
      <c r="AZ2" s="192" t="s">
        <v>105</v>
      </c>
      <c r="BA2" s="182" t="s">
        <v>106</v>
      </c>
      <c r="BB2" s="190" t="s">
        <v>307</v>
      </c>
      <c r="BC2" s="193" t="s">
        <v>308</v>
      </c>
      <c r="BD2" s="192" t="s">
        <v>107</v>
      </c>
      <c r="BE2" s="182" t="s">
        <v>108</v>
      </c>
      <c r="BF2" s="171" t="s">
        <v>110</v>
      </c>
      <c r="BG2" s="194" t="s">
        <v>111</v>
      </c>
      <c r="BH2" s="195" t="s">
        <v>112</v>
      </c>
      <c r="BI2" s="194" t="s">
        <v>113</v>
      </c>
      <c r="BJ2" s="194" t="s">
        <v>309</v>
      </c>
      <c r="BK2" s="194" t="s">
        <v>310</v>
      </c>
      <c r="BL2" s="194" t="s">
        <v>311</v>
      </c>
      <c r="BM2" s="171" t="s">
        <v>114</v>
      </c>
      <c r="BN2" s="172" t="s">
        <v>115</v>
      </c>
      <c r="BO2" s="194" t="s">
        <v>116</v>
      </c>
      <c r="BP2" s="194" t="s">
        <v>98</v>
      </c>
      <c r="BQ2" s="194" t="s">
        <v>353</v>
      </c>
      <c r="BR2" s="172" t="s">
        <v>117</v>
      </c>
      <c r="BS2" s="194" t="s">
        <v>118</v>
      </c>
      <c r="BT2" s="171" t="s">
        <v>119</v>
      </c>
    </row>
    <row r="3" spans="1:72" customFormat="1" ht="13" customHeight="1" x14ac:dyDescent="0.15">
      <c r="A3" s="313">
        <v>3516</v>
      </c>
      <c r="B3" s="314">
        <v>43292</v>
      </c>
      <c r="C3" s="315" t="s">
        <v>401</v>
      </c>
      <c r="D3" s="313" t="s">
        <v>386</v>
      </c>
      <c r="E3" s="316">
        <v>43284</v>
      </c>
      <c r="F3" s="315" t="s">
        <v>402</v>
      </c>
      <c r="G3" s="313" t="s">
        <v>403</v>
      </c>
      <c r="H3" s="317">
        <v>74.72727272727272</v>
      </c>
      <c r="I3" s="318"/>
      <c r="J3" s="318"/>
      <c r="K3" s="319" t="s">
        <v>363</v>
      </c>
      <c r="L3" s="320">
        <v>6600</v>
      </c>
      <c r="M3" s="320"/>
      <c r="N3" s="313"/>
      <c r="O3" s="313"/>
      <c r="P3" s="313"/>
      <c r="Q3" s="313"/>
      <c r="R3" s="313"/>
      <c r="S3" s="313"/>
      <c r="T3" s="313"/>
      <c r="U3" s="313"/>
      <c r="V3" s="313"/>
      <c r="W3" s="317">
        <v>3.9727272727272727</v>
      </c>
      <c r="X3" s="317">
        <v>2.4454545454545453</v>
      </c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318"/>
      <c r="AM3" s="318"/>
      <c r="AN3" s="318"/>
      <c r="AO3" s="321" t="s">
        <v>404</v>
      </c>
      <c r="AP3" s="321"/>
      <c r="AQ3" s="321"/>
      <c r="AR3" s="321"/>
      <c r="AS3" s="313"/>
      <c r="AT3" s="321">
        <v>0</v>
      </c>
      <c r="AU3" s="321">
        <v>0</v>
      </c>
      <c r="AV3" s="321">
        <v>0</v>
      </c>
      <c r="AW3" s="321">
        <v>0</v>
      </c>
      <c r="AX3" s="321">
        <v>0</v>
      </c>
      <c r="AY3" s="321">
        <v>0</v>
      </c>
      <c r="AZ3" s="321">
        <v>0</v>
      </c>
      <c r="BA3" s="321">
        <v>0</v>
      </c>
      <c r="BB3" s="321">
        <v>0</v>
      </c>
      <c r="BC3" s="321">
        <v>0</v>
      </c>
      <c r="BD3" s="321">
        <v>0</v>
      </c>
      <c r="BE3" s="321">
        <v>0</v>
      </c>
      <c r="BF3" s="321"/>
      <c r="BG3" s="321" t="s">
        <v>404</v>
      </c>
      <c r="BH3" s="321">
        <v>12</v>
      </c>
      <c r="BI3" s="321" t="s">
        <v>404</v>
      </c>
      <c r="BJ3" s="321"/>
      <c r="BK3" s="321"/>
      <c r="BL3" s="321"/>
      <c r="BM3" s="322"/>
      <c r="BN3" s="323"/>
      <c r="BO3" s="324"/>
      <c r="BP3" s="321" t="s">
        <v>405</v>
      </c>
      <c r="BQ3" s="321"/>
      <c r="BR3" s="315" t="s">
        <v>406</v>
      </c>
      <c r="BS3" s="315" t="s">
        <v>407</v>
      </c>
      <c r="BT3" s="313" t="s">
        <v>4</v>
      </c>
    </row>
    <row r="4" spans="1:72" customFormat="1" ht="13" customHeight="1" x14ac:dyDescent="0.15">
      <c r="A4" s="313">
        <v>3513</v>
      </c>
      <c r="B4" s="314">
        <v>43292</v>
      </c>
      <c r="C4" s="315" t="s">
        <v>401</v>
      </c>
      <c r="D4" s="313" t="s">
        <v>388</v>
      </c>
      <c r="E4" s="316">
        <v>43281</v>
      </c>
      <c r="F4" s="315" t="s">
        <v>408</v>
      </c>
      <c r="G4" s="313" t="s">
        <v>409</v>
      </c>
      <c r="H4" s="317">
        <v>87.409090909090907</v>
      </c>
      <c r="I4" s="318"/>
      <c r="J4" s="318"/>
      <c r="K4" s="319" t="s">
        <v>363</v>
      </c>
      <c r="L4" s="320">
        <v>1644</v>
      </c>
      <c r="M4" s="320">
        <v>1314</v>
      </c>
      <c r="N4" s="313"/>
      <c r="O4" s="313"/>
      <c r="P4" s="313"/>
      <c r="Q4" s="313"/>
      <c r="R4" s="313"/>
      <c r="S4" s="313"/>
      <c r="T4" s="313"/>
      <c r="U4" s="313"/>
      <c r="V4" s="313"/>
      <c r="W4" s="317">
        <v>4.9454545454545453</v>
      </c>
      <c r="X4" s="317">
        <v>4.1181818181818182</v>
      </c>
      <c r="Y4" s="317">
        <v>2.4727272727272727</v>
      </c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21" t="s">
        <v>404</v>
      </c>
      <c r="AP4" s="321"/>
      <c r="AQ4" s="321"/>
      <c r="AR4" s="321"/>
      <c r="AS4" s="313"/>
      <c r="AT4" s="321">
        <v>4</v>
      </c>
      <c r="AU4" s="321">
        <v>0</v>
      </c>
      <c r="AV4" s="321">
        <v>0</v>
      </c>
      <c r="AW4" s="321">
        <v>0</v>
      </c>
      <c r="AX4" s="321">
        <v>0</v>
      </c>
      <c r="AY4" s="321">
        <v>0</v>
      </c>
      <c r="AZ4" s="321">
        <v>0</v>
      </c>
      <c r="BA4" s="321">
        <v>0</v>
      </c>
      <c r="BB4" s="321">
        <v>0</v>
      </c>
      <c r="BC4" s="321">
        <v>0</v>
      </c>
      <c r="BD4" s="321">
        <v>0</v>
      </c>
      <c r="BE4" s="321">
        <v>0</v>
      </c>
      <c r="BF4" s="321"/>
      <c r="BG4" s="321" t="s">
        <v>404</v>
      </c>
      <c r="BH4" s="321"/>
      <c r="BI4" s="321" t="s">
        <v>404</v>
      </c>
      <c r="BJ4" s="321"/>
      <c r="BK4" s="321">
        <v>12</v>
      </c>
      <c r="BL4" s="321"/>
      <c r="BM4" s="315" t="s">
        <v>410</v>
      </c>
      <c r="BN4" s="313" t="s">
        <v>68</v>
      </c>
      <c r="BO4" s="321">
        <v>25</v>
      </c>
      <c r="BP4" s="321" t="s">
        <v>405</v>
      </c>
      <c r="BQ4" s="321"/>
      <c r="BR4" s="315" t="s">
        <v>411</v>
      </c>
      <c r="BS4" s="325" t="s">
        <v>412</v>
      </c>
      <c r="BT4" s="313" t="s">
        <v>4</v>
      </c>
    </row>
    <row r="5" spans="1:72" customFormat="1" ht="13" customHeight="1" x14ac:dyDescent="0.15">
      <c r="A5" s="313">
        <v>552</v>
      </c>
      <c r="B5" s="314">
        <v>43292</v>
      </c>
      <c r="C5" s="315" t="s">
        <v>401</v>
      </c>
      <c r="D5" s="313" t="s">
        <v>386</v>
      </c>
      <c r="E5" s="316">
        <v>43281</v>
      </c>
      <c r="F5" s="315" t="s">
        <v>413</v>
      </c>
      <c r="G5" s="313" t="s">
        <v>391</v>
      </c>
      <c r="H5" s="317">
        <v>73.900000000000006</v>
      </c>
      <c r="I5" s="318"/>
      <c r="J5" s="318"/>
      <c r="K5" s="319" t="s">
        <v>363</v>
      </c>
      <c r="L5" s="320">
        <v>2959</v>
      </c>
      <c r="M5" s="320"/>
      <c r="N5" s="313"/>
      <c r="O5" s="313"/>
      <c r="P5" s="313"/>
      <c r="Q5" s="313"/>
      <c r="R5" s="313"/>
      <c r="S5" s="313"/>
      <c r="T5" s="313"/>
      <c r="U5" s="313"/>
      <c r="V5" s="313"/>
      <c r="W5" s="317">
        <v>4.2454545454545451</v>
      </c>
      <c r="X5" s="317">
        <v>2.1727272727272728</v>
      </c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321" t="s">
        <v>404</v>
      </c>
      <c r="AP5" s="321"/>
      <c r="AQ5" s="321"/>
      <c r="AR5" s="321"/>
      <c r="AS5" s="313"/>
      <c r="AT5" s="321">
        <v>0</v>
      </c>
      <c r="AU5" s="321">
        <v>0</v>
      </c>
      <c r="AV5" s="321">
        <v>0</v>
      </c>
      <c r="AW5" s="321">
        <v>0</v>
      </c>
      <c r="AX5" s="321">
        <v>0</v>
      </c>
      <c r="AY5" s="321">
        <v>0</v>
      </c>
      <c r="AZ5" s="321">
        <v>0</v>
      </c>
      <c r="BA5" s="321">
        <v>0</v>
      </c>
      <c r="BB5" s="321">
        <v>0</v>
      </c>
      <c r="BC5" s="321">
        <v>0</v>
      </c>
      <c r="BD5" s="321">
        <v>0</v>
      </c>
      <c r="BE5" s="321">
        <v>0</v>
      </c>
      <c r="BF5" s="321"/>
      <c r="BG5" s="321" t="s">
        <v>404</v>
      </c>
      <c r="BH5" s="321">
        <v>12</v>
      </c>
      <c r="BI5" s="321" t="s">
        <v>404</v>
      </c>
      <c r="BJ5" s="321"/>
      <c r="BK5" s="321"/>
      <c r="BL5" s="321"/>
      <c r="BM5" s="315"/>
      <c r="BN5" s="313"/>
      <c r="BO5" s="326"/>
      <c r="BP5" s="321" t="s">
        <v>405</v>
      </c>
      <c r="BQ5" s="321"/>
      <c r="BR5" s="315"/>
      <c r="BS5" s="325" t="s">
        <v>414</v>
      </c>
      <c r="BT5" s="313" t="s">
        <v>4</v>
      </c>
    </row>
    <row r="6" spans="1:72" customFormat="1" ht="13" customHeight="1" x14ac:dyDescent="0.15">
      <c r="A6" s="313">
        <v>3554</v>
      </c>
      <c r="B6" s="314">
        <v>43292</v>
      </c>
      <c r="C6" s="315" t="s">
        <v>401</v>
      </c>
      <c r="D6" s="313" t="s">
        <v>388</v>
      </c>
      <c r="E6" s="327">
        <v>43281</v>
      </c>
      <c r="F6" s="315" t="s">
        <v>415</v>
      </c>
      <c r="G6" s="313" t="s">
        <v>336</v>
      </c>
      <c r="H6" s="317">
        <v>58.72727272727272</v>
      </c>
      <c r="I6" s="318"/>
      <c r="J6" s="318"/>
      <c r="K6" s="319" t="s">
        <v>363</v>
      </c>
      <c r="L6" s="320">
        <v>1620</v>
      </c>
      <c r="M6" s="320">
        <v>1320</v>
      </c>
      <c r="N6" s="313"/>
      <c r="O6" s="313"/>
      <c r="P6" s="313"/>
      <c r="Q6" s="313"/>
      <c r="R6" s="313"/>
      <c r="S6" s="313"/>
      <c r="T6" s="313"/>
      <c r="U6" s="313"/>
      <c r="V6" s="313"/>
      <c r="W6" s="317">
        <v>6.5727272727272723</v>
      </c>
      <c r="X6" s="317">
        <v>4.0727272727272732</v>
      </c>
      <c r="Y6" s="317">
        <v>2.5363636363636362</v>
      </c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21" t="s">
        <v>404</v>
      </c>
      <c r="AP6" s="321"/>
      <c r="AQ6" s="321"/>
      <c r="AR6" s="321"/>
      <c r="AS6" s="313"/>
      <c r="AT6" s="321">
        <v>0</v>
      </c>
      <c r="AU6" s="321">
        <v>0</v>
      </c>
      <c r="AV6" s="321">
        <v>0</v>
      </c>
      <c r="AW6" s="321">
        <v>0</v>
      </c>
      <c r="AX6" s="321">
        <v>0</v>
      </c>
      <c r="AY6" s="321">
        <v>0</v>
      </c>
      <c r="AZ6" s="321">
        <v>0</v>
      </c>
      <c r="BA6" s="321">
        <v>0</v>
      </c>
      <c r="BB6" s="321">
        <v>0</v>
      </c>
      <c r="BC6" s="321">
        <v>0</v>
      </c>
      <c r="BD6" s="321">
        <v>0</v>
      </c>
      <c r="BE6" s="321">
        <v>0</v>
      </c>
      <c r="BF6" s="321"/>
      <c r="BG6" s="321" t="s">
        <v>327</v>
      </c>
      <c r="BH6" s="321"/>
      <c r="BI6" s="321" t="s">
        <v>404</v>
      </c>
      <c r="BJ6" s="321"/>
      <c r="BK6" s="321"/>
      <c r="BL6" s="321"/>
      <c r="BM6" s="315"/>
      <c r="BN6" s="313"/>
      <c r="BO6" s="321"/>
      <c r="BP6" s="321" t="s">
        <v>405</v>
      </c>
      <c r="BQ6" s="321"/>
      <c r="BR6" s="315"/>
      <c r="BS6" s="328" t="s">
        <v>416</v>
      </c>
      <c r="BT6" s="313" t="s">
        <v>30</v>
      </c>
    </row>
    <row r="7" spans="1:72" customFormat="1" ht="13" customHeight="1" x14ac:dyDescent="0.15">
      <c r="A7" s="313">
        <v>2377</v>
      </c>
      <c r="B7" s="314">
        <v>43292</v>
      </c>
      <c r="C7" s="315" t="s">
        <v>401</v>
      </c>
      <c r="D7" s="313" t="s">
        <v>388</v>
      </c>
      <c r="E7" s="327">
        <v>43281</v>
      </c>
      <c r="F7" s="315" t="s">
        <v>417</v>
      </c>
      <c r="G7" s="313" t="s">
        <v>371</v>
      </c>
      <c r="H7" s="317">
        <v>67.999999999999986</v>
      </c>
      <c r="I7" s="318"/>
      <c r="J7" s="318"/>
      <c r="K7" s="319" t="s">
        <v>363</v>
      </c>
      <c r="L7" s="320">
        <v>2959</v>
      </c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17">
        <v>3.7</v>
      </c>
      <c r="X7" s="317">
        <v>1.7999999999999998</v>
      </c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21" t="s">
        <v>404</v>
      </c>
      <c r="AP7" s="313"/>
      <c r="AQ7" s="313"/>
      <c r="AR7" s="313"/>
      <c r="AS7" s="313"/>
      <c r="AT7" s="321">
        <v>0</v>
      </c>
      <c r="AU7" s="321">
        <v>0</v>
      </c>
      <c r="AV7" s="321">
        <v>0</v>
      </c>
      <c r="AW7" s="321">
        <v>0</v>
      </c>
      <c r="AX7" s="321">
        <v>0</v>
      </c>
      <c r="AY7" s="321">
        <v>0</v>
      </c>
      <c r="AZ7" s="321">
        <v>0</v>
      </c>
      <c r="BA7" s="321">
        <v>0</v>
      </c>
      <c r="BB7" s="321">
        <v>0</v>
      </c>
      <c r="BC7" s="321">
        <v>0</v>
      </c>
      <c r="BD7" s="321">
        <v>0</v>
      </c>
      <c r="BE7" s="321">
        <v>0</v>
      </c>
      <c r="BF7" s="321"/>
      <c r="BG7" s="321" t="s">
        <v>404</v>
      </c>
      <c r="BH7" s="321"/>
      <c r="BI7" s="321" t="s">
        <v>404</v>
      </c>
      <c r="BJ7" s="321"/>
      <c r="BK7" s="321"/>
      <c r="BL7" s="321"/>
      <c r="BM7" s="315"/>
      <c r="BN7" s="313"/>
      <c r="BO7" s="321"/>
      <c r="BP7" s="321" t="s">
        <v>405</v>
      </c>
      <c r="BQ7" s="321"/>
      <c r="BR7" s="315"/>
      <c r="BS7" s="328" t="s">
        <v>418</v>
      </c>
      <c r="BT7" s="313" t="s">
        <v>4</v>
      </c>
    </row>
    <row r="8" spans="1:72" customFormat="1" ht="13" customHeight="1" x14ac:dyDescent="0.15">
      <c r="A8" s="313">
        <v>2482</v>
      </c>
      <c r="B8" s="314">
        <v>43292</v>
      </c>
      <c r="C8" s="315" t="s">
        <v>401</v>
      </c>
      <c r="D8" s="313" t="s">
        <v>388</v>
      </c>
      <c r="E8" s="316">
        <v>43281</v>
      </c>
      <c r="F8" s="315" t="s">
        <v>335</v>
      </c>
      <c r="G8" s="313" t="s">
        <v>394</v>
      </c>
      <c r="H8" s="317">
        <v>74</v>
      </c>
      <c r="I8" s="318"/>
      <c r="J8" s="318"/>
      <c r="K8" s="319" t="s">
        <v>363</v>
      </c>
      <c r="L8" s="320">
        <v>2959</v>
      </c>
      <c r="M8" s="320"/>
      <c r="N8" s="313"/>
      <c r="O8" s="313"/>
      <c r="P8" s="313"/>
      <c r="Q8" s="313"/>
      <c r="R8" s="313"/>
      <c r="S8" s="313"/>
      <c r="T8" s="313"/>
      <c r="U8" s="313"/>
      <c r="V8" s="313"/>
      <c r="W8" s="317">
        <v>3.4909090909090903</v>
      </c>
      <c r="X8" s="317">
        <v>1.8727272727272726</v>
      </c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18"/>
      <c r="AK8" s="318"/>
      <c r="AL8" s="318"/>
      <c r="AM8" s="318"/>
      <c r="AN8" s="318"/>
      <c r="AO8" s="321" t="s">
        <v>404</v>
      </c>
      <c r="AP8" s="321"/>
      <c r="AQ8" s="321"/>
      <c r="AR8" s="321"/>
      <c r="AS8" s="313"/>
      <c r="AT8" s="321">
        <v>0</v>
      </c>
      <c r="AU8" s="321">
        <v>0</v>
      </c>
      <c r="AV8" s="321">
        <v>0</v>
      </c>
      <c r="AW8" s="321">
        <v>0</v>
      </c>
      <c r="AX8" s="321">
        <v>0</v>
      </c>
      <c r="AY8" s="321">
        <v>0</v>
      </c>
      <c r="AZ8" s="321">
        <v>0</v>
      </c>
      <c r="BA8" s="321">
        <v>0</v>
      </c>
      <c r="BB8" s="321">
        <v>0</v>
      </c>
      <c r="BC8" s="321">
        <v>0</v>
      </c>
      <c r="BD8" s="321">
        <v>0</v>
      </c>
      <c r="BE8" s="321">
        <v>0</v>
      </c>
      <c r="BF8" s="321"/>
      <c r="BG8" s="321" t="s">
        <v>404</v>
      </c>
      <c r="BH8" s="321"/>
      <c r="BI8" s="321" t="s">
        <v>404</v>
      </c>
      <c r="BJ8" s="321"/>
      <c r="BK8" s="321"/>
      <c r="BL8" s="321"/>
      <c r="BM8" s="315"/>
      <c r="BN8" s="313"/>
      <c r="BO8" s="321"/>
      <c r="BP8" s="321" t="s">
        <v>330</v>
      </c>
      <c r="BQ8" s="321"/>
      <c r="BR8" s="315"/>
      <c r="BS8" s="235" t="s">
        <v>419</v>
      </c>
      <c r="BT8" s="313" t="s">
        <v>4</v>
      </c>
    </row>
    <row r="9" spans="1:72" customFormat="1" ht="13" customHeight="1" x14ac:dyDescent="0.15">
      <c r="A9" s="313">
        <v>3556</v>
      </c>
      <c r="B9" s="314">
        <v>43292</v>
      </c>
      <c r="C9" s="165" t="s">
        <v>361</v>
      </c>
      <c r="D9" s="313" t="s">
        <v>386</v>
      </c>
      <c r="E9" s="329">
        <v>43266</v>
      </c>
      <c r="F9" s="165" t="s">
        <v>374</v>
      </c>
      <c r="G9" s="313" t="s">
        <v>420</v>
      </c>
      <c r="H9" s="317">
        <v>67.999999999999986</v>
      </c>
      <c r="I9" s="318"/>
      <c r="J9" s="318"/>
      <c r="K9" s="319" t="s">
        <v>363</v>
      </c>
      <c r="L9" s="320">
        <v>3040</v>
      </c>
      <c r="M9" s="320"/>
      <c r="N9" s="320"/>
      <c r="O9" s="320"/>
      <c r="P9" s="313"/>
      <c r="Q9" s="313"/>
      <c r="R9" s="313"/>
      <c r="S9" s="313"/>
      <c r="T9" s="313"/>
      <c r="U9" s="313"/>
      <c r="V9" s="313"/>
      <c r="W9" s="317">
        <v>5.8999999999999995</v>
      </c>
      <c r="X9" s="317">
        <v>3.9</v>
      </c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21" t="s">
        <v>404</v>
      </c>
      <c r="AP9" s="321"/>
      <c r="AQ9" s="321"/>
      <c r="AR9" s="321"/>
      <c r="AS9" s="313"/>
      <c r="AT9" s="321">
        <v>0</v>
      </c>
      <c r="AU9" s="321">
        <v>0</v>
      </c>
      <c r="AV9" s="321">
        <v>0</v>
      </c>
      <c r="AW9" s="321">
        <v>0</v>
      </c>
      <c r="AX9" s="321">
        <v>0</v>
      </c>
      <c r="AY9" s="321">
        <v>0</v>
      </c>
      <c r="AZ9" s="321">
        <v>0</v>
      </c>
      <c r="BA9" s="321">
        <v>0</v>
      </c>
      <c r="BB9" s="321">
        <v>0</v>
      </c>
      <c r="BC9" s="321">
        <v>0</v>
      </c>
      <c r="BD9" s="321">
        <v>0</v>
      </c>
      <c r="BE9" s="321">
        <v>0</v>
      </c>
      <c r="BF9" s="321"/>
      <c r="BG9" s="321" t="s">
        <v>404</v>
      </c>
      <c r="BH9" s="321"/>
      <c r="BI9" s="321" t="s">
        <v>404</v>
      </c>
      <c r="BJ9" s="321"/>
      <c r="BK9" s="321"/>
      <c r="BL9" s="321"/>
      <c r="BM9" s="315"/>
      <c r="BN9" s="313"/>
      <c r="BO9" s="321"/>
      <c r="BP9" s="321" t="s">
        <v>405</v>
      </c>
      <c r="BQ9" s="321">
        <v>1</v>
      </c>
      <c r="BR9" s="315"/>
      <c r="BS9" s="325" t="s">
        <v>421</v>
      </c>
      <c r="BT9" s="313" t="s">
        <v>30</v>
      </c>
    </row>
    <row r="10" spans="1:72" x14ac:dyDescent="0.15">
      <c r="A10" s="197">
        <v>2131</v>
      </c>
      <c r="B10" s="234">
        <v>42566</v>
      </c>
      <c r="C10" s="198" t="s">
        <v>361</v>
      </c>
      <c r="D10" s="199" t="s">
        <v>89</v>
      </c>
      <c r="E10" s="316">
        <v>43281</v>
      </c>
      <c r="F10" s="315" t="s">
        <v>413</v>
      </c>
      <c r="G10" s="313" t="s">
        <v>391</v>
      </c>
      <c r="H10" s="317">
        <v>73.900000000000006</v>
      </c>
      <c r="I10" s="318"/>
      <c r="J10" s="318"/>
      <c r="K10" s="319" t="s">
        <v>363</v>
      </c>
      <c r="L10" s="320">
        <v>2959</v>
      </c>
      <c r="M10" s="320"/>
      <c r="N10" s="313"/>
      <c r="O10" s="313"/>
      <c r="P10" s="313"/>
      <c r="Q10" s="313"/>
      <c r="R10" s="313"/>
      <c r="S10" s="313"/>
      <c r="T10" s="313"/>
      <c r="U10" s="313"/>
      <c r="V10" s="313"/>
      <c r="W10" s="317">
        <v>4.2454545454545451</v>
      </c>
      <c r="X10" s="317">
        <v>2.1727272727272728</v>
      </c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21" t="s">
        <v>404</v>
      </c>
      <c r="AP10" s="321"/>
      <c r="AQ10" s="321"/>
      <c r="AR10" s="321"/>
      <c r="AS10" s="313"/>
      <c r="AT10" s="321">
        <v>0</v>
      </c>
      <c r="AU10" s="321">
        <v>0</v>
      </c>
      <c r="AV10" s="321">
        <v>0</v>
      </c>
      <c r="AW10" s="321">
        <v>0</v>
      </c>
      <c r="AX10" s="321">
        <v>0</v>
      </c>
      <c r="AY10" s="321">
        <v>0</v>
      </c>
      <c r="AZ10" s="321">
        <v>0</v>
      </c>
      <c r="BA10" s="321">
        <v>0</v>
      </c>
      <c r="BB10" s="321">
        <v>0</v>
      </c>
      <c r="BC10" s="321">
        <v>0</v>
      </c>
      <c r="BD10" s="321">
        <v>0</v>
      </c>
      <c r="BE10" s="321">
        <v>0</v>
      </c>
      <c r="BF10" s="321"/>
      <c r="BG10" s="321" t="s">
        <v>404</v>
      </c>
      <c r="BH10" s="321">
        <v>12</v>
      </c>
      <c r="BI10" s="321" t="s">
        <v>404</v>
      </c>
      <c r="BJ10" s="321"/>
      <c r="BK10" s="321"/>
      <c r="BL10" s="321"/>
      <c r="BM10" s="315"/>
      <c r="BN10" s="313"/>
      <c r="BO10" s="326"/>
      <c r="BP10" s="321" t="s">
        <v>405</v>
      </c>
      <c r="BQ10" s="321"/>
      <c r="BR10" s="315"/>
      <c r="BS10" s="72" t="s">
        <v>392</v>
      </c>
      <c r="BT10" s="72" t="s">
        <v>4</v>
      </c>
    </row>
    <row r="11" spans="1:72" x14ac:dyDescent="0.15">
      <c r="A11" s="197">
        <v>2131</v>
      </c>
      <c r="B11" s="234">
        <v>42566</v>
      </c>
      <c r="C11" s="198" t="s">
        <v>34</v>
      </c>
      <c r="D11" s="199" t="s">
        <v>35</v>
      </c>
      <c r="E11" s="316">
        <v>43281</v>
      </c>
      <c r="F11" s="315" t="s">
        <v>413</v>
      </c>
      <c r="G11" s="313" t="s">
        <v>391</v>
      </c>
      <c r="H11" s="317">
        <v>73.900000000000006</v>
      </c>
      <c r="I11" s="318"/>
      <c r="J11" s="318"/>
      <c r="K11" s="319" t="s">
        <v>363</v>
      </c>
      <c r="L11" s="320">
        <v>2959</v>
      </c>
      <c r="M11" s="320"/>
      <c r="N11" s="313"/>
      <c r="O11" s="313"/>
      <c r="P11" s="313"/>
      <c r="Q11" s="313"/>
      <c r="R11" s="313"/>
      <c r="S11" s="313"/>
      <c r="T11" s="313"/>
      <c r="U11" s="313"/>
      <c r="V11" s="313"/>
      <c r="W11" s="317">
        <v>4.2454545454545451</v>
      </c>
      <c r="X11" s="317">
        <v>2.1727272727272728</v>
      </c>
      <c r="Y11" s="318"/>
      <c r="Z11" s="318"/>
      <c r="AA11" s="318"/>
      <c r="AB11" s="318"/>
      <c r="AC11" s="318"/>
      <c r="AD11" s="318"/>
      <c r="AE11" s="318"/>
      <c r="AF11" s="318"/>
      <c r="AG11" s="318"/>
      <c r="AH11" s="318"/>
      <c r="AI11" s="318"/>
      <c r="AJ11" s="318"/>
      <c r="AK11" s="318"/>
      <c r="AL11" s="318"/>
      <c r="AM11" s="318"/>
      <c r="AN11" s="318"/>
      <c r="AO11" s="321" t="s">
        <v>404</v>
      </c>
      <c r="AP11" s="321"/>
      <c r="AQ11" s="321"/>
      <c r="AR11" s="321"/>
      <c r="AS11" s="313"/>
      <c r="AT11" s="321">
        <v>0</v>
      </c>
      <c r="AU11" s="321">
        <v>0</v>
      </c>
      <c r="AV11" s="321">
        <v>0</v>
      </c>
      <c r="AW11" s="321">
        <v>0</v>
      </c>
      <c r="AX11" s="321">
        <v>0</v>
      </c>
      <c r="AY11" s="321">
        <v>0</v>
      </c>
      <c r="AZ11" s="321">
        <v>0</v>
      </c>
      <c r="BA11" s="321">
        <v>0</v>
      </c>
      <c r="BB11" s="321">
        <v>0</v>
      </c>
      <c r="BC11" s="321">
        <v>0</v>
      </c>
      <c r="BD11" s="321">
        <v>0</v>
      </c>
      <c r="BE11" s="321">
        <v>0</v>
      </c>
      <c r="BF11" s="321"/>
      <c r="BG11" s="321" t="s">
        <v>404</v>
      </c>
      <c r="BH11" s="321">
        <v>12</v>
      </c>
      <c r="BI11" s="321" t="s">
        <v>404</v>
      </c>
      <c r="BJ11" s="321"/>
      <c r="BK11" s="321"/>
      <c r="BL11" s="321"/>
      <c r="BM11" s="315"/>
      <c r="BN11" s="313"/>
      <c r="BO11" s="326"/>
      <c r="BP11" s="321" t="s">
        <v>405</v>
      </c>
      <c r="BQ11" s="321"/>
      <c r="BR11" s="315"/>
      <c r="BS11" s="72" t="s">
        <v>392</v>
      </c>
      <c r="BT11" s="72" t="s">
        <v>4</v>
      </c>
    </row>
    <row r="12" spans="1:72" x14ac:dyDescent="0.15">
      <c r="A12" s="197">
        <v>2131</v>
      </c>
      <c r="B12" s="234">
        <v>42566</v>
      </c>
      <c r="C12" s="198" t="s">
        <v>34</v>
      </c>
      <c r="D12" s="199" t="s">
        <v>41</v>
      </c>
      <c r="E12" s="316">
        <v>43281</v>
      </c>
      <c r="F12" s="315" t="s">
        <v>413</v>
      </c>
      <c r="G12" s="313" t="s">
        <v>391</v>
      </c>
      <c r="H12" s="317">
        <v>73.900000000000006</v>
      </c>
      <c r="I12" s="318"/>
      <c r="J12" s="318"/>
      <c r="K12" s="319" t="s">
        <v>363</v>
      </c>
      <c r="L12" s="320">
        <v>2959</v>
      </c>
      <c r="M12" s="320"/>
      <c r="N12" s="313"/>
      <c r="O12" s="313"/>
      <c r="P12" s="313"/>
      <c r="Q12" s="313"/>
      <c r="R12" s="313"/>
      <c r="S12" s="313"/>
      <c r="T12" s="313"/>
      <c r="U12" s="313"/>
      <c r="V12" s="313"/>
      <c r="W12" s="317">
        <v>4.2454545454545451</v>
      </c>
      <c r="X12" s="317">
        <v>2.1727272727272728</v>
      </c>
      <c r="Y12" s="318"/>
      <c r="Z12" s="318"/>
      <c r="AA12" s="318"/>
      <c r="AB12" s="318"/>
      <c r="AC12" s="318"/>
      <c r="AD12" s="318"/>
      <c r="AE12" s="318"/>
      <c r="AF12" s="318"/>
      <c r="AG12" s="318"/>
      <c r="AH12" s="318"/>
      <c r="AI12" s="318"/>
      <c r="AJ12" s="318"/>
      <c r="AK12" s="318"/>
      <c r="AL12" s="318"/>
      <c r="AM12" s="318"/>
      <c r="AN12" s="318"/>
      <c r="AO12" s="321" t="s">
        <v>404</v>
      </c>
      <c r="AP12" s="321"/>
      <c r="AQ12" s="321"/>
      <c r="AR12" s="321"/>
      <c r="AS12" s="313"/>
      <c r="AT12" s="321">
        <v>0</v>
      </c>
      <c r="AU12" s="321">
        <v>0</v>
      </c>
      <c r="AV12" s="321">
        <v>0</v>
      </c>
      <c r="AW12" s="321">
        <v>0</v>
      </c>
      <c r="AX12" s="321">
        <v>0</v>
      </c>
      <c r="AY12" s="321">
        <v>0</v>
      </c>
      <c r="AZ12" s="321">
        <v>0</v>
      </c>
      <c r="BA12" s="321">
        <v>0</v>
      </c>
      <c r="BB12" s="321">
        <v>0</v>
      </c>
      <c r="BC12" s="321">
        <v>0</v>
      </c>
      <c r="BD12" s="321">
        <v>0</v>
      </c>
      <c r="BE12" s="321">
        <v>0</v>
      </c>
      <c r="BF12" s="321"/>
      <c r="BG12" s="321" t="s">
        <v>404</v>
      </c>
      <c r="BH12" s="321">
        <v>12</v>
      </c>
      <c r="BI12" s="321" t="s">
        <v>404</v>
      </c>
      <c r="BJ12" s="321"/>
      <c r="BK12" s="321"/>
      <c r="BL12" s="321"/>
      <c r="BM12" s="315"/>
      <c r="BN12" s="313"/>
      <c r="BO12" s="326"/>
      <c r="BP12" s="321" t="s">
        <v>405</v>
      </c>
      <c r="BQ12" s="321"/>
      <c r="BR12" s="315"/>
      <c r="BS12" s="72" t="s">
        <v>392</v>
      </c>
      <c r="BT12" s="72" t="s">
        <v>4</v>
      </c>
    </row>
    <row r="13" spans="1:72" x14ac:dyDescent="0.15">
      <c r="A13" s="197">
        <v>2131</v>
      </c>
      <c r="B13" s="234">
        <v>42566</v>
      </c>
      <c r="C13" s="198" t="s">
        <v>34</v>
      </c>
      <c r="D13" s="199" t="s">
        <v>42</v>
      </c>
      <c r="E13" s="316">
        <v>43281</v>
      </c>
      <c r="F13" s="315" t="s">
        <v>413</v>
      </c>
      <c r="G13" s="313" t="s">
        <v>391</v>
      </c>
      <c r="H13" s="317">
        <v>73.900000000000006</v>
      </c>
      <c r="I13" s="318"/>
      <c r="J13" s="318"/>
      <c r="K13" s="319" t="s">
        <v>363</v>
      </c>
      <c r="L13" s="320">
        <v>2959</v>
      </c>
      <c r="M13" s="320"/>
      <c r="N13" s="313"/>
      <c r="O13" s="313"/>
      <c r="P13" s="313"/>
      <c r="Q13" s="313"/>
      <c r="R13" s="313"/>
      <c r="S13" s="313"/>
      <c r="T13" s="313"/>
      <c r="U13" s="313"/>
      <c r="V13" s="313"/>
      <c r="W13" s="317">
        <v>4.2454545454545451</v>
      </c>
      <c r="X13" s="317">
        <v>2.1727272727272728</v>
      </c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318"/>
      <c r="AN13" s="318"/>
      <c r="AO13" s="321" t="s">
        <v>404</v>
      </c>
      <c r="AP13" s="321"/>
      <c r="AQ13" s="321"/>
      <c r="AR13" s="321"/>
      <c r="AS13" s="313"/>
      <c r="AT13" s="321">
        <v>0</v>
      </c>
      <c r="AU13" s="321">
        <v>0</v>
      </c>
      <c r="AV13" s="321">
        <v>0</v>
      </c>
      <c r="AW13" s="321">
        <v>0</v>
      </c>
      <c r="AX13" s="321">
        <v>0</v>
      </c>
      <c r="AY13" s="321">
        <v>0</v>
      </c>
      <c r="AZ13" s="321">
        <v>0</v>
      </c>
      <c r="BA13" s="321">
        <v>0</v>
      </c>
      <c r="BB13" s="321">
        <v>0</v>
      </c>
      <c r="BC13" s="321">
        <v>0</v>
      </c>
      <c r="BD13" s="321">
        <v>0</v>
      </c>
      <c r="BE13" s="321">
        <v>0</v>
      </c>
      <c r="BF13" s="321"/>
      <c r="BG13" s="321" t="s">
        <v>404</v>
      </c>
      <c r="BH13" s="321">
        <v>12</v>
      </c>
      <c r="BI13" s="321" t="s">
        <v>404</v>
      </c>
      <c r="BJ13" s="321"/>
      <c r="BK13" s="321"/>
      <c r="BL13" s="321"/>
      <c r="BM13" s="315"/>
      <c r="BN13" s="313"/>
      <c r="BO13" s="326"/>
      <c r="BP13" s="321" t="s">
        <v>405</v>
      </c>
      <c r="BQ13" s="321"/>
      <c r="BR13" s="315"/>
      <c r="BS13" s="72" t="s">
        <v>392</v>
      </c>
      <c r="BT13" s="72" t="s">
        <v>4</v>
      </c>
    </row>
    <row r="16" spans="1:72" x14ac:dyDescent="0.15">
      <c r="H16" s="330"/>
    </row>
    <row r="17" spans="4:25" x14ac:dyDescent="0.15"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</row>
    <row r="18" spans="4:25" x14ac:dyDescent="0.15"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</row>
    <row r="20" spans="4:25" x14ac:dyDescent="0.15">
      <c r="D20"/>
    </row>
    <row r="21" spans="4:25" x14ac:dyDescent="0.15">
      <c r="D21"/>
      <c r="L21"/>
    </row>
    <row r="22" spans="4:25" x14ac:dyDescent="0.15">
      <c r="D22"/>
    </row>
    <row r="23" spans="4:25" x14ac:dyDescent="0.15">
      <c r="D23"/>
    </row>
    <row r="24" spans="4:25" x14ac:dyDescent="0.15">
      <c r="D24"/>
    </row>
    <row r="25" spans="4:25" x14ac:dyDescent="0.15">
      <c r="D25"/>
    </row>
    <row r="26" spans="4:25" x14ac:dyDescent="0.15">
      <c r="D26"/>
    </row>
    <row r="27" spans="4:25" x14ac:dyDescent="0.15">
      <c r="D27"/>
    </row>
    <row r="28" spans="4:25" x14ac:dyDescent="0.15">
      <c r="D28"/>
    </row>
    <row r="29" spans="4:25" x14ac:dyDescent="0.15">
      <c r="D29"/>
    </row>
    <row r="30" spans="4:25" x14ac:dyDescent="0.15">
      <c r="D30"/>
    </row>
    <row r="31" spans="4:25" x14ac:dyDescent="0.15">
      <c r="D31"/>
    </row>
  </sheetData>
  <sheetProtection algorithmName="SHA-512" hashValue="Fxc7TYgCBwWv6CxLkuhwrPg0bWHUVoihDre0OYdqC8pr+2mTMrZCduOb8ptxxCmQt3Uoh3oGx35eQORE7bLrpA==" saltValue="l9VvUp9jQ21VIto2qV/TAw==" spinCount="100000" sheet="1" objects="1" scenarios="1"/>
  <mergeCells count="1">
    <mergeCell ref="K1:P1"/>
  </mergeCells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F4DB4-4500-8045-AC34-A9A25A146CA0}">
  <sheetPr codeName="Sheet21"/>
  <dimension ref="A1:BT32"/>
  <sheetViews>
    <sheetView workbookViewId="0">
      <selection activeCell="L9" sqref="L9"/>
    </sheetView>
  </sheetViews>
  <sheetFormatPr baseColWidth="10" defaultRowHeight="13" x14ac:dyDescent="0.15"/>
  <cols>
    <col min="1" max="3" width="10.83203125" style="196"/>
    <col min="4" max="4" width="19" style="196" bestFit="1" customWidth="1"/>
    <col min="5" max="5" width="10.83203125" style="196"/>
    <col min="6" max="6" width="14.1640625" style="196" bestFit="1" customWidth="1"/>
    <col min="7" max="16384" width="10.83203125" style="196"/>
  </cols>
  <sheetData>
    <row r="1" spans="1:72" ht="17" customHeight="1" x14ac:dyDescent="0.15">
      <c r="A1" s="171"/>
      <c r="B1" s="171"/>
      <c r="C1" s="172"/>
      <c r="D1" s="173"/>
      <c r="E1" s="171"/>
      <c r="F1" s="172"/>
      <c r="G1" s="173"/>
      <c r="H1" s="174"/>
      <c r="I1" s="175"/>
      <c r="J1" s="176"/>
      <c r="K1" s="347" t="s">
        <v>354</v>
      </c>
      <c r="L1" s="347"/>
      <c r="M1" s="347"/>
      <c r="N1" s="347"/>
      <c r="O1" s="347"/>
      <c r="P1" s="348"/>
      <c r="Q1" s="179"/>
      <c r="R1" s="179"/>
      <c r="S1" s="179"/>
      <c r="T1" s="179"/>
      <c r="U1" s="179"/>
      <c r="V1" s="180"/>
      <c r="W1" s="181"/>
      <c r="X1" s="181"/>
      <c r="Y1" s="181"/>
      <c r="Z1" s="181"/>
      <c r="AA1" s="181"/>
      <c r="AB1" s="182"/>
      <c r="AC1" s="183"/>
      <c r="AD1" s="183"/>
      <c r="AE1" s="183"/>
      <c r="AF1" s="183"/>
      <c r="AG1" s="183"/>
      <c r="AH1" s="184"/>
      <c r="AI1" s="185"/>
      <c r="AJ1" s="185"/>
      <c r="AK1" s="185"/>
      <c r="AL1" s="185"/>
      <c r="AM1" s="185"/>
      <c r="AN1" s="186"/>
      <c r="AO1" s="187"/>
      <c r="AP1" s="187"/>
      <c r="AQ1" s="187"/>
      <c r="AR1" s="188"/>
      <c r="AS1" s="189"/>
      <c r="AT1" s="190"/>
      <c r="AU1" s="191"/>
      <c r="AV1" s="190"/>
      <c r="AW1" s="181"/>
      <c r="AX1" s="192"/>
      <c r="AY1" s="181"/>
      <c r="AZ1" s="192"/>
      <c r="BA1" s="182"/>
      <c r="BB1" s="190"/>
      <c r="BC1" s="193"/>
      <c r="BD1" s="192"/>
      <c r="BE1" s="182"/>
      <c r="BF1" s="171"/>
      <c r="BG1" s="194"/>
      <c r="BH1" s="195"/>
      <c r="BI1" s="194"/>
      <c r="BJ1" s="194"/>
      <c r="BK1" s="194"/>
      <c r="BL1" s="194"/>
      <c r="BM1" s="171"/>
      <c r="BN1" s="172"/>
      <c r="BO1" s="194"/>
      <c r="BP1" s="194"/>
      <c r="BQ1" s="194"/>
      <c r="BR1" s="172"/>
      <c r="BS1" s="194"/>
      <c r="BT1" s="171"/>
    </row>
    <row r="2" spans="1:72" ht="70" x14ac:dyDescent="0.15">
      <c r="A2" s="171" t="s">
        <v>138</v>
      </c>
      <c r="B2" s="171" t="s">
        <v>139</v>
      </c>
      <c r="C2" s="172" t="s">
        <v>140</v>
      </c>
      <c r="D2" s="173" t="s">
        <v>141</v>
      </c>
      <c r="E2" s="171" t="s">
        <v>70</v>
      </c>
      <c r="F2" s="172" t="s">
        <v>71</v>
      </c>
      <c r="G2" s="173" t="s">
        <v>143</v>
      </c>
      <c r="H2" s="174" t="s">
        <v>144</v>
      </c>
      <c r="I2" s="175" t="s">
        <v>345</v>
      </c>
      <c r="J2" s="176" t="s">
        <v>346</v>
      </c>
      <c r="K2" s="177" t="s">
        <v>145</v>
      </c>
      <c r="L2" s="177" t="s">
        <v>146</v>
      </c>
      <c r="M2" s="177" t="s">
        <v>147</v>
      </c>
      <c r="N2" s="177" t="s">
        <v>148</v>
      </c>
      <c r="O2" s="177" t="s">
        <v>149</v>
      </c>
      <c r="P2" s="178" t="s">
        <v>150</v>
      </c>
      <c r="Q2" s="179" t="s">
        <v>347</v>
      </c>
      <c r="R2" s="179" t="s">
        <v>348</v>
      </c>
      <c r="S2" s="179" t="s">
        <v>349</v>
      </c>
      <c r="T2" s="179" t="s">
        <v>350</v>
      </c>
      <c r="U2" s="179" t="s">
        <v>351</v>
      </c>
      <c r="V2" s="180" t="s">
        <v>352</v>
      </c>
      <c r="W2" s="181" t="s">
        <v>151</v>
      </c>
      <c r="X2" s="181" t="s">
        <v>152</v>
      </c>
      <c r="Y2" s="181" t="s">
        <v>47</v>
      </c>
      <c r="Z2" s="181" t="s">
        <v>48</v>
      </c>
      <c r="AA2" s="181" t="s">
        <v>49</v>
      </c>
      <c r="AB2" s="182" t="s">
        <v>50</v>
      </c>
      <c r="AC2" s="183" t="s">
        <v>51</v>
      </c>
      <c r="AD2" s="183" t="s">
        <v>77</v>
      </c>
      <c r="AE2" s="183" t="s">
        <v>78</v>
      </c>
      <c r="AF2" s="183" t="s">
        <v>52</v>
      </c>
      <c r="AG2" s="183" t="s">
        <v>53</v>
      </c>
      <c r="AH2" s="184" t="s">
        <v>54</v>
      </c>
      <c r="AI2" s="185" t="s">
        <v>55</v>
      </c>
      <c r="AJ2" s="185" t="s">
        <v>56</v>
      </c>
      <c r="AK2" s="185" t="s">
        <v>57</v>
      </c>
      <c r="AL2" s="185" t="s">
        <v>58</v>
      </c>
      <c r="AM2" s="185" t="s">
        <v>125</v>
      </c>
      <c r="AN2" s="186" t="s">
        <v>126</v>
      </c>
      <c r="AO2" s="187" t="s">
        <v>127</v>
      </c>
      <c r="AP2" s="187" t="s">
        <v>128</v>
      </c>
      <c r="AQ2" s="187" t="s">
        <v>129</v>
      </c>
      <c r="AR2" s="188" t="s">
        <v>130</v>
      </c>
      <c r="AS2" s="189" t="s">
        <v>306</v>
      </c>
      <c r="AT2" s="190" t="s">
        <v>13</v>
      </c>
      <c r="AU2" s="191" t="s">
        <v>14</v>
      </c>
      <c r="AV2" s="190" t="s">
        <v>15</v>
      </c>
      <c r="AW2" s="181" t="s">
        <v>16</v>
      </c>
      <c r="AX2" s="192" t="s">
        <v>134</v>
      </c>
      <c r="AY2" s="181" t="s">
        <v>135</v>
      </c>
      <c r="AZ2" s="192" t="s">
        <v>105</v>
      </c>
      <c r="BA2" s="182" t="s">
        <v>106</v>
      </c>
      <c r="BB2" s="190" t="s">
        <v>307</v>
      </c>
      <c r="BC2" s="193" t="s">
        <v>308</v>
      </c>
      <c r="BD2" s="192" t="s">
        <v>107</v>
      </c>
      <c r="BE2" s="182" t="s">
        <v>108</v>
      </c>
      <c r="BF2" s="171" t="s">
        <v>110</v>
      </c>
      <c r="BG2" s="194" t="s">
        <v>111</v>
      </c>
      <c r="BH2" s="195" t="s">
        <v>112</v>
      </c>
      <c r="BI2" s="194" t="s">
        <v>113</v>
      </c>
      <c r="BJ2" s="194" t="s">
        <v>309</v>
      </c>
      <c r="BK2" s="194" t="s">
        <v>310</v>
      </c>
      <c r="BL2" s="194" t="s">
        <v>311</v>
      </c>
      <c r="BM2" s="171" t="s">
        <v>114</v>
      </c>
      <c r="BN2" s="172" t="s">
        <v>115</v>
      </c>
      <c r="BO2" s="194" t="s">
        <v>116</v>
      </c>
      <c r="BP2" s="194" t="s">
        <v>98</v>
      </c>
      <c r="BQ2" s="194" t="s">
        <v>353</v>
      </c>
      <c r="BR2" s="172" t="s">
        <v>117</v>
      </c>
      <c r="BS2" s="194" t="s">
        <v>118</v>
      </c>
      <c r="BT2" s="171" t="s">
        <v>119</v>
      </c>
    </row>
    <row r="3" spans="1:72" x14ac:dyDescent="0.15">
      <c r="A3" s="197">
        <v>3023</v>
      </c>
      <c r="B3" s="73">
        <v>42931</v>
      </c>
      <c r="C3" s="72" t="s">
        <v>361</v>
      </c>
      <c r="D3" s="72" t="s">
        <v>386</v>
      </c>
      <c r="E3" s="73">
        <v>42928</v>
      </c>
      <c r="F3" s="72" t="s">
        <v>213</v>
      </c>
      <c r="G3" s="72" t="s">
        <v>387</v>
      </c>
      <c r="H3" s="163">
        <v>68.099999999999994</v>
      </c>
      <c r="I3" s="163"/>
      <c r="J3" s="163"/>
      <c r="K3" s="72" t="s">
        <v>363</v>
      </c>
      <c r="L3" s="75">
        <v>6575</v>
      </c>
      <c r="M3" s="75"/>
      <c r="N3" s="72"/>
      <c r="O3" s="72"/>
      <c r="P3" s="72"/>
      <c r="Q3" s="72"/>
      <c r="R3" s="72"/>
      <c r="S3" s="72"/>
      <c r="T3" s="72"/>
      <c r="U3" s="72"/>
      <c r="V3" s="72"/>
      <c r="W3" s="163">
        <v>3.8272727272727267</v>
      </c>
      <c r="X3" s="163">
        <v>2.8545454545454545</v>
      </c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72" t="s">
        <v>327</v>
      </c>
      <c r="AP3" s="72"/>
      <c r="AQ3" s="72"/>
      <c r="AR3" s="72"/>
      <c r="AS3" s="72"/>
      <c r="AT3" s="72">
        <v>0</v>
      </c>
      <c r="AU3" s="72">
        <v>0</v>
      </c>
      <c r="AV3" s="72">
        <v>0</v>
      </c>
      <c r="AW3" s="72">
        <v>0</v>
      </c>
      <c r="AX3" s="72">
        <v>0</v>
      </c>
      <c r="AY3" s="72">
        <v>0</v>
      </c>
      <c r="AZ3" s="72">
        <v>0</v>
      </c>
      <c r="BA3" s="72">
        <v>0</v>
      </c>
      <c r="BB3" s="72">
        <v>0</v>
      </c>
      <c r="BC3" s="72">
        <v>0</v>
      </c>
      <c r="BD3" s="72">
        <v>0</v>
      </c>
      <c r="BE3" s="72">
        <v>0</v>
      </c>
      <c r="BF3" s="76"/>
      <c r="BG3" s="76" t="s">
        <v>327</v>
      </c>
      <c r="BH3" s="76"/>
      <c r="BI3" s="76" t="s">
        <v>327</v>
      </c>
      <c r="BJ3" s="76"/>
      <c r="BK3" s="76"/>
      <c r="BL3" s="76"/>
      <c r="BM3" s="72"/>
      <c r="BN3" s="72"/>
      <c r="BO3" s="72"/>
      <c r="BP3" s="76" t="s">
        <v>330</v>
      </c>
      <c r="BQ3" s="76"/>
      <c r="BR3" s="76"/>
      <c r="BS3" s="72" t="s">
        <v>365</v>
      </c>
      <c r="BT3" s="72" t="s">
        <v>30</v>
      </c>
    </row>
    <row r="4" spans="1:72" x14ac:dyDescent="0.15">
      <c r="A4" s="197">
        <v>232</v>
      </c>
      <c r="B4" s="73">
        <v>42932</v>
      </c>
      <c r="C4" s="72" t="s">
        <v>361</v>
      </c>
      <c r="D4" s="72" t="s">
        <v>388</v>
      </c>
      <c r="E4" s="73">
        <v>42916</v>
      </c>
      <c r="F4" s="72" t="s">
        <v>300</v>
      </c>
      <c r="G4" s="72" t="s">
        <v>389</v>
      </c>
      <c r="H4" s="163">
        <v>67.554545454545448</v>
      </c>
      <c r="I4" s="163"/>
      <c r="J4" s="163"/>
      <c r="K4" s="72" t="s">
        <v>363</v>
      </c>
      <c r="L4" s="75">
        <v>3000</v>
      </c>
      <c r="M4" s="72"/>
      <c r="N4" s="72"/>
      <c r="O4" s="72"/>
      <c r="P4" s="72"/>
      <c r="Q4" s="72"/>
      <c r="R4" s="72"/>
      <c r="S4" s="72"/>
      <c r="T4" s="72"/>
      <c r="U4" s="72"/>
      <c r="V4" s="72"/>
      <c r="W4" s="163">
        <v>3.4</v>
      </c>
      <c r="X4" s="163">
        <v>2.6090909090909089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72" t="s">
        <v>327</v>
      </c>
      <c r="AP4" s="72"/>
      <c r="AQ4" s="72"/>
      <c r="AR4" s="72"/>
      <c r="AS4" s="72"/>
      <c r="AT4" s="72">
        <v>0</v>
      </c>
      <c r="AU4" s="72">
        <v>0</v>
      </c>
      <c r="AV4" s="72">
        <v>0</v>
      </c>
      <c r="AW4" s="72">
        <v>0</v>
      </c>
      <c r="AX4" s="72">
        <v>0</v>
      </c>
      <c r="AY4" s="72">
        <v>0</v>
      </c>
      <c r="AZ4" s="72">
        <v>0</v>
      </c>
      <c r="BA4" s="72">
        <v>0</v>
      </c>
      <c r="BB4" s="72">
        <v>0</v>
      </c>
      <c r="BC4" s="72">
        <v>0</v>
      </c>
      <c r="BD4" s="72">
        <v>0</v>
      </c>
      <c r="BE4" s="72">
        <v>0</v>
      </c>
      <c r="BF4" s="76"/>
      <c r="BG4" s="76" t="s">
        <v>327</v>
      </c>
      <c r="BH4" s="76"/>
      <c r="BI4" s="76" t="s">
        <v>327</v>
      </c>
      <c r="BJ4" s="76"/>
      <c r="BK4" s="76"/>
      <c r="BL4" s="76"/>
      <c r="BM4" s="72"/>
      <c r="BN4" s="72"/>
      <c r="BO4" s="72"/>
      <c r="BP4" s="76" t="s">
        <v>330</v>
      </c>
      <c r="BQ4" s="76"/>
      <c r="BR4" s="76"/>
      <c r="BS4" s="72" t="s">
        <v>390</v>
      </c>
      <c r="BT4" s="72" t="s">
        <v>4</v>
      </c>
    </row>
    <row r="5" spans="1:72" x14ac:dyDescent="0.15">
      <c r="A5" s="197">
        <v>2112</v>
      </c>
      <c r="B5" s="73">
        <v>42932</v>
      </c>
      <c r="C5" s="72" t="s">
        <v>361</v>
      </c>
      <c r="D5" s="72" t="s">
        <v>388</v>
      </c>
      <c r="E5" s="73">
        <v>42916</v>
      </c>
      <c r="F5" s="72" t="s">
        <v>301</v>
      </c>
      <c r="G5" s="72" t="s">
        <v>340</v>
      </c>
      <c r="H5" s="163">
        <v>80.499999999999986</v>
      </c>
      <c r="I5" s="163"/>
      <c r="J5" s="163"/>
      <c r="K5" s="72" t="s">
        <v>363</v>
      </c>
      <c r="L5" s="75">
        <v>1644</v>
      </c>
      <c r="M5" s="75">
        <v>1314</v>
      </c>
      <c r="N5" s="72"/>
      <c r="O5" s="72"/>
      <c r="P5" s="72"/>
      <c r="Q5" s="72"/>
      <c r="R5" s="72"/>
      <c r="S5" s="72"/>
      <c r="T5" s="72"/>
      <c r="U5" s="72"/>
      <c r="V5" s="72"/>
      <c r="W5" s="163">
        <v>4.4909090909090912</v>
      </c>
      <c r="X5" s="163">
        <v>3.8818181818181809</v>
      </c>
      <c r="Y5" s="163">
        <v>2.3090909090909091</v>
      </c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72" t="s">
        <v>327</v>
      </c>
      <c r="AP5" s="72"/>
      <c r="AQ5" s="72"/>
      <c r="AR5" s="72"/>
      <c r="AS5" s="72"/>
      <c r="AT5" s="72">
        <v>12</v>
      </c>
      <c r="AU5" s="72">
        <v>0</v>
      </c>
      <c r="AV5" s="72">
        <v>0</v>
      </c>
      <c r="AW5" s="72">
        <v>0</v>
      </c>
      <c r="AX5" s="72">
        <v>0</v>
      </c>
      <c r="AY5" s="72">
        <v>0</v>
      </c>
      <c r="AZ5" s="72">
        <v>0</v>
      </c>
      <c r="BA5" s="72">
        <v>0</v>
      </c>
      <c r="BB5" s="72">
        <v>0</v>
      </c>
      <c r="BC5" s="72">
        <v>0</v>
      </c>
      <c r="BD5" s="72">
        <v>0</v>
      </c>
      <c r="BE5" s="72">
        <v>0</v>
      </c>
      <c r="BF5" s="76"/>
      <c r="BG5" s="76" t="s">
        <v>327</v>
      </c>
      <c r="BH5" s="76">
        <v>12</v>
      </c>
      <c r="BI5" s="76" t="s">
        <v>327</v>
      </c>
      <c r="BJ5" s="76"/>
      <c r="BK5" s="76">
        <v>12</v>
      </c>
      <c r="BL5" s="76"/>
      <c r="BM5" s="72"/>
      <c r="BN5" s="72"/>
      <c r="BO5" s="72"/>
      <c r="BP5" s="76" t="s">
        <v>330</v>
      </c>
      <c r="BQ5" s="76"/>
      <c r="BR5" s="76"/>
      <c r="BS5" s="72" t="s">
        <v>376</v>
      </c>
      <c r="BT5" s="72" t="s">
        <v>4</v>
      </c>
    </row>
    <row r="6" spans="1:72" x14ac:dyDescent="0.15">
      <c r="A6" s="197">
        <v>552</v>
      </c>
      <c r="B6" s="73">
        <v>42932</v>
      </c>
      <c r="C6" s="72" t="s">
        <v>361</v>
      </c>
      <c r="D6" s="72" t="s">
        <v>386</v>
      </c>
      <c r="E6" s="73">
        <v>42916</v>
      </c>
      <c r="F6" s="72" t="s">
        <v>302</v>
      </c>
      <c r="G6" s="72" t="s">
        <v>391</v>
      </c>
      <c r="H6" s="163">
        <v>68.454545454545453</v>
      </c>
      <c r="I6" s="163"/>
      <c r="J6" s="163"/>
      <c r="K6" s="72" t="s">
        <v>363</v>
      </c>
      <c r="L6" s="75">
        <v>2958.9059999999999</v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163">
        <v>3.9363636363636361</v>
      </c>
      <c r="X6" s="163">
        <v>2.0090909090909088</v>
      </c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72" t="s">
        <v>327</v>
      </c>
      <c r="AP6" s="72"/>
      <c r="AQ6" s="72"/>
      <c r="AR6" s="72"/>
      <c r="AS6" s="72"/>
      <c r="AT6" s="72">
        <v>0</v>
      </c>
      <c r="AU6" s="72">
        <v>0</v>
      </c>
      <c r="AV6" s="72">
        <v>0</v>
      </c>
      <c r="AW6" s="72">
        <v>0</v>
      </c>
      <c r="AX6" s="72">
        <v>0</v>
      </c>
      <c r="AY6" s="72">
        <v>0</v>
      </c>
      <c r="AZ6" s="72">
        <v>0</v>
      </c>
      <c r="BA6" s="72">
        <v>0</v>
      </c>
      <c r="BB6" s="72">
        <v>0</v>
      </c>
      <c r="BC6" s="72">
        <v>0</v>
      </c>
      <c r="BD6" s="72">
        <v>0</v>
      </c>
      <c r="BE6" s="72">
        <v>0</v>
      </c>
      <c r="BF6" s="76"/>
      <c r="BG6" s="76" t="s">
        <v>327</v>
      </c>
      <c r="BH6" s="76">
        <v>12</v>
      </c>
      <c r="BI6" s="76" t="s">
        <v>327</v>
      </c>
      <c r="BJ6" s="76"/>
      <c r="BK6" s="76"/>
      <c r="BL6" s="76"/>
      <c r="BM6" s="72"/>
      <c r="BN6" s="72"/>
      <c r="BO6" s="308"/>
      <c r="BP6" s="76" t="s">
        <v>330</v>
      </c>
      <c r="BQ6" s="76"/>
      <c r="BR6" s="76"/>
      <c r="BS6" s="72" t="s">
        <v>392</v>
      </c>
      <c r="BT6" s="72" t="s">
        <v>4</v>
      </c>
    </row>
    <row r="7" spans="1:72" x14ac:dyDescent="0.15">
      <c r="A7" s="197">
        <v>2688</v>
      </c>
      <c r="B7" s="73">
        <v>42932</v>
      </c>
      <c r="C7" s="72" t="s">
        <v>361</v>
      </c>
      <c r="D7" s="72" t="s">
        <v>388</v>
      </c>
      <c r="E7" s="73">
        <v>42930</v>
      </c>
      <c r="F7" s="72" t="s">
        <v>303</v>
      </c>
      <c r="G7" s="72" t="s">
        <v>369</v>
      </c>
      <c r="H7" s="163">
        <v>57.672727272727265</v>
      </c>
      <c r="I7" s="163"/>
      <c r="J7" s="163"/>
      <c r="K7" s="72" t="s">
        <v>363</v>
      </c>
      <c r="L7" s="75">
        <v>1666</v>
      </c>
      <c r="M7" s="72">
        <v>1333</v>
      </c>
      <c r="N7" s="72"/>
      <c r="O7" s="72"/>
      <c r="P7" s="72"/>
      <c r="Q7" s="72"/>
      <c r="R7" s="72"/>
      <c r="S7" s="72"/>
      <c r="T7" s="72"/>
      <c r="U7" s="72"/>
      <c r="V7" s="72"/>
      <c r="W7" s="163">
        <v>4.8636363636363633</v>
      </c>
      <c r="X7" s="163">
        <v>3.0090909090909088</v>
      </c>
      <c r="Y7" s="163">
        <v>1.8818181818181816</v>
      </c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72" t="s">
        <v>327</v>
      </c>
      <c r="AP7" s="72"/>
      <c r="AQ7" s="72"/>
      <c r="AR7" s="72"/>
      <c r="AS7" s="72"/>
      <c r="AT7" s="72">
        <v>10</v>
      </c>
      <c r="AU7" s="72">
        <v>0</v>
      </c>
      <c r="AV7" s="72">
        <v>0</v>
      </c>
      <c r="AW7" s="72">
        <v>0</v>
      </c>
      <c r="AX7" s="72">
        <v>0</v>
      </c>
      <c r="AY7" s="72">
        <v>0</v>
      </c>
      <c r="AZ7" s="72">
        <v>0</v>
      </c>
      <c r="BA7" s="72">
        <v>0</v>
      </c>
      <c r="BB7" s="72">
        <v>0</v>
      </c>
      <c r="BC7" s="72">
        <v>0</v>
      </c>
      <c r="BD7" s="72">
        <v>0</v>
      </c>
      <c r="BE7" s="72">
        <v>0</v>
      </c>
      <c r="BF7" s="76"/>
      <c r="BG7" s="76" t="s">
        <v>327</v>
      </c>
      <c r="BH7" s="76"/>
      <c r="BI7" s="76" t="s">
        <v>327</v>
      </c>
      <c r="BJ7" s="76"/>
      <c r="BK7" s="76"/>
      <c r="BL7" s="76"/>
      <c r="BM7" s="72"/>
      <c r="BN7" s="72"/>
      <c r="BO7" s="72"/>
      <c r="BP7" s="76" t="s">
        <v>330</v>
      </c>
      <c r="BQ7" s="76"/>
      <c r="BR7" s="76"/>
      <c r="BS7" s="72" t="s">
        <v>393</v>
      </c>
      <c r="BT7" s="72" t="s">
        <v>4</v>
      </c>
    </row>
    <row r="8" spans="1:72" x14ac:dyDescent="0.15">
      <c r="A8" s="197">
        <v>2377</v>
      </c>
      <c r="B8" s="73">
        <v>42932</v>
      </c>
      <c r="C8" s="72" t="s">
        <v>361</v>
      </c>
      <c r="D8" s="72" t="s">
        <v>388</v>
      </c>
      <c r="E8" s="73">
        <v>42916</v>
      </c>
      <c r="F8" s="72" t="s">
        <v>304</v>
      </c>
      <c r="G8" s="72" t="s">
        <v>371</v>
      </c>
      <c r="H8" s="163">
        <v>67.999999999999986</v>
      </c>
      <c r="I8" s="163"/>
      <c r="J8" s="163"/>
      <c r="K8" s="72" t="s">
        <v>363</v>
      </c>
      <c r="L8" s="75">
        <v>2958</v>
      </c>
      <c r="M8" s="75"/>
      <c r="N8" s="75"/>
      <c r="O8" s="75"/>
      <c r="P8" s="75"/>
      <c r="Q8" s="75"/>
      <c r="R8" s="75"/>
      <c r="S8" s="75"/>
      <c r="T8" s="75"/>
      <c r="U8" s="75"/>
      <c r="V8" s="75"/>
      <c r="W8" s="163">
        <v>3.7</v>
      </c>
      <c r="X8" s="163">
        <v>1.7999999999999998</v>
      </c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72" t="s">
        <v>327</v>
      </c>
      <c r="AP8" s="72"/>
      <c r="AQ8" s="72"/>
      <c r="AR8" s="72"/>
      <c r="AS8" s="72"/>
      <c r="AT8" s="72">
        <v>0</v>
      </c>
      <c r="AU8" s="72">
        <v>0</v>
      </c>
      <c r="AV8" s="72">
        <v>0</v>
      </c>
      <c r="AW8" s="72">
        <v>0</v>
      </c>
      <c r="AX8" s="72">
        <v>0</v>
      </c>
      <c r="AY8" s="72">
        <v>0</v>
      </c>
      <c r="AZ8" s="72">
        <v>0</v>
      </c>
      <c r="BA8" s="72">
        <v>0</v>
      </c>
      <c r="BB8" s="72">
        <v>0</v>
      </c>
      <c r="BC8" s="72">
        <v>0</v>
      </c>
      <c r="BD8" s="72">
        <v>0</v>
      </c>
      <c r="BE8" s="72">
        <v>0</v>
      </c>
      <c r="BF8" s="76"/>
      <c r="BG8" s="76" t="s">
        <v>327</v>
      </c>
      <c r="BH8" s="76"/>
      <c r="BI8" s="76" t="s">
        <v>327</v>
      </c>
      <c r="BJ8" s="76"/>
      <c r="BK8" s="76"/>
      <c r="BL8" s="76"/>
      <c r="BM8" s="72"/>
      <c r="BN8" s="72"/>
      <c r="BO8" s="72"/>
      <c r="BP8" s="76" t="s">
        <v>330</v>
      </c>
      <c r="BQ8" s="76"/>
      <c r="BR8" s="76"/>
      <c r="BS8" s="72" t="s">
        <v>372</v>
      </c>
      <c r="BT8" s="72" t="s">
        <v>4</v>
      </c>
    </row>
    <row r="9" spans="1:72" x14ac:dyDescent="0.15">
      <c r="A9" s="197">
        <v>2482</v>
      </c>
      <c r="B9" s="73">
        <v>42932</v>
      </c>
      <c r="C9" s="72" t="s">
        <v>361</v>
      </c>
      <c r="D9" s="72" t="s">
        <v>388</v>
      </c>
      <c r="E9" s="73">
        <v>42916</v>
      </c>
      <c r="F9" s="72" t="s">
        <v>335</v>
      </c>
      <c r="G9" s="72" t="s">
        <v>394</v>
      </c>
      <c r="H9" s="163">
        <v>74</v>
      </c>
      <c r="I9" s="163"/>
      <c r="J9" s="163"/>
      <c r="K9" s="72" t="s">
        <v>363</v>
      </c>
      <c r="L9" s="75">
        <v>3000</v>
      </c>
      <c r="M9" s="75"/>
      <c r="N9" s="72"/>
      <c r="O9" s="72"/>
      <c r="P9" s="72"/>
      <c r="Q9" s="72"/>
      <c r="R9" s="72"/>
      <c r="S9" s="72"/>
      <c r="T9" s="72"/>
      <c r="U9" s="72"/>
      <c r="V9" s="72"/>
      <c r="W9" s="163">
        <v>3.4909090909090903</v>
      </c>
      <c r="X9" s="163">
        <v>1.8727272727272726</v>
      </c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72" t="s">
        <v>327</v>
      </c>
      <c r="AP9" s="72"/>
      <c r="AQ9" s="72"/>
      <c r="AR9" s="72"/>
      <c r="AS9" s="72"/>
      <c r="AT9" s="72">
        <v>0</v>
      </c>
      <c r="AU9" s="72">
        <v>0</v>
      </c>
      <c r="AV9" s="72">
        <v>0</v>
      </c>
      <c r="AW9" s="72">
        <v>0</v>
      </c>
      <c r="AX9" s="72">
        <v>0</v>
      </c>
      <c r="AY9" s="72">
        <v>0</v>
      </c>
      <c r="AZ9" s="72">
        <v>0</v>
      </c>
      <c r="BA9" s="72">
        <v>0</v>
      </c>
      <c r="BB9" s="72">
        <v>0</v>
      </c>
      <c r="BC9" s="72">
        <v>0</v>
      </c>
      <c r="BD9" s="72">
        <v>0</v>
      </c>
      <c r="BE9" s="72">
        <v>0</v>
      </c>
      <c r="BF9" s="76"/>
      <c r="BG9" s="76" t="s">
        <v>327</v>
      </c>
      <c r="BH9" s="76"/>
      <c r="BI9" s="76" t="s">
        <v>327</v>
      </c>
      <c r="BJ9" s="76"/>
      <c r="BK9" s="76"/>
      <c r="BL9" s="76"/>
      <c r="BM9" s="72"/>
      <c r="BN9" s="72"/>
      <c r="BO9" s="72"/>
      <c r="BP9" s="76" t="s">
        <v>330</v>
      </c>
      <c r="BQ9" s="76"/>
      <c r="BR9" s="76"/>
      <c r="BS9" s="72" t="s">
        <v>395</v>
      </c>
      <c r="BT9" s="72" t="s">
        <v>4</v>
      </c>
    </row>
    <row r="10" spans="1:72" x14ac:dyDescent="0.15">
      <c r="A10" s="197">
        <v>2822</v>
      </c>
      <c r="B10" s="73">
        <v>42932</v>
      </c>
      <c r="C10" s="72" t="s">
        <v>361</v>
      </c>
      <c r="D10" s="72" t="s">
        <v>388</v>
      </c>
      <c r="E10" s="73">
        <v>42916</v>
      </c>
      <c r="F10" s="72" t="s">
        <v>374</v>
      </c>
      <c r="G10" s="72" t="s">
        <v>375</v>
      </c>
      <c r="H10" s="163">
        <v>75</v>
      </c>
      <c r="I10" s="163"/>
      <c r="J10" s="163"/>
      <c r="K10" s="72" t="s">
        <v>363</v>
      </c>
      <c r="L10" s="75">
        <v>3040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163">
        <v>3.5</v>
      </c>
      <c r="X10" s="163">
        <v>2.5999999999999996</v>
      </c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72" t="s">
        <v>327</v>
      </c>
      <c r="AP10" s="72"/>
      <c r="AQ10" s="72"/>
      <c r="AR10" s="72"/>
      <c r="AS10" s="72"/>
      <c r="AT10" s="72">
        <v>0</v>
      </c>
      <c r="AU10" s="72">
        <v>0</v>
      </c>
      <c r="AV10" s="72">
        <v>0</v>
      </c>
      <c r="AW10" s="72">
        <v>0</v>
      </c>
      <c r="AX10" s="72">
        <v>0</v>
      </c>
      <c r="AY10" s="72">
        <v>0</v>
      </c>
      <c r="AZ10" s="72">
        <v>0</v>
      </c>
      <c r="BA10" s="72">
        <v>0</v>
      </c>
      <c r="BB10" s="72">
        <v>0</v>
      </c>
      <c r="BC10" s="72">
        <v>0</v>
      </c>
      <c r="BD10" s="72">
        <v>0</v>
      </c>
      <c r="BE10" s="72">
        <v>0</v>
      </c>
      <c r="BF10" s="76"/>
      <c r="BG10" s="76" t="s">
        <v>327</v>
      </c>
      <c r="BH10" s="76"/>
      <c r="BI10" s="76" t="s">
        <v>327</v>
      </c>
      <c r="BJ10" s="76"/>
      <c r="BK10" s="76"/>
      <c r="BL10" s="76"/>
      <c r="BM10" s="72" t="s">
        <v>396</v>
      </c>
      <c r="BN10" s="72" t="s">
        <v>68</v>
      </c>
      <c r="BO10" s="72">
        <v>50</v>
      </c>
      <c r="BP10" s="76" t="s">
        <v>330</v>
      </c>
      <c r="BQ10" s="76"/>
      <c r="BR10" s="76"/>
      <c r="BS10" s="72" t="s">
        <v>397</v>
      </c>
      <c r="BT10" s="72" t="s">
        <v>4</v>
      </c>
    </row>
    <row r="11" spans="1:72" x14ac:dyDescent="0.15">
      <c r="A11" s="197">
        <v>2131</v>
      </c>
      <c r="B11" s="234">
        <v>42566</v>
      </c>
      <c r="C11" s="198" t="s">
        <v>361</v>
      </c>
      <c r="D11" s="199" t="s">
        <v>89</v>
      </c>
      <c r="E11" s="73">
        <v>42916</v>
      </c>
      <c r="F11" s="72" t="s">
        <v>302</v>
      </c>
      <c r="G11" s="72" t="s">
        <v>391</v>
      </c>
      <c r="H11" s="163">
        <v>68.454545454545453</v>
      </c>
      <c r="I11" s="163"/>
      <c r="J11" s="163"/>
      <c r="K11" s="72" t="s">
        <v>363</v>
      </c>
      <c r="L11" s="75">
        <v>2958.9059999999999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163">
        <v>3.9363636363636361</v>
      </c>
      <c r="X11" s="163">
        <v>2.0090909090909088</v>
      </c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72" t="s">
        <v>327</v>
      </c>
      <c r="AP11" s="72"/>
      <c r="AQ11" s="72"/>
      <c r="AR11" s="72"/>
      <c r="AS11" s="72"/>
      <c r="AT11" s="72">
        <v>0</v>
      </c>
      <c r="AU11" s="72">
        <v>0</v>
      </c>
      <c r="AV11" s="72">
        <v>0</v>
      </c>
      <c r="AW11" s="72">
        <v>0</v>
      </c>
      <c r="AX11" s="72">
        <v>0</v>
      </c>
      <c r="AY11" s="72">
        <v>0</v>
      </c>
      <c r="AZ11" s="72">
        <v>0</v>
      </c>
      <c r="BA11" s="72">
        <v>0</v>
      </c>
      <c r="BB11" s="72">
        <v>0</v>
      </c>
      <c r="BC11" s="72">
        <v>0</v>
      </c>
      <c r="BD11" s="72">
        <v>0</v>
      </c>
      <c r="BE11" s="72">
        <v>0</v>
      </c>
      <c r="BF11" s="76"/>
      <c r="BG11" s="76" t="s">
        <v>327</v>
      </c>
      <c r="BH11" s="76">
        <v>12</v>
      </c>
      <c r="BI11" s="76" t="s">
        <v>327</v>
      </c>
      <c r="BJ11" s="76"/>
      <c r="BK11" s="76"/>
      <c r="BL11" s="76"/>
      <c r="BM11" s="72"/>
      <c r="BN11" s="72"/>
      <c r="BO11" s="308"/>
      <c r="BP11" s="76" t="s">
        <v>330</v>
      </c>
      <c r="BQ11" s="76"/>
      <c r="BR11" s="76"/>
      <c r="BS11" s="72" t="s">
        <v>392</v>
      </c>
      <c r="BT11" s="72" t="s">
        <v>4</v>
      </c>
    </row>
    <row r="12" spans="1:72" x14ac:dyDescent="0.15">
      <c r="A12" s="197">
        <v>2131</v>
      </c>
      <c r="B12" s="234">
        <v>42566</v>
      </c>
      <c r="C12" s="198" t="s">
        <v>34</v>
      </c>
      <c r="D12" s="199" t="s">
        <v>35</v>
      </c>
      <c r="E12" s="73">
        <v>42916</v>
      </c>
      <c r="F12" s="72" t="s">
        <v>302</v>
      </c>
      <c r="G12" s="72" t="s">
        <v>391</v>
      </c>
      <c r="H12" s="163">
        <v>68.454545454545453</v>
      </c>
      <c r="I12" s="163"/>
      <c r="J12" s="163"/>
      <c r="K12" s="72" t="s">
        <v>363</v>
      </c>
      <c r="L12" s="75">
        <v>2958.9059999999999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163">
        <v>3.9363636363636361</v>
      </c>
      <c r="X12" s="163">
        <v>2.0090909090909088</v>
      </c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72" t="s">
        <v>327</v>
      </c>
      <c r="AP12" s="72"/>
      <c r="AQ12" s="72"/>
      <c r="AR12" s="72"/>
      <c r="AS12" s="72"/>
      <c r="AT12" s="72">
        <v>0</v>
      </c>
      <c r="AU12" s="72">
        <v>0</v>
      </c>
      <c r="AV12" s="72">
        <v>0</v>
      </c>
      <c r="AW12" s="72">
        <v>0</v>
      </c>
      <c r="AX12" s="72">
        <v>0</v>
      </c>
      <c r="AY12" s="72">
        <v>0</v>
      </c>
      <c r="AZ12" s="72">
        <v>0</v>
      </c>
      <c r="BA12" s="72">
        <v>0</v>
      </c>
      <c r="BB12" s="72">
        <v>0</v>
      </c>
      <c r="BC12" s="72">
        <v>0</v>
      </c>
      <c r="BD12" s="72">
        <v>0</v>
      </c>
      <c r="BE12" s="72">
        <v>0</v>
      </c>
      <c r="BF12" s="76"/>
      <c r="BG12" s="76" t="s">
        <v>327</v>
      </c>
      <c r="BH12" s="76">
        <v>12</v>
      </c>
      <c r="BI12" s="76" t="s">
        <v>327</v>
      </c>
      <c r="BJ12" s="76"/>
      <c r="BK12" s="76"/>
      <c r="BL12" s="76"/>
      <c r="BM12" s="72"/>
      <c r="BN12" s="72"/>
      <c r="BO12" s="308"/>
      <c r="BP12" s="76" t="s">
        <v>330</v>
      </c>
      <c r="BQ12" s="76"/>
      <c r="BR12" s="76"/>
      <c r="BS12" s="72" t="s">
        <v>392</v>
      </c>
      <c r="BT12" s="72" t="s">
        <v>4</v>
      </c>
    </row>
    <row r="13" spans="1:72" x14ac:dyDescent="0.15">
      <c r="A13" s="197">
        <v>2131</v>
      </c>
      <c r="B13" s="234">
        <v>42566</v>
      </c>
      <c r="C13" s="198" t="s">
        <v>34</v>
      </c>
      <c r="D13" s="199" t="s">
        <v>41</v>
      </c>
      <c r="E13" s="73">
        <v>42916</v>
      </c>
      <c r="F13" s="72" t="s">
        <v>302</v>
      </c>
      <c r="G13" s="72" t="s">
        <v>391</v>
      </c>
      <c r="H13" s="163">
        <v>68.454545454545453</v>
      </c>
      <c r="I13" s="163"/>
      <c r="J13" s="163"/>
      <c r="K13" s="72" t="s">
        <v>363</v>
      </c>
      <c r="L13" s="75">
        <v>2958.9059999999999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163">
        <v>3.9363636363636361</v>
      </c>
      <c r="X13" s="163">
        <v>2.0090909090909088</v>
      </c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72" t="s">
        <v>327</v>
      </c>
      <c r="AP13" s="72"/>
      <c r="AQ13" s="72"/>
      <c r="AR13" s="72"/>
      <c r="AS13" s="72"/>
      <c r="AT13" s="72">
        <v>0</v>
      </c>
      <c r="AU13" s="72">
        <v>0</v>
      </c>
      <c r="AV13" s="72">
        <v>0</v>
      </c>
      <c r="AW13" s="72">
        <v>0</v>
      </c>
      <c r="AX13" s="72">
        <v>0</v>
      </c>
      <c r="AY13" s="72">
        <v>0</v>
      </c>
      <c r="AZ13" s="72">
        <v>0</v>
      </c>
      <c r="BA13" s="72">
        <v>0</v>
      </c>
      <c r="BB13" s="72">
        <v>0</v>
      </c>
      <c r="BC13" s="72">
        <v>0</v>
      </c>
      <c r="BD13" s="72">
        <v>0</v>
      </c>
      <c r="BE13" s="72">
        <v>0</v>
      </c>
      <c r="BF13" s="76"/>
      <c r="BG13" s="76" t="s">
        <v>327</v>
      </c>
      <c r="BH13" s="76">
        <v>12</v>
      </c>
      <c r="BI13" s="76" t="s">
        <v>327</v>
      </c>
      <c r="BJ13" s="76"/>
      <c r="BK13" s="76"/>
      <c r="BL13" s="76"/>
      <c r="BM13" s="72"/>
      <c r="BN13" s="72"/>
      <c r="BO13" s="308"/>
      <c r="BP13" s="76" t="s">
        <v>330</v>
      </c>
      <c r="BQ13" s="76"/>
      <c r="BR13" s="76"/>
      <c r="BS13" s="72" t="s">
        <v>392</v>
      </c>
      <c r="BT13" s="72" t="s">
        <v>4</v>
      </c>
    </row>
    <row r="14" spans="1:72" x14ac:dyDescent="0.15">
      <c r="A14" s="197">
        <v>2131</v>
      </c>
      <c r="B14" s="234">
        <v>42566</v>
      </c>
      <c r="C14" s="198" t="s">
        <v>34</v>
      </c>
      <c r="D14" s="199" t="s">
        <v>42</v>
      </c>
      <c r="E14" s="73">
        <v>42916</v>
      </c>
      <c r="F14" s="72" t="s">
        <v>302</v>
      </c>
      <c r="G14" s="72" t="s">
        <v>391</v>
      </c>
      <c r="H14" s="163">
        <v>68.454545454545453</v>
      </c>
      <c r="I14" s="163"/>
      <c r="J14" s="163"/>
      <c r="K14" s="72" t="s">
        <v>363</v>
      </c>
      <c r="L14" s="75">
        <v>2958.9059999999999</v>
      </c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163">
        <v>3.9363636363636361</v>
      </c>
      <c r="X14" s="163">
        <v>2.0090909090909088</v>
      </c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72" t="s">
        <v>327</v>
      </c>
      <c r="AP14" s="72"/>
      <c r="AQ14" s="72"/>
      <c r="AR14" s="72"/>
      <c r="AS14" s="72"/>
      <c r="AT14" s="72">
        <v>0</v>
      </c>
      <c r="AU14" s="72">
        <v>0</v>
      </c>
      <c r="AV14" s="72">
        <v>0</v>
      </c>
      <c r="AW14" s="72">
        <v>0</v>
      </c>
      <c r="AX14" s="72">
        <v>0</v>
      </c>
      <c r="AY14" s="72">
        <v>0</v>
      </c>
      <c r="AZ14" s="72">
        <v>0</v>
      </c>
      <c r="BA14" s="72">
        <v>0</v>
      </c>
      <c r="BB14" s="72">
        <v>0</v>
      </c>
      <c r="BC14" s="72">
        <v>0</v>
      </c>
      <c r="BD14" s="72">
        <v>0</v>
      </c>
      <c r="BE14" s="72">
        <v>0</v>
      </c>
      <c r="BF14" s="76"/>
      <c r="BG14" s="76" t="s">
        <v>327</v>
      </c>
      <c r="BH14" s="76">
        <v>12</v>
      </c>
      <c r="BI14" s="76" t="s">
        <v>327</v>
      </c>
      <c r="BJ14" s="76"/>
      <c r="BK14" s="76"/>
      <c r="BL14" s="76"/>
      <c r="BM14" s="72"/>
      <c r="BN14" s="72"/>
      <c r="BO14" s="308"/>
      <c r="BP14" s="76" t="s">
        <v>330</v>
      </c>
      <c r="BQ14" s="76"/>
      <c r="BR14" s="76"/>
      <c r="BS14" s="72" t="s">
        <v>392</v>
      </c>
      <c r="BT14" s="72" t="s">
        <v>4</v>
      </c>
    </row>
    <row r="21" spans="4:12" x14ac:dyDescent="0.15">
      <c r="D21"/>
    </row>
    <row r="22" spans="4:12" x14ac:dyDescent="0.15">
      <c r="D22"/>
      <c r="L22"/>
    </row>
    <row r="23" spans="4:12" x14ac:dyDescent="0.15">
      <c r="D23"/>
    </row>
    <row r="24" spans="4:12" x14ac:dyDescent="0.15">
      <c r="D24"/>
    </row>
    <row r="25" spans="4:12" x14ac:dyDescent="0.15">
      <c r="D25"/>
    </row>
    <row r="26" spans="4:12" x14ac:dyDescent="0.15">
      <c r="D26"/>
    </row>
    <row r="27" spans="4:12" x14ac:dyDescent="0.15">
      <c r="D27"/>
    </row>
    <row r="28" spans="4:12" x14ac:dyDescent="0.15">
      <c r="D28"/>
    </row>
    <row r="29" spans="4:12" x14ac:dyDescent="0.15">
      <c r="D29"/>
    </row>
    <row r="30" spans="4:12" x14ac:dyDescent="0.15">
      <c r="D30"/>
    </row>
    <row r="31" spans="4:12" x14ac:dyDescent="0.15">
      <c r="D31"/>
    </row>
    <row r="32" spans="4:12" x14ac:dyDescent="0.15">
      <c r="D32"/>
    </row>
  </sheetData>
  <sheetProtection algorithmName="SHA-512" hashValue="2oiLCjTiAgLl34+7wMyZ43yvBRLEHOY7n45bojTlN0uxjuLiinUNgvhwE7xpsHx8gXOXydbtYAFaNiEHVR0ZWw==" saltValue="pFqLzmzzZZNPsbJF3mKoKw==" spinCount="100000" sheet="1" objects="1" scenarios="1"/>
  <mergeCells count="1">
    <mergeCell ref="K1:P1"/>
  </mergeCells>
  <pageMargins left="0.75" right="0.75" top="1" bottom="1" header="0.5" footer="0.5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03A89-5A57-3B4F-9767-9587CBA90467}">
  <sheetPr codeName="Sheet11"/>
  <dimension ref="A1:BT32"/>
  <sheetViews>
    <sheetView workbookViewId="0">
      <selection activeCell="I22" sqref="I22"/>
    </sheetView>
  </sheetViews>
  <sheetFormatPr baseColWidth="10" defaultRowHeight="13" x14ac:dyDescent="0.15"/>
  <cols>
    <col min="1" max="3" width="10.83203125" style="196"/>
    <col min="4" max="4" width="19" style="196" bestFit="1" customWidth="1"/>
    <col min="5" max="5" width="10.83203125" style="196"/>
    <col min="6" max="6" width="14.1640625" style="196" bestFit="1" customWidth="1"/>
    <col min="7" max="16384" width="10.83203125" style="196"/>
  </cols>
  <sheetData>
    <row r="1" spans="1:72" ht="17" customHeight="1" x14ac:dyDescent="0.15">
      <c r="A1" s="171"/>
      <c r="B1" s="171"/>
      <c r="C1" s="172"/>
      <c r="D1" s="173"/>
      <c r="E1" s="171"/>
      <c r="F1" s="172"/>
      <c r="G1" s="173"/>
      <c r="H1" s="174"/>
      <c r="I1" s="175"/>
      <c r="J1" s="176"/>
      <c r="K1" s="347" t="s">
        <v>354</v>
      </c>
      <c r="L1" s="347"/>
      <c r="M1" s="347"/>
      <c r="N1" s="347"/>
      <c r="O1" s="347"/>
      <c r="P1" s="348"/>
      <c r="Q1" s="179"/>
      <c r="R1" s="179"/>
      <c r="S1" s="179"/>
      <c r="T1" s="179"/>
      <c r="U1" s="179"/>
      <c r="V1" s="180"/>
      <c r="W1" s="181"/>
      <c r="X1" s="181"/>
      <c r="Y1" s="181"/>
      <c r="Z1" s="181"/>
      <c r="AA1" s="181"/>
      <c r="AB1" s="182"/>
      <c r="AC1" s="183"/>
      <c r="AD1" s="183"/>
      <c r="AE1" s="183"/>
      <c r="AF1" s="183"/>
      <c r="AG1" s="183"/>
      <c r="AH1" s="184"/>
      <c r="AI1" s="185"/>
      <c r="AJ1" s="185"/>
      <c r="AK1" s="185"/>
      <c r="AL1" s="185"/>
      <c r="AM1" s="185"/>
      <c r="AN1" s="186"/>
      <c r="AO1" s="187"/>
      <c r="AP1" s="187"/>
      <c r="AQ1" s="187"/>
      <c r="AR1" s="188"/>
      <c r="AS1" s="189"/>
      <c r="AT1" s="190"/>
      <c r="AU1" s="191"/>
      <c r="AV1" s="190"/>
      <c r="AW1" s="181"/>
      <c r="AX1" s="192"/>
      <c r="AY1" s="181"/>
      <c r="AZ1" s="192"/>
      <c r="BA1" s="182"/>
      <c r="BB1" s="190"/>
      <c r="BC1" s="193"/>
      <c r="BD1" s="192"/>
      <c r="BE1" s="182"/>
      <c r="BF1" s="171"/>
      <c r="BG1" s="194"/>
      <c r="BH1" s="195"/>
      <c r="BI1" s="194"/>
      <c r="BJ1" s="194"/>
      <c r="BK1" s="194"/>
      <c r="BL1" s="194"/>
      <c r="BM1" s="171"/>
      <c r="BN1" s="172"/>
      <c r="BO1" s="194"/>
      <c r="BP1" s="194"/>
      <c r="BQ1" s="194"/>
      <c r="BR1" s="172"/>
      <c r="BS1" s="194"/>
      <c r="BT1" s="171"/>
    </row>
    <row r="2" spans="1:72" ht="70" x14ac:dyDescent="0.15">
      <c r="A2" s="171" t="s">
        <v>138</v>
      </c>
      <c r="B2" s="171" t="s">
        <v>139</v>
      </c>
      <c r="C2" s="172" t="s">
        <v>140</v>
      </c>
      <c r="D2" s="173" t="s">
        <v>141</v>
      </c>
      <c r="E2" s="171" t="s">
        <v>70</v>
      </c>
      <c r="F2" s="172" t="s">
        <v>71</v>
      </c>
      <c r="G2" s="173" t="s">
        <v>143</v>
      </c>
      <c r="H2" s="174" t="s">
        <v>144</v>
      </c>
      <c r="I2" s="175" t="s">
        <v>345</v>
      </c>
      <c r="J2" s="176" t="s">
        <v>346</v>
      </c>
      <c r="K2" s="177" t="s">
        <v>145</v>
      </c>
      <c r="L2" s="177" t="s">
        <v>146</v>
      </c>
      <c r="M2" s="177" t="s">
        <v>147</v>
      </c>
      <c r="N2" s="177" t="s">
        <v>148</v>
      </c>
      <c r="O2" s="177" t="s">
        <v>149</v>
      </c>
      <c r="P2" s="178" t="s">
        <v>150</v>
      </c>
      <c r="Q2" s="179" t="s">
        <v>347</v>
      </c>
      <c r="R2" s="179" t="s">
        <v>348</v>
      </c>
      <c r="S2" s="179" t="s">
        <v>349</v>
      </c>
      <c r="T2" s="179" t="s">
        <v>350</v>
      </c>
      <c r="U2" s="179" t="s">
        <v>351</v>
      </c>
      <c r="V2" s="180" t="s">
        <v>352</v>
      </c>
      <c r="W2" s="181" t="s">
        <v>151</v>
      </c>
      <c r="X2" s="181" t="s">
        <v>152</v>
      </c>
      <c r="Y2" s="181" t="s">
        <v>47</v>
      </c>
      <c r="Z2" s="181" t="s">
        <v>48</v>
      </c>
      <c r="AA2" s="181" t="s">
        <v>49</v>
      </c>
      <c r="AB2" s="182" t="s">
        <v>50</v>
      </c>
      <c r="AC2" s="183" t="s">
        <v>51</v>
      </c>
      <c r="AD2" s="183" t="s">
        <v>77</v>
      </c>
      <c r="AE2" s="183" t="s">
        <v>78</v>
      </c>
      <c r="AF2" s="183" t="s">
        <v>52</v>
      </c>
      <c r="AG2" s="183" t="s">
        <v>53</v>
      </c>
      <c r="AH2" s="184" t="s">
        <v>54</v>
      </c>
      <c r="AI2" s="185" t="s">
        <v>55</v>
      </c>
      <c r="AJ2" s="185" t="s">
        <v>56</v>
      </c>
      <c r="AK2" s="185" t="s">
        <v>57</v>
      </c>
      <c r="AL2" s="185" t="s">
        <v>58</v>
      </c>
      <c r="AM2" s="185" t="s">
        <v>125</v>
      </c>
      <c r="AN2" s="186" t="s">
        <v>126</v>
      </c>
      <c r="AO2" s="187" t="s">
        <v>127</v>
      </c>
      <c r="AP2" s="187" t="s">
        <v>128</v>
      </c>
      <c r="AQ2" s="187" t="s">
        <v>129</v>
      </c>
      <c r="AR2" s="188" t="s">
        <v>130</v>
      </c>
      <c r="AS2" s="189" t="s">
        <v>306</v>
      </c>
      <c r="AT2" s="190" t="s">
        <v>13</v>
      </c>
      <c r="AU2" s="191" t="s">
        <v>14</v>
      </c>
      <c r="AV2" s="190" t="s">
        <v>15</v>
      </c>
      <c r="AW2" s="181" t="s">
        <v>16</v>
      </c>
      <c r="AX2" s="192" t="s">
        <v>134</v>
      </c>
      <c r="AY2" s="181" t="s">
        <v>135</v>
      </c>
      <c r="AZ2" s="192" t="s">
        <v>105</v>
      </c>
      <c r="BA2" s="182" t="s">
        <v>106</v>
      </c>
      <c r="BB2" s="190" t="s">
        <v>307</v>
      </c>
      <c r="BC2" s="193" t="s">
        <v>308</v>
      </c>
      <c r="BD2" s="192" t="s">
        <v>107</v>
      </c>
      <c r="BE2" s="182" t="s">
        <v>108</v>
      </c>
      <c r="BF2" s="171" t="s">
        <v>110</v>
      </c>
      <c r="BG2" s="194" t="s">
        <v>111</v>
      </c>
      <c r="BH2" s="195" t="s">
        <v>112</v>
      </c>
      <c r="BI2" s="194" t="s">
        <v>113</v>
      </c>
      <c r="BJ2" s="194" t="s">
        <v>309</v>
      </c>
      <c r="BK2" s="194" t="s">
        <v>310</v>
      </c>
      <c r="BL2" s="194" t="s">
        <v>311</v>
      </c>
      <c r="BM2" s="171" t="s">
        <v>114</v>
      </c>
      <c r="BN2" s="172" t="s">
        <v>115</v>
      </c>
      <c r="BO2" s="194" t="s">
        <v>116</v>
      </c>
      <c r="BP2" s="194" t="s">
        <v>98</v>
      </c>
      <c r="BQ2" s="194" t="s">
        <v>353</v>
      </c>
      <c r="BR2" s="172" t="s">
        <v>117</v>
      </c>
      <c r="BS2" s="194" t="s">
        <v>118</v>
      </c>
      <c r="BT2" s="171" t="s">
        <v>119</v>
      </c>
    </row>
    <row r="3" spans="1:72" x14ac:dyDescent="0.15">
      <c r="A3" s="197">
        <v>2375</v>
      </c>
      <c r="B3" s="234">
        <v>42566</v>
      </c>
      <c r="C3" s="198" t="s">
        <v>361</v>
      </c>
      <c r="D3" s="199" t="s">
        <v>313</v>
      </c>
      <c r="E3" s="234">
        <v>42551</v>
      </c>
      <c r="F3" s="198" t="s">
        <v>213</v>
      </c>
      <c r="G3" s="199" t="s">
        <v>362</v>
      </c>
      <c r="H3" s="200">
        <v>70.163636363636371</v>
      </c>
      <c r="I3" s="200"/>
      <c r="J3" s="200"/>
      <c r="K3" s="201" t="s">
        <v>363</v>
      </c>
      <c r="L3" s="202">
        <v>6575</v>
      </c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200">
        <v>3.6454545454545451</v>
      </c>
      <c r="X3" s="200">
        <v>3.3</v>
      </c>
      <c r="Y3" s="199" t="s">
        <v>364</v>
      </c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203" t="s">
        <v>327</v>
      </c>
      <c r="AP3" s="203"/>
      <c r="AQ3" s="203"/>
      <c r="AR3" s="203"/>
      <c r="AS3" s="203"/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203">
        <v>0</v>
      </c>
      <c r="BD3" s="203">
        <v>0</v>
      </c>
      <c r="BE3" s="203">
        <v>0</v>
      </c>
      <c r="BF3" s="199"/>
      <c r="BG3" s="203" t="s">
        <v>327</v>
      </c>
      <c r="BH3" s="203">
        <v>12</v>
      </c>
      <c r="BI3" s="203" t="s">
        <v>327</v>
      </c>
      <c r="BJ3" s="203"/>
      <c r="BK3" s="203"/>
      <c r="BL3" s="203"/>
      <c r="BM3" s="198"/>
      <c r="BN3" s="199"/>
      <c r="BO3" s="203"/>
      <c r="BP3" s="203" t="s">
        <v>330</v>
      </c>
      <c r="BQ3" s="203"/>
      <c r="BR3" s="198"/>
      <c r="BS3" s="196" t="s">
        <v>365</v>
      </c>
      <c r="BT3" s="196" t="s">
        <v>366</v>
      </c>
    </row>
    <row r="4" spans="1:72" x14ac:dyDescent="0.15">
      <c r="A4" s="197">
        <v>2104</v>
      </c>
      <c r="B4" s="234">
        <v>42567</v>
      </c>
      <c r="C4" s="198" t="s">
        <v>361</v>
      </c>
      <c r="D4" s="199" t="s">
        <v>313</v>
      </c>
      <c r="E4" s="234">
        <v>42567</v>
      </c>
      <c r="F4" s="198" t="s">
        <v>300</v>
      </c>
      <c r="G4" s="199" t="s">
        <v>337</v>
      </c>
      <c r="H4" s="199">
        <v>69.599999999999994</v>
      </c>
      <c r="I4" s="199"/>
      <c r="J4" s="199"/>
      <c r="K4" s="201" t="s">
        <v>363</v>
      </c>
      <c r="L4" s="202">
        <v>3000</v>
      </c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200">
        <v>3.3545454545454541</v>
      </c>
      <c r="X4" s="200">
        <v>2.5818181818181816</v>
      </c>
      <c r="Y4" s="199" t="s">
        <v>364</v>
      </c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203" t="s">
        <v>327</v>
      </c>
      <c r="AP4" s="203"/>
      <c r="AQ4" s="203"/>
      <c r="AR4" s="203"/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203">
        <v>0</v>
      </c>
      <c r="BD4" s="203">
        <v>0</v>
      </c>
      <c r="BE4" s="203">
        <v>0</v>
      </c>
      <c r="BF4" s="199"/>
      <c r="BG4" s="203" t="s">
        <v>327</v>
      </c>
      <c r="BH4" s="203"/>
      <c r="BI4" s="203" t="s">
        <v>327</v>
      </c>
      <c r="BJ4" s="203"/>
      <c r="BK4" s="203"/>
      <c r="BL4" s="203"/>
      <c r="BM4" s="198"/>
      <c r="BN4" s="199"/>
      <c r="BO4" s="203"/>
      <c r="BP4" s="203" t="s">
        <v>330</v>
      </c>
      <c r="BQ4" s="203"/>
      <c r="BR4" s="198"/>
      <c r="BS4" s="196" t="s">
        <v>367</v>
      </c>
      <c r="BT4" s="196" t="s">
        <v>4</v>
      </c>
    </row>
    <row r="5" spans="1:72" x14ac:dyDescent="0.15">
      <c r="A5" s="197">
        <v>2112</v>
      </c>
      <c r="B5" s="234">
        <v>42605</v>
      </c>
      <c r="C5" s="198" t="s">
        <v>361</v>
      </c>
      <c r="D5" s="199" t="s">
        <v>313</v>
      </c>
      <c r="E5" s="234">
        <v>42577</v>
      </c>
      <c r="F5" s="198" t="s">
        <v>301</v>
      </c>
      <c r="G5" s="199" t="s">
        <v>340</v>
      </c>
      <c r="H5" s="199">
        <v>80.499999999999986</v>
      </c>
      <c r="I5" s="199"/>
      <c r="J5" s="199"/>
      <c r="K5" s="201" t="s">
        <v>363</v>
      </c>
      <c r="L5" s="202">
        <v>1644</v>
      </c>
      <c r="M5" s="202">
        <v>1314</v>
      </c>
      <c r="N5" s="199"/>
      <c r="O5" s="199"/>
      <c r="P5" s="199"/>
      <c r="Q5" s="199"/>
      <c r="R5" s="199"/>
      <c r="S5" s="199"/>
      <c r="T5" s="199"/>
      <c r="U5" s="199"/>
      <c r="V5" s="199"/>
      <c r="W5" s="200">
        <v>4.4909090909090912</v>
      </c>
      <c r="X5" s="200">
        <v>3.8818181818181809</v>
      </c>
      <c r="Y5" s="200">
        <v>2.3090909090909091</v>
      </c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203" t="s">
        <v>327</v>
      </c>
      <c r="AP5" s="203"/>
      <c r="AQ5" s="203"/>
      <c r="AR5" s="203"/>
      <c r="AT5" s="203">
        <v>15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203">
        <v>0</v>
      </c>
      <c r="BD5" s="203">
        <v>0</v>
      </c>
      <c r="BE5" s="203">
        <v>0</v>
      </c>
      <c r="BF5" s="199"/>
      <c r="BG5" s="203" t="s">
        <v>327</v>
      </c>
      <c r="BH5" s="203">
        <v>12</v>
      </c>
      <c r="BI5" s="203" t="s">
        <v>327</v>
      </c>
      <c r="BJ5" s="203"/>
      <c r="BK5" s="203"/>
      <c r="BL5" s="203"/>
      <c r="BM5" s="198"/>
      <c r="BN5" s="199"/>
      <c r="BO5" s="203"/>
      <c r="BP5" s="203" t="s">
        <v>330</v>
      </c>
      <c r="BQ5" s="203"/>
      <c r="BR5" s="198"/>
      <c r="BS5" s="235" t="s">
        <v>376</v>
      </c>
      <c r="BT5" s="196" t="s">
        <v>366</v>
      </c>
    </row>
    <row r="6" spans="1:72" x14ac:dyDescent="0.15">
      <c r="A6" s="197">
        <v>2131</v>
      </c>
      <c r="B6" s="234">
        <v>42566</v>
      </c>
      <c r="C6" s="198" t="s">
        <v>361</v>
      </c>
      <c r="D6" s="199" t="s">
        <v>5</v>
      </c>
      <c r="E6" s="234">
        <v>42551</v>
      </c>
      <c r="F6" s="198" t="s">
        <v>302</v>
      </c>
      <c r="G6" s="199" t="s">
        <v>339</v>
      </c>
      <c r="H6" s="200">
        <v>71.536363636363632</v>
      </c>
      <c r="I6" s="200"/>
      <c r="J6" s="200"/>
      <c r="K6" s="201" t="s">
        <v>363</v>
      </c>
      <c r="L6" s="202">
        <v>2958.9059999999999</v>
      </c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200">
        <v>4.1545454545454543</v>
      </c>
      <c r="X6" s="200">
        <v>1.9818181818181817</v>
      </c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203" t="s">
        <v>327</v>
      </c>
      <c r="AP6" s="203"/>
      <c r="AQ6" s="203"/>
      <c r="AR6" s="203"/>
      <c r="AS6" s="203"/>
      <c r="AT6" s="203">
        <v>9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203">
        <v>0</v>
      </c>
      <c r="BD6" s="203">
        <v>0</v>
      </c>
      <c r="BE6" s="203">
        <v>0</v>
      </c>
      <c r="BF6" s="199"/>
      <c r="BG6" s="203" t="s">
        <v>327</v>
      </c>
      <c r="BH6" s="203">
        <v>12</v>
      </c>
      <c r="BI6" s="203" t="s">
        <v>327</v>
      </c>
      <c r="BJ6" s="203"/>
      <c r="BK6" s="203"/>
      <c r="BL6" s="203"/>
      <c r="BM6" s="198"/>
      <c r="BN6" s="199"/>
      <c r="BO6" s="204"/>
      <c r="BP6" s="203" t="s">
        <v>330</v>
      </c>
      <c r="BQ6" s="203"/>
      <c r="BR6" s="198"/>
      <c r="BS6" s="196" t="s">
        <v>368</v>
      </c>
      <c r="BT6" s="196" t="s">
        <v>366</v>
      </c>
    </row>
    <row r="7" spans="1:72" x14ac:dyDescent="0.15">
      <c r="A7" s="197">
        <v>2688</v>
      </c>
      <c r="B7" s="234">
        <v>42567</v>
      </c>
      <c r="C7" s="198" t="s">
        <v>361</v>
      </c>
      <c r="D7" s="199" t="s">
        <v>313</v>
      </c>
      <c r="E7" s="234">
        <v>42551</v>
      </c>
      <c r="F7" s="198" t="s">
        <v>303</v>
      </c>
      <c r="G7" s="199" t="s">
        <v>369</v>
      </c>
      <c r="H7" s="200">
        <v>57.672727272727265</v>
      </c>
      <c r="I7" s="200"/>
      <c r="J7" s="200"/>
      <c r="K7" s="201" t="s">
        <v>363</v>
      </c>
      <c r="L7" s="202">
        <v>1666</v>
      </c>
      <c r="M7" s="202">
        <v>1333</v>
      </c>
      <c r="N7" s="199"/>
      <c r="O7" s="199"/>
      <c r="P7" s="199"/>
      <c r="Q7" s="199"/>
      <c r="R7" s="199"/>
      <c r="S7" s="199"/>
      <c r="T7" s="199"/>
      <c r="U7" s="199"/>
      <c r="V7" s="199"/>
      <c r="W7" s="200">
        <v>4.8636363636363633</v>
      </c>
      <c r="X7" s="200">
        <v>3.0090909090909088</v>
      </c>
      <c r="Y7" s="200">
        <v>1.8818181818181816</v>
      </c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203" t="s">
        <v>327</v>
      </c>
      <c r="AP7" s="203"/>
      <c r="AQ7" s="203"/>
      <c r="AR7" s="203"/>
      <c r="AS7" s="203"/>
      <c r="AT7" s="203">
        <v>0</v>
      </c>
      <c r="AU7" s="203">
        <v>8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203">
        <v>0</v>
      </c>
      <c r="BD7" s="203">
        <v>0</v>
      </c>
      <c r="BE7" s="203">
        <v>0</v>
      </c>
      <c r="BF7" s="203"/>
      <c r="BG7" s="203" t="s">
        <v>327</v>
      </c>
      <c r="BH7" s="203"/>
      <c r="BI7" s="203" t="s">
        <v>327</v>
      </c>
      <c r="BJ7" s="203"/>
      <c r="BK7" s="203"/>
      <c r="BL7" s="203"/>
      <c r="BM7" s="198"/>
      <c r="BN7" s="199"/>
      <c r="BO7" s="203"/>
      <c r="BP7" s="203" t="s">
        <v>330</v>
      </c>
      <c r="BQ7" s="205"/>
      <c r="BR7" s="206"/>
      <c r="BS7" s="196" t="s">
        <v>370</v>
      </c>
      <c r="BT7" s="196" t="s">
        <v>366</v>
      </c>
    </row>
    <row r="8" spans="1:72" x14ac:dyDescent="0.15">
      <c r="A8" s="197">
        <v>2377</v>
      </c>
      <c r="B8" s="234">
        <v>42567</v>
      </c>
      <c r="C8" s="198" t="s">
        <v>361</v>
      </c>
      <c r="D8" s="199" t="s">
        <v>313</v>
      </c>
      <c r="E8" s="234">
        <v>42551</v>
      </c>
      <c r="F8" s="198" t="s">
        <v>304</v>
      </c>
      <c r="G8" s="199" t="s">
        <v>371</v>
      </c>
      <c r="H8" s="200">
        <v>67.999999999999986</v>
      </c>
      <c r="I8" s="200"/>
      <c r="J8" s="200"/>
      <c r="K8" s="201" t="s">
        <v>363</v>
      </c>
      <c r="L8" s="202">
        <v>2958</v>
      </c>
      <c r="M8" s="199"/>
      <c r="N8" s="202"/>
      <c r="O8" s="202"/>
      <c r="P8" s="202"/>
      <c r="Q8" s="202"/>
      <c r="R8" s="202"/>
      <c r="S8" s="202"/>
      <c r="T8" s="202"/>
      <c r="U8" s="202"/>
      <c r="V8" s="202"/>
      <c r="W8" s="200">
        <v>3.7</v>
      </c>
      <c r="X8" s="200">
        <v>1.7999999999999998</v>
      </c>
      <c r="Y8" s="199" t="s">
        <v>364</v>
      </c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203" t="s">
        <v>327</v>
      </c>
      <c r="AP8" s="199"/>
      <c r="AQ8" s="199"/>
      <c r="AR8" s="199"/>
      <c r="AS8" s="199"/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203">
        <v>0</v>
      </c>
      <c r="BD8" s="203">
        <v>0</v>
      </c>
      <c r="BE8" s="203">
        <v>0</v>
      </c>
      <c r="BF8" s="203"/>
      <c r="BG8" s="203" t="s">
        <v>327</v>
      </c>
      <c r="BH8" s="203"/>
      <c r="BI8" s="203" t="s">
        <v>327</v>
      </c>
      <c r="BJ8" s="203"/>
      <c r="BK8" s="203"/>
      <c r="BL8" s="203"/>
      <c r="BM8" s="198"/>
      <c r="BN8" s="199"/>
      <c r="BO8" s="203"/>
      <c r="BP8" s="203" t="s">
        <v>330</v>
      </c>
      <c r="BQ8" s="203"/>
      <c r="BR8" s="198"/>
      <c r="BS8" s="196" t="s">
        <v>372</v>
      </c>
      <c r="BT8" s="196" t="s">
        <v>366</v>
      </c>
    </row>
    <row r="9" spans="1:72" x14ac:dyDescent="0.15">
      <c r="A9" s="197">
        <v>1977</v>
      </c>
      <c r="B9" s="234">
        <v>42566</v>
      </c>
      <c r="C9" s="198" t="s">
        <v>361</v>
      </c>
      <c r="D9" s="199" t="s">
        <v>334</v>
      </c>
      <c r="E9" s="234">
        <v>42551</v>
      </c>
      <c r="F9" s="198" t="s">
        <v>335</v>
      </c>
      <c r="G9" s="199" t="s">
        <v>336</v>
      </c>
      <c r="H9" s="200">
        <v>74</v>
      </c>
      <c r="I9" s="200"/>
      <c r="J9" s="200"/>
      <c r="K9" s="201" t="s">
        <v>363</v>
      </c>
      <c r="L9" s="202">
        <v>3000</v>
      </c>
      <c r="M9" s="199"/>
      <c r="N9" s="202"/>
      <c r="O9" s="202"/>
      <c r="P9" s="202"/>
      <c r="Q9" s="202"/>
      <c r="R9" s="202"/>
      <c r="S9" s="202"/>
      <c r="T9" s="202"/>
      <c r="U9" s="202"/>
      <c r="V9" s="202"/>
      <c r="W9" s="200">
        <v>3.4909090909090903</v>
      </c>
      <c r="X9" s="200">
        <v>1.8727272727272726</v>
      </c>
      <c r="Y9" s="199" t="s">
        <v>364</v>
      </c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203" t="s">
        <v>327</v>
      </c>
      <c r="AP9" s="199"/>
      <c r="AQ9" s="199"/>
      <c r="AR9" s="199"/>
      <c r="AS9" s="199"/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203">
        <v>0</v>
      </c>
      <c r="BD9" s="203">
        <v>0</v>
      </c>
      <c r="BE9" s="203">
        <v>0</v>
      </c>
      <c r="BF9" s="199"/>
      <c r="BG9" s="203" t="s">
        <v>327</v>
      </c>
      <c r="BH9" s="203"/>
      <c r="BI9" s="203" t="s">
        <v>327</v>
      </c>
      <c r="BJ9" s="203"/>
      <c r="BK9" s="203"/>
      <c r="BL9" s="203"/>
      <c r="BM9" s="203"/>
      <c r="BN9" s="203"/>
      <c r="BO9" s="203"/>
      <c r="BP9" s="203" t="s">
        <v>330</v>
      </c>
      <c r="BQ9" s="203"/>
      <c r="BR9" s="198"/>
      <c r="BS9" s="169" t="s">
        <v>373</v>
      </c>
      <c r="BT9" s="196" t="s">
        <v>366</v>
      </c>
    </row>
    <row r="10" spans="1:72" x14ac:dyDescent="0.15">
      <c r="A10" s="197">
        <v>2666</v>
      </c>
      <c r="B10" s="234">
        <v>42605</v>
      </c>
      <c r="C10" s="198" t="s">
        <v>361</v>
      </c>
      <c r="D10" s="199" t="s">
        <v>334</v>
      </c>
      <c r="E10" s="234">
        <v>42571</v>
      </c>
      <c r="F10" s="198" t="s">
        <v>374</v>
      </c>
      <c r="G10" s="199" t="s">
        <v>375</v>
      </c>
      <c r="H10" s="200">
        <v>75</v>
      </c>
      <c r="I10" s="200"/>
      <c r="J10" s="200"/>
      <c r="K10" s="201" t="s">
        <v>363</v>
      </c>
      <c r="L10" s="202">
        <v>3040</v>
      </c>
      <c r="M10" s="199"/>
      <c r="N10" s="202"/>
      <c r="O10" s="202"/>
      <c r="P10" s="202"/>
      <c r="Q10" s="202"/>
      <c r="R10" s="202"/>
      <c r="S10" s="202"/>
      <c r="T10" s="202"/>
      <c r="U10" s="202"/>
      <c r="V10" s="202"/>
      <c r="W10" s="200">
        <v>3.5999999999999996</v>
      </c>
      <c r="X10" s="200">
        <v>2.2545454545454544</v>
      </c>
      <c r="Y10" s="199" t="s">
        <v>364</v>
      </c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203" t="s">
        <v>327</v>
      </c>
      <c r="AP10" s="199"/>
      <c r="AQ10" s="199"/>
      <c r="AR10" s="199"/>
      <c r="AS10" s="199"/>
      <c r="AT10" s="203">
        <v>0</v>
      </c>
      <c r="AU10" s="203">
        <v>0</v>
      </c>
      <c r="AV10" s="203">
        <v>5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203">
        <v>0</v>
      </c>
      <c r="BD10" s="203">
        <v>0</v>
      </c>
      <c r="BE10" s="203">
        <v>0</v>
      </c>
      <c r="BF10" s="199"/>
      <c r="BG10" s="203" t="s">
        <v>327</v>
      </c>
      <c r="BH10" s="203"/>
      <c r="BI10" s="203" t="s">
        <v>327</v>
      </c>
      <c r="BJ10" s="203"/>
      <c r="BK10" s="203"/>
      <c r="BL10" s="203"/>
      <c r="BM10" s="203"/>
      <c r="BN10" s="203"/>
      <c r="BO10" s="203"/>
      <c r="BP10" s="203" t="s">
        <v>330</v>
      </c>
      <c r="BQ10" s="203"/>
      <c r="BR10" s="198"/>
      <c r="BS10" s="236" t="s">
        <v>377</v>
      </c>
      <c r="BT10" s="196" t="s">
        <v>366</v>
      </c>
    </row>
    <row r="11" spans="1:72" x14ac:dyDescent="0.15">
      <c r="A11" s="197">
        <v>2131</v>
      </c>
      <c r="B11" s="234">
        <v>42566</v>
      </c>
      <c r="C11" s="198" t="s">
        <v>361</v>
      </c>
      <c r="D11" s="199" t="s">
        <v>89</v>
      </c>
      <c r="E11" s="234">
        <v>42551</v>
      </c>
      <c r="F11" s="198" t="s">
        <v>302</v>
      </c>
      <c r="G11" s="199" t="s">
        <v>339</v>
      </c>
      <c r="H11" s="200">
        <v>71.536363636363632</v>
      </c>
      <c r="I11" s="200"/>
      <c r="J11" s="200"/>
      <c r="K11" s="201" t="s">
        <v>363</v>
      </c>
      <c r="L11" s="202">
        <v>2958.9059999999999</v>
      </c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200">
        <v>4.1545454545454543</v>
      </c>
      <c r="X11" s="200">
        <v>1.9818181818181817</v>
      </c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203" t="s">
        <v>327</v>
      </c>
      <c r="AP11" s="203"/>
      <c r="AQ11" s="203"/>
      <c r="AR11" s="203"/>
      <c r="AS11" s="203"/>
      <c r="AT11" s="203">
        <v>9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203">
        <v>0</v>
      </c>
      <c r="BD11" s="203">
        <v>0</v>
      </c>
      <c r="BE11" s="203">
        <v>0</v>
      </c>
      <c r="BF11" s="199"/>
      <c r="BG11" s="203" t="s">
        <v>327</v>
      </c>
      <c r="BH11" s="203">
        <v>12</v>
      </c>
      <c r="BI11" s="203" t="s">
        <v>327</v>
      </c>
      <c r="BJ11" s="203"/>
      <c r="BK11" s="203"/>
      <c r="BL11" s="203"/>
      <c r="BM11" s="198"/>
      <c r="BN11" s="199"/>
      <c r="BO11" s="204"/>
      <c r="BP11" s="203" t="s">
        <v>330</v>
      </c>
      <c r="BQ11" s="203"/>
      <c r="BR11" s="198"/>
      <c r="BS11" s="196" t="s">
        <v>368</v>
      </c>
      <c r="BT11" s="196" t="s">
        <v>366</v>
      </c>
    </row>
    <row r="12" spans="1:72" x14ac:dyDescent="0.15">
      <c r="A12" s="197">
        <v>2131</v>
      </c>
      <c r="B12" s="234">
        <v>42566</v>
      </c>
      <c r="C12" s="198" t="s">
        <v>34</v>
      </c>
      <c r="D12" s="199" t="s">
        <v>35</v>
      </c>
      <c r="E12" s="234">
        <v>42551</v>
      </c>
      <c r="F12" s="198" t="s">
        <v>302</v>
      </c>
      <c r="G12" s="199" t="s">
        <v>339</v>
      </c>
      <c r="H12" s="200">
        <v>71.536363636363632</v>
      </c>
      <c r="I12" s="200"/>
      <c r="J12" s="200"/>
      <c r="K12" s="201" t="s">
        <v>363</v>
      </c>
      <c r="L12" s="202">
        <v>2958.9059999999999</v>
      </c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200">
        <v>4.1545454545454543</v>
      </c>
      <c r="X12" s="200">
        <v>1.9818181818181817</v>
      </c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203" t="s">
        <v>327</v>
      </c>
      <c r="AP12" s="203"/>
      <c r="AQ12" s="203"/>
      <c r="AR12" s="203"/>
      <c r="AS12" s="203"/>
      <c r="AT12" s="203">
        <v>9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203">
        <v>0</v>
      </c>
      <c r="BD12" s="203">
        <v>0</v>
      </c>
      <c r="BE12" s="203">
        <v>0</v>
      </c>
      <c r="BF12" s="199"/>
      <c r="BG12" s="203" t="s">
        <v>327</v>
      </c>
      <c r="BH12" s="203">
        <v>12</v>
      </c>
      <c r="BI12" s="203" t="s">
        <v>327</v>
      </c>
      <c r="BJ12" s="203"/>
      <c r="BK12" s="203"/>
      <c r="BL12" s="203"/>
      <c r="BM12" s="198"/>
      <c r="BN12" s="199"/>
      <c r="BO12" s="204"/>
      <c r="BP12" s="203" t="s">
        <v>330</v>
      </c>
      <c r="BQ12" s="203"/>
      <c r="BR12" s="198"/>
      <c r="BS12" s="196" t="s">
        <v>368</v>
      </c>
      <c r="BT12" s="196" t="s">
        <v>366</v>
      </c>
    </row>
    <row r="13" spans="1:72" x14ac:dyDescent="0.15">
      <c r="A13" s="197">
        <v>2131</v>
      </c>
      <c r="B13" s="234">
        <v>42566</v>
      </c>
      <c r="C13" s="198" t="s">
        <v>34</v>
      </c>
      <c r="D13" s="199" t="s">
        <v>41</v>
      </c>
      <c r="E13" s="234">
        <v>42551</v>
      </c>
      <c r="F13" s="198" t="s">
        <v>302</v>
      </c>
      <c r="G13" s="199" t="s">
        <v>339</v>
      </c>
      <c r="H13" s="200">
        <v>71.536363636363632</v>
      </c>
      <c r="I13" s="200"/>
      <c r="J13" s="200"/>
      <c r="K13" s="201" t="s">
        <v>363</v>
      </c>
      <c r="L13" s="202">
        <v>2958.9059999999999</v>
      </c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200">
        <v>4.1545454545454543</v>
      </c>
      <c r="X13" s="200">
        <v>1.9818181818181817</v>
      </c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203" t="s">
        <v>327</v>
      </c>
      <c r="AP13" s="203"/>
      <c r="AQ13" s="203"/>
      <c r="AR13" s="203"/>
      <c r="AS13" s="203"/>
      <c r="AT13" s="203">
        <v>9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203">
        <v>0</v>
      </c>
      <c r="BD13" s="203">
        <v>0</v>
      </c>
      <c r="BE13" s="203">
        <v>0</v>
      </c>
      <c r="BF13" s="199"/>
      <c r="BG13" s="203" t="s">
        <v>327</v>
      </c>
      <c r="BH13" s="203">
        <v>12</v>
      </c>
      <c r="BI13" s="203" t="s">
        <v>327</v>
      </c>
      <c r="BJ13" s="203"/>
      <c r="BK13" s="203"/>
      <c r="BL13" s="203"/>
      <c r="BM13" s="198"/>
      <c r="BN13" s="199"/>
      <c r="BO13" s="204"/>
      <c r="BP13" s="203" t="s">
        <v>330</v>
      </c>
      <c r="BQ13" s="203"/>
      <c r="BR13" s="198"/>
      <c r="BS13" s="196" t="s">
        <v>368</v>
      </c>
      <c r="BT13" s="196" t="s">
        <v>366</v>
      </c>
    </row>
    <row r="14" spans="1:72" x14ac:dyDescent="0.15">
      <c r="A14" s="197">
        <v>2131</v>
      </c>
      <c r="B14" s="234">
        <v>42566</v>
      </c>
      <c r="C14" s="198" t="s">
        <v>34</v>
      </c>
      <c r="D14" s="199" t="s">
        <v>42</v>
      </c>
      <c r="E14" s="234">
        <v>42551</v>
      </c>
      <c r="F14" s="198" t="s">
        <v>302</v>
      </c>
      <c r="G14" s="199" t="s">
        <v>339</v>
      </c>
      <c r="H14" s="200">
        <v>71.536363636363632</v>
      </c>
      <c r="I14" s="200"/>
      <c r="J14" s="200"/>
      <c r="K14" s="201" t="s">
        <v>363</v>
      </c>
      <c r="L14" s="202">
        <v>2958.9059999999999</v>
      </c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200">
        <v>4.1545454545454543</v>
      </c>
      <c r="X14" s="200">
        <v>1.9818181818181817</v>
      </c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203" t="s">
        <v>327</v>
      </c>
      <c r="AP14" s="203"/>
      <c r="AQ14" s="203"/>
      <c r="AR14" s="203"/>
      <c r="AS14" s="203"/>
      <c r="AT14" s="203">
        <v>9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203">
        <v>0</v>
      </c>
      <c r="BD14" s="203">
        <v>0</v>
      </c>
      <c r="BE14" s="203">
        <v>0</v>
      </c>
      <c r="BF14" s="199"/>
      <c r="BG14" s="203" t="s">
        <v>327</v>
      </c>
      <c r="BH14" s="203">
        <v>12</v>
      </c>
      <c r="BI14" s="203" t="s">
        <v>327</v>
      </c>
      <c r="BJ14" s="203"/>
      <c r="BK14" s="203"/>
      <c r="BL14" s="203"/>
      <c r="BM14" s="198"/>
      <c r="BN14" s="199"/>
      <c r="BO14" s="204"/>
      <c r="BP14" s="203" t="s">
        <v>330</v>
      </c>
      <c r="BQ14" s="203"/>
      <c r="BR14" s="198"/>
      <c r="BS14" s="196" t="s">
        <v>368</v>
      </c>
      <c r="BT14" s="196" t="s">
        <v>366</v>
      </c>
    </row>
    <row r="21" spans="4:12" x14ac:dyDescent="0.15">
      <c r="D21"/>
    </row>
    <row r="22" spans="4:12" x14ac:dyDescent="0.15">
      <c r="D22"/>
      <c r="L22"/>
    </row>
    <row r="23" spans="4:12" x14ac:dyDescent="0.15">
      <c r="D23"/>
    </row>
    <row r="24" spans="4:12" x14ac:dyDescent="0.15">
      <c r="D24"/>
    </row>
    <row r="25" spans="4:12" x14ac:dyDescent="0.15">
      <c r="D25"/>
    </row>
    <row r="26" spans="4:12" x14ac:dyDescent="0.15">
      <c r="D26"/>
    </row>
    <row r="27" spans="4:12" x14ac:dyDescent="0.15">
      <c r="D27"/>
    </row>
    <row r="28" spans="4:12" x14ac:dyDescent="0.15">
      <c r="D28"/>
    </row>
    <row r="29" spans="4:12" x14ac:dyDescent="0.15">
      <c r="D29"/>
    </row>
    <row r="30" spans="4:12" x14ac:dyDescent="0.15">
      <c r="D30"/>
    </row>
    <row r="31" spans="4:12" x14ac:dyDescent="0.15">
      <c r="D31"/>
    </row>
    <row r="32" spans="4:12" x14ac:dyDescent="0.15">
      <c r="D32"/>
    </row>
  </sheetData>
  <sheetProtection algorithmName="SHA-512" hashValue="pxfEZJPns8BuP02LeyO3Fu/pNrgmNMTJOe29UdiAEV7Orm1O1i1rE9gw7R5rAPQ5lTTqY2jbN67pBt9ZSDc25Q==" saltValue="zG5lAUlx0RPyAxMq+GtkaQ==" spinCount="100000" sheet="1" objects="1" scenarios="1"/>
  <mergeCells count="1">
    <mergeCell ref="K1:P1"/>
  </mergeCells>
  <hyperlinks>
    <hyperlink ref="BS10" r:id="rId1" xr:uid="{53EC94D6-327F-4D4B-B2DC-9F2AB4F8B9F7}"/>
  </hyperlinks>
  <pageMargins left="0.75" right="0.75" top="1" bottom="1" header="0.5" footer="0.5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C5E20-DAAB-6448-993E-EF8934498BBD}">
  <sheetPr codeName="Sheet12"/>
  <dimension ref="A1:BK12"/>
  <sheetViews>
    <sheetView workbookViewId="0">
      <selection activeCell="L31" sqref="L31"/>
    </sheetView>
  </sheetViews>
  <sheetFormatPr baseColWidth="10" defaultRowHeight="13" x14ac:dyDescent="0.15"/>
  <cols>
    <col min="4" max="4" width="19" bestFit="1" customWidth="1"/>
    <col min="6" max="6" width="14.1640625" bestFit="1" customWidth="1"/>
  </cols>
  <sheetData>
    <row r="1" spans="1:63" ht="70" x14ac:dyDescent="0.15">
      <c r="A1" s="77" t="s">
        <v>138</v>
      </c>
      <c r="B1" s="77" t="s">
        <v>139</v>
      </c>
      <c r="C1" s="78" t="s">
        <v>140</v>
      </c>
      <c r="D1" s="79" t="s">
        <v>141</v>
      </c>
      <c r="E1" s="77" t="s">
        <v>70</v>
      </c>
      <c r="F1" s="78" t="s">
        <v>71</v>
      </c>
      <c r="G1" s="79" t="s">
        <v>143</v>
      </c>
      <c r="H1" s="80" t="s">
        <v>144</v>
      </c>
      <c r="I1" s="81" t="s">
        <v>145</v>
      </c>
      <c r="J1" s="81" t="s">
        <v>146</v>
      </c>
      <c r="K1" s="81" t="s">
        <v>147</v>
      </c>
      <c r="L1" s="81" t="s">
        <v>148</v>
      </c>
      <c r="M1" s="81" t="s">
        <v>149</v>
      </c>
      <c r="N1" s="82" t="s">
        <v>150</v>
      </c>
      <c r="O1" s="83" t="s">
        <v>151</v>
      </c>
      <c r="P1" s="83" t="s">
        <v>152</v>
      </c>
      <c r="Q1" s="83" t="s">
        <v>47</v>
      </c>
      <c r="R1" s="83" t="s">
        <v>48</v>
      </c>
      <c r="S1" s="83" t="s">
        <v>49</v>
      </c>
      <c r="T1" s="84" t="s">
        <v>50</v>
      </c>
      <c r="U1" s="85" t="s">
        <v>51</v>
      </c>
      <c r="V1" s="85" t="s">
        <v>77</v>
      </c>
      <c r="W1" s="85" t="s">
        <v>78</v>
      </c>
      <c r="X1" s="85" t="s">
        <v>52</v>
      </c>
      <c r="Y1" s="85" t="s">
        <v>53</v>
      </c>
      <c r="Z1" s="86" t="s">
        <v>54</v>
      </c>
      <c r="AA1" s="87" t="s">
        <v>55</v>
      </c>
      <c r="AB1" s="87" t="s">
        <v>56</v>
      </c>
      <c r="AC1" s="87" t="s">
        <v>57</v>
      </c>
      <c r="AD1" s="87" t="s">
        <v>58</v>
      </c>
      <c r="AE1" s="87" t="s">
        <v>125</v>
      </c>
      <c r="AF1" s="88" t="s">
        <v>126</v>
      </c>
      <c r="AG1" s="89" t="s">
        <v>127</v>
      </c>
      <c r="AH1" s="89" t="s">
        <v>128</v>
      </c>
      <c r="AI1" s="89" t="s">
        <v>129</v>
      </c>
      <c r="AJ1" s="90" t="s">
        <v>130</v>
      </c>
      <c r="AK1" s="142" t="s">
        <v>306</v>
      </c>
      <c r="AL1" s="91" t="s">
        <v>13</v>
      </c>
      <c r="AM1" s="92" t="s">
        <v>14</v>
      </c>
      <c r="AN1" s="91" t="s">
        <v>15</v>
      </c>
      <c r="AO1" s="83" t="s">
        <v>16</v>
      </c>
      <c r="AP1" s="93" t="s">
        <v>134</v>
      </c>
      <c r="AQ1" s="83" t="s">
        <v>135</v>
      </c>
      <c r="AR1" s="93" t="s">
        <v>105</v>
      </c>
      <c r="AS1" s="84" t="s">
        <v>106</v>
      </c>
      <c r="AT1" s="143" t="s">
        <v>307</v>
      </c>
      <c r="AU1" s="144" t="s">
        <v>308</v>
      </c>
      <c r="AV1" s="93" t="s">
        <v>107</v>
      </c>
      <c r="AW1" s="84" t="s">
        <v>108</v>
      </c>
      <c r="AX1" s="77" t="s">
        <v>110</v>
      </c>
      <c r="AY1" s="94" t="s">
        <v>111</v>
      </c>
      <c r="AZ1" s="95" t="s">
        <v>112</v>
      </c>
      <c r="BA1" s="94" t="s">
        <v>113</v>
      </c>
      <c r="BB1" s="94" t="s">
        <v>309</v>
      </c>
      <c r="BC1" s="94" t="s">
        <v>310</v>
      </c>
      <c r="BD1" s="94" t="s">
        <v>311</v>
      </c>
      <c r="BE1" s="77" t="s">
        <v>114</v>
      </c>
      <c r="BF1" s="78" t="s">
        <v>115</v>
      </c>
      <c r="BG1" s="94" t="s">
        <v>116</v>
      </c>
      <c r="BH1" s="94" t="s">
        <v>98</v>
      </c>
      <c r="BI1" s="78" t="s">
        <v>117</v>
      </c>
      <c r="BJ1" s="94" t="s">
        <v>118</v>
      </c>
      <c r="BK1" s="77" t="s">
        <v>119</v>
      </c>
    </row>
    <row r="2" spans="1:63" x14ac:dyDescent="0.15">
      <c r="A2" s="70">
        <v>416</v>
      </c>
      <c r="B2" s="126">
        <v>41834</v>
      </c>
      <c r="C2" s="71" t="s">
        <v>34</v>
      </c>
      <c r="D2" s="72" t="s">
        <v>0</v>
      </c>
      <c r="E2" s="145">
        <v>42185</v>
      </c>
      <c r="F2" s="71" t="s">
        <v>244</v>
      </c>
      <c r="G2" s="166" t="s">
        <v>338</v>
      </c>
      <c r="H2" s="163">
        <v>72.099999999999994</v>
      </c>
      <c r="I2" s="164" t="s">
        <v>332</v>
      </c>
      <c r="J2" s="75">
        <v>10000</v>
      </c>
      <c r="K2" s="96">
        <v>10000</v>
      </c>
      <c r="L2" s="72"/>
      <c r="M2" s="72"/>
      <c r="N2" s="72"/>
      <c r="O2" s="163">
        <v>3.8181818181818179</v>
      </c>
      <c r="P2" s="163">
        <v>3.45</v>
      </c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6" t="s">
        <v>38</v>
      </c>
      <c r="AH2" s="76"/>
      <c r="AI2" s="76"/>
      <c r="AJ2" s="76"/>
      <c r="AK2" s="76"/>
      <c r="AL2" s="76">
        <v>3</v>
      </c>
      <c r="AM2" s="76">
        <v>0</v>
      </c>
      <c r="AN2" s="76">
        <v>0</v>
      </c>
      <c r="AO2" s="76">
        <v>0</v>
      </c>
      <c r="AP2" s="76">
        <v>0</v>
      </c>
      <c r="AQ2" s="76">
        <v>0</v>
      </c>
      <c r="AR2" s="76">
        <v>0</v>
      </c>
      <c r="AS2" s="76">
        <v>0</v>
      </c>
      <c r="AT2" s="76">
        <v>0</v>
      </c>
      <c r="AU2" s="76">
        <v>0</v>
      </c>
      <c r="AV2" s="76">
        <v>0</v>
      </c>
      <c r="AW2" s="76">
        <v>0</v>
      </c>
      <c r="AX2" s="72"/>
      <c r="AY2" s="76" t="s">
        <v>341</v>
      </c>
      <c r="AZ2" s="76">
        <v>12</v>
      </c>
      <c r="BA2" s="76" t="s">
        <v>341</v>
      </c>
      <c r="BB2" s="76"/>
      <c r="BC2" s="76"/>
      <c r="BD2" s="76"/>
      <c r="BE2" s="71"/>
      <c r="BF2" s="72"/>
      <c r="BG2" s="76"/>
      <c r="BH2" s="76" t="s">
        <v>344</v>
      </c>
      <c r="BI2" s="165"/>
      <c r="BJ2" s="146" t="s">
        <v>324</v>
      </c>
      <c r="BK2" s="146" t="s">
        <v>30</v>
      </c>
    </row>
    <row r="3" spans="1:63" x14ac:dyDescent="0.15">
      <c r="A3" s="70">
        <v>1174</v>
      </c>
      <c r="B3" s="126">
        <v>41834</v>
      </c>
      <c r="C3" s="71" t="s">
        <v>312</v>
      </c>
      <c r="D3" s="72" t="s">
        <v>313</v>
      </c>
      <c r="E3" s="145">
        <v>42185</v>
      </c>
      <c r="F3" s="71" t="s">
        <v>314</v>
      </c>
      <c r="G3" s="72" t="s">
        <v>337</v>
      </c>
      <c r="H3" s="72">
        <v>69.599999999999994</v>
      </c>
      <c r="I3" s="74" t="s">
        <v>333</v>
      </c>
      <c r="J3" s="75">
        <v>4500</v>
      </c>
      <c r="K3" s="96">
        <v>4500</v>
      </c>
      <c r="L3" s="72"/>
      <c r="M3" s="72"/>
      <c r="N3" s="72"/>
      <c r="O3" s="163">
        <v>3.3545454545454541</v>
      </c>
      <c r="P3" s="163">
        <v>2.5818181818181816</v>
      </c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6" t="s">
        <v>316</v>
      </c>
      <c r="AH3" s="76"/>
      <c r="AI3" s="76"/>
      <c r="AJ3" s="76"/>
      <c r="AK3" s="146"/>
      <c r="AL3" s="76">
        <v>0</v>
      </c>
      <c r="AM3" s="76">
        <v>0</v>
      </c>
      <c r="AN3" s="76">
        <v>0</v>
      </c>
      <c r="AO3" s="76">
        <v>0</v>
      </c>
      <c r="AP3" s="76">
        <v>0</v>
      </c>
      <c r="AQ3" s="76">
        <v>0</v>
      </c>
      <c r="AR3" s="76">
        <v>0</v>
      </c>
      <c r="AS3" s="76">
        <v>0</v>
      </c>
      <c r="AT3" s="76">
        <v>0</v>
      </c>
      <c r="AU3" s="76">
        <v>0</v>
      </c>
      <c r="AV3" s="76">
        <v>0</v>
      </c>
      <c r="AW3" s="76">
        <v>0</v>
      </c>
      <c r="AX3" s="72"/>
      <c r="AY3" s="76" t="s">
        <v>341</v>
      </c>
      <c r="AZ3" s="76"/>
      <c r="BA3" s="76" t="s">
        <v>341</v>
      </c>
      <c r="BB3" s="76"/>
      <c r="BC3" s="76"/>
      <c r="BD3" s="76"/>
      <c r="BE3" s="71"/>
      <c r="BF3" s="72"/>
      <c r="BG3" s="76"/>
      <c r="BH3" s="148" t="s">
        <v>330</v>
      </c>
      <c r="BI3" s="71"/>
      <c r="BJ3" s="146" t="s">
        <v>324</v>
      </c>
      <c r="BK3" s="146" t="s">
        <v>30</v>
      </c>
    </row>
    <row r="4" spans="1:63" x14ac:dyDescent="0.15">
      <c r="A4" s="70">
        <v>845</v>
      </c>
      <c r="B4" s="126">
        <v>41834</v>
      </c>
      <c r="C4" s="71" t="s">
        <v>312</v>
      </c>
      <c r="D4" s="72" t="s">
        <v>313</v>
      </c>
      <c r="E4" s="145">
        <v>42185</v>
      </c>
      <c r="F4" s="71" t="s">
        <v>319</v>
      </c>
      <c r="G4" s="72" t="s">
        <v>340</v>
      </c>
      <c r="H4" s="72">
        <v>79.2</v>
      </c>
      <c r="I4" s="74" t="s">
        <v>333</v>
      </c>
      <c r="J4" s="75">
        <v>2500</v>
      </c>
      <c r="K4" s="75">
        <v>4500</v>
      </c>
      <c r="L4" s="72"/>
      <c r="M4" s="72"/>
      <c r="N4" s="72"/>
      <c r="O4" s="163">
        <v>4.42</v>
      </c>
      <c r="P4" s="163">
        <v>3.82</v>
      </c>
      <c r="Q4" s="163">
        <v>2.27</v>
      </c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6" t="s">
        <v>316</v>
      </c>
      <c r="AH4" s="76"/>
      <c r="AI4" s="76"/>
      <c r="AJ4" s="76"/>
      <c r="AK4" s="146"/>
      <c r="AL4" s="76">
        <v>15</v>
      </c>
      <c r="AM4" s="76">
        <v>0</v>
      </c>
      <c r="AN4" s="76">
        <v>0</v>
      </c>
      <c r="AO4" s="76">
        <v>0</v>
      </c>
      <c r="AP4" s="76">
        <v>0</v>
      </c>
      <c r="AQ4" s="76">
        <v>0</v>
      </c>
      <c r="AR4" s="76">
        <v>0</v>
      </c>
      <c r="AS4" s="76">
        <v>0</v>
      </c>
      <c r="AT4" s="76">
        <v>0</v>
      </c>
      <c r="AU4" s="76">
        <v>0</v>
      </c>
      <c r="AV4" s="76">
        <v>0</v>
      </c>
      <c r="AW4" s="76">
        <v>0</v>
      </c>
      <c r="AX4" s="72"/>
      <c r="AY4" s="76" t="s">
        <v>341</v>
      </c>
      <c r="AZ4" s="76">
        <v>12</v>
      </c>
      <c r="BA4" s="76" t="s">
        <v>341</v>
      </c>
      <c r="BB4" s="76"/>
      <c r="BC4" s="76"/>
      <c r="BD4" s="76"/>
      <c r="BE4" s="71"/>
      <c r="BF4" s="72"/>
      <c r="BG4" s="76"/>
      <c r="BH4" s="76" t="s">
        <v>344</v>
      </c>
      <c r="BI4" s="71"/>
      <c r="BJ4" s="146" t="s">
        <v>324</v>
      </c>
      <c r="BK4" s="146" t="s">
        <v>30</v>
      </c>
    </row>
    <row r="5" spans="1:63" x14ac:dyDescent="0.15">
      <c r="A5" s="70">
        <v>397</v>
      </c>
      <c r="B5" s="126">
        <v>41834</v>
      </c>
      <c r="C5" s="71" t="s">
        <v>34</v>
      </c>
      <c r="D5" s="72" t="s">
        <v>5</v>
      </c>
      <c r="E5" s="145">
        <v>42185</v>
      </c>
      <c r="F5" s="71" t="s">
        <v>31</v>
      </c>
      <c r="G5" s="72" t="s">
        <v>339</v>
      </c>
      <c r="H5" s="163">
        <v>71.536363636363632</v>
      </c>
      <c r="I5" s="74" t="s">
        <v>332</v>
      </c>
      <c r="J5" s="75">
        <v>4500</v>
      </c>
      <c r="K5" s="96">
        <v>4500</v>
      </c>
      <c r="L5" s="72"/>
      <c r="M5" s="72"/>
      <c r="N5" s="72"/>
      <c r="O5" s="163">
        <v>4.1545454545454543</v>
      </c>
      <c r="P5" s="163">
        <v>1.9818181818181817</v>
      </c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6" t="s">
        <v>38</v>
      </c>
      <c r="AH5" s="76"/>
      <c r="AI5" s="76"/>
      <c r="AJ5" s="76"/>
      <c r="AK5" s="76"/>
      <c r="AL5" s="76">
        <v>9</v>
      </c>
      <c r="AM5" s="76">
        <v>0</v>
      </c>
      <c r="AN5" s="76">
        <v>0</v>
      </c>
      <c r="AO5" s="76">
        <v>0</v>
      </c>
      <c r="AP5" s="76">
        <v>0</v>
      </c>
      <c r="AQ5" s="76">
        <v>0</v>
      </c>
      <c r="AR5" s="76">
        <v>0</v>
      </c>
      <c r="AS5" s="76">
        <v>0</v>
      </c>
      <c r="AT5" s="76">
        <v>0</v>
      </c>
      <c r="AU5" s="76">
        <v>0</v>
      </c>
      <c r="AV5" s="76">
        <v>0</v>
      </c>
      <c r="AW5" s="76">
        <v>0</v>
      </c>
      <c r="AX5" s="72"/>
      <c r="AY5" s="76" t="s">
        <v>341</v>
      </c>
      <c r="AZ5" s="76">
        <v>12</v>
      </c>
      <c r="BA5" s="76" t="s">
        <v>341</v>
      </c>
      <c r="BB5" s="76"/>
      <c r="BC5" s="76"/>
      <c r="BD5" s="76"/>
      <c r="BE5" s="165"/>
      <c r="BF5" s="166"/>
      <c r="BG5" s="168"/>
      <c r="BH5" s="76" t="s">
        <v>344</v>
      </c>
      <c r="BI5" s="165"/>
      <c r="BJ5" s="146" t="s">
        <v>324</v>
      </c>
      <c r="BK5" s="146" t="s">
        <v>30</v>
      </c>
    </row>
    <row r="6" spans="1:63" x14ac:dyDescent="0.15">
      <c r="A6" s="70">
        <v>867</v>
      </c>
      <c r="B6" s="126">
        <v>41834</v>
      </c>
      <c r="C6" s="71" t="s">
        <v>312</v>
      </c>
      <c r="D6" s="72" t="s">
        <v>313</v>
      </c>
      <c r="E6" s="145">
        <v>42185</v>
      </c>
      <c r="F6" s="71" t="s">
        <v>325</v>
      </c>
      <c r="G6" s="72" t="s">
        <v>326</v>
      </c>
      <c r="H6" s="163">
        <v>62.009090909090901</v>
      </c>
      <c r="I6" s="74" t="s">
        <v>332</v>
      </c>
      <c r="J6" s="75">
        <v>2500</v>
      </c>
      <c r="K6" s="75">
        <v>4500</v>
      </c>
      <c r="L6" s="72"/>
      <c r="M6" s="72"/>
      <c r="N6" s="72"/>
      <c r="O6" s="163">
        <v>5.2272727272727266</v>
      </c>
      <c r="P6" s="163">
        <v>3.2363636363636363</v>
      </c>
      <c r="Q6" s="163">
        <v>2.0181818181818181</v>
      </c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6" t="s">
        <v>38</v>
      </c>
      <c r="AH6" s="76"/>
      <c r="AI6" s="76"/>
      <c r="AJ6" s="76"/>
      <c r="AK6" s="76"/>
      <c r="AL6" s="76">
        <v>0</v>
      </c>
      <c r="AM6" s="76">
        <v>0</v>
      </c>
      <c r="AN6" s="76">
        <v>0</v>
      </c>
      <c r="AO6" s="76">
        <v>0</v>
      </c>
      <c r="AP6" s="76">
        <v>0</v>
      </c>
      <c r="AQ6" s="76">
        <v>0</v>
      </c>
      <c r="AR6" s="76">
        <v>0</v>
      </c>
      <c r="AS6" s="76">
        <v>0</v>
      </c>
      <c r="AT6" s="76">
        <v>0</v>
      </c>
      <c r="AU6" s="76">
        <v>0</v>
      </c>
      <c r="AV6" s="76">
        <v>0</v>
      </c>
      <c r="AW6" s="76">
        <v>0</v>
      </c>
      <c r="AX6" s="76"/>
      <c r="AY6" s="76" t="s">
        <v>327</v>
      </c>
      <c r="AZ6" s="76"/>
      <c r="BA6" s="76" t="s">
        <v>341</v>
      </c>
      <c r="BB6" s="76"/>
      <c r="BC6" s="76"/>
      <c r="BD6" s="76"/>
      <c r="BE6" s="165" t="s">
        <v>342</v>
      </c>
      <c r="BF6" s="72" t="s">
        <v>68</v>
      </c>
      <c r="BG6" s="76">
        <v>30</v>
      </c>
      <c r="BH6" s="76" t="s">
        <v>343</v>
      </c>
      <c r="BI6" s="167"/>
      <c r="BJ6" t="s">
        <v>324</v>
      </c>
      <c r="BK6" s="146" t="s">
        <v>30</v>
      </c>
    </row>
    <row r="7" spans="1:63" x14ac:dyDescent="0.15">
      <c r="A7" s="70">
        <v>1089</v>
      </c>
      <c r="B7" s="126">
        <v>41834</v>
      </c>
      <c r="C7" s="71" t="s">
        <v>312</v>
      </c>
      <c r="D7" s="72" t="s">
        <v>313</v>
      </c>
      <c r="E7" s="145">
        <v>42185</v>
      </c>
      <c r="F7" s="71" t="s">
        <v>328</v>
      </c>
      <c r="G7" s="72" t="s">
        <v>329</v>
      </c>
      <c r="H7" s="163">
        <v>72</v>
      </c>
      <c r="I7" s="74" t="s">
        <v>332</v>
      </c>
      <c r="J7" s="75">
        <v>4500</v>
      </c>
      <c r="K7" s="96">
        <v>4500</v>
      </c>
      <c r="L7" s="75"/>
      <c r="M7" s="75"/>
      <c r="N7" s="75"/>
      <c r="O7" s="163">
        <v>3.88</v>
      </c>
      <c r="P7" s="163">
        <v>1.87</v>
      </c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6" t="s">
        <v>38</v>
      </c>
      <c r="AH7" s="72"/>
      <c r="AI7" s="72"/>
      <c r="AJ7" s="72"/>
      <c r="AK7" s="72"/>
      <c r="AL7" s="76">
        <v>0</v>
      </c>
      <c r="AM7" s="76">
        <v>0</v>
      </c>
      <c r="AN7" s="76">
        <v>10</v>
      </c>
      <c r="AO7" s="76">
        <v>0</v>
      </c>
      <c r="AP7" s="76">
        <v>0</v>
      </c>
      <c r="AQ7" s="76">
        <v>0</v>
      </c>
      <c r="AR7" s="76">
        <v>0</v>
      </c>
      <c r="AS7" s="76">
        <v>0</v>
      </c>
      <c r="AT7" s="76">
        <v>0</v>
      </c>
      <c r="AU7" s="76">
        <v>0</v>
      </c>
      <c r="AV7" s="76">
        <v>0</v>
      </c>
      <c r="AW7" s="76">
        <v>0</v>
      </c>
      <c r="AX7" s="76"/>
      <c r="AY7" s="76" t="s">
        <v>341</v>
      </c>
      <c r="AZ7" s="76"/>
      <c r="BA7" s="76" t="s">
        <v>341</v>
      </c>
      <c r="BB7" s="76"/>
      <c r="BC7" s="76"/>
      <c r="BD7" s="76"/>
      <c r="BE7" s="71"/>
      <c r="BF7" s="72"/>
      <c r="BG7" s="76"/>
      <c r="BH7" s="76" t="s">
        <v>344</v>
      </c>
      <c r="BI7" s="71"/>
      <c r="BJ7" s="146" t="s">
        <v>324</v>
      </c>
      <c r="BK7" s="146" t="s">
        <v>4</v>
      </c>
    </row>
    <row r="8" spans="1:63" x14ac:dyDescent="0.15">
      <c r="A8" s="70"/>
      <c r="B8" s="126">
        <v>41835</v>
      </c>
      <c r="C8" s="71" t="s">
        <v>312</v>
      </c>
      <c r="D8" s="72" t="s">
        <v>334</v>
      </c>
      <c r="E8" s="145">
        <v>42185</v>
      </c>
      <c r="F8" s="165" t="s">
        <v>335</v>
      </c>
      <c r="G8" s="72" t="s">
        <v>336</v>
      </c>
      <c r="H8" s="163">
        <v>68.5</v>
      </c>
      <c r="I8" s="74" t="s">
        <v>332</v>
      </c>
      <c r="J8" s="75">
        <v>4500</v>
      </c>
      <c r="K8" s="96">
        <v>4500</v>
      </c>
      <c r="L8" s="75"/>
      <c r="M8" s="75"/>
      <c r="N8" s="75"/>
      <c r="O8" s="163">
        <v>3.35</v>
      </c>
      <c r="P8" s="163">
        <v>1.78</v>
      </c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6" t="s">
        <v>38</v>
      </c>
      <c r="AH8" s="72"/>
      <c r="AI8" s="72"/>
      <c r="AJ8" s="72"/>
      <c r="AK8" s="72"/>
      <c r="AL8" s="76">
        <v>0</v>
      </c>
      <c r="AM8" s="76">
        <v>0</v>
      </c>
      <c r="AN8" s="76">
        <v>0</v>
      </c>
      <c r="AO8" s="76">
        <v>0</v>
      </c>
      <c r="AP8" s="76">
        <v>0</v>
      </c>
      <c r="AQ8" s="76">
        <v>0</v>
      </c>
      <c r="AR8" s="76">
        <v>0</v>
      </c>
      <c r="AS8" s="76">
        <v>0</v>
      </c>
      <c r="AT8" s="76">
        <v>0</v>
      </c>
      <c r="AU8" s="76">
        <v>0</v>
      </c>
      <c r="AV8" s="76">
        <v>0</v>
      </c>
      <c r="AW8" s="76">
        <v>0</v>
      </c>
      <c r="AX8" s="72"/>
      <c r="AY8" s="76" t="s">
        <v>341</v>
      </c>
      <c r="AZ8" s="76"/>
      <c r="BA8" s="76" t="s">
        <v>341</v>
      </c>
      <c r="BB8" s="76"/>
      <c r="BC8" s="76"/>
      <c r="BD8" s="76"/>
      <c r="BE8" s="76"/>
      <c r="BF8" s="76"/>
      <c r="BG8" s="76"/>
      <c r="BH8" s="148" t="s">
        <v>330</v>
      </c>
      <c r="BI8" s="71"/>
      <c r="BJ8" s="169" t="s">
        <v>324</v>
      </c>
      <c r="BK8" s="146" t="s">
        <v>4</v>
      </c>
    </row>
    <row r="9" spans="1:63" x14ac:dyDescent="0.15">
      <c r="A9" s="70">
        <v>401</v>
      </c>
      <c r="B9" s="126">
        <v>41834</v>
      </c>
      <c r="C9" s="71" t="s">
        <v>34</v>
      </c>
      <c r="D9" s="72" t="s">
        <v>89</v>
      </c>
      <c r="E9" s="145">
        <v>42185</v>
      </c>
      <c r="F9" s="71" t="s">
        <v>31</v>
      </c>
      <c r="G9" s="72" t="s">
        <v>339</v>
      </c>
      <c r="H9" s="163">
        <v>71.536363636363632</v>
      </c>
      <c r="I9" s="74" t="s">
        <v>332</v>
      </c>
      <c r="J9" s="75">
        <v>4500</v>
      </c>
      <c r="K9" s="96">
        <v>4500</v>
      </c>
      <c r="L9" s="72"/>
      <c r="M9" s="72"/>
      <c r="N9" s="72"/>
      <c r="O9" s="163">
        <v>4.1545454545454543</v>
      </c>
      <c r="P9" s="163">
        <v>1.9818181818181817</v>
      </c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6" t="s">
        <v>38</v>
      </c>
      <c r="AH9" s="76"/>
      <c r="AI9" s="76"/>
      <c r="AJ9" s="76"/>
      <c r="AK9" s="76"/>
      <c r="AL9" s="76">
        <v>9</v>
      </c>
      <c r="AM9" s="76">
        <v>0</v>
      </c>
      <c r="AN9" s="76">
        <v>0</v>
      </c>
      <c r="AO9" s="76">
        <v>0</v>
      </c>
      <c r="AP9" s="76">
        <v>0</v>
      </c>
      <c r="AQ9" s="76">
        <v>0</v>
      </c>
      <c r="AR9" s="76">
        <v>0</v>
      </c>
      <c r="AS9" s="76">
        <v>0</v>
      </c>
      <c r="AT9" s="76">
        <v>0</v>
      </c>
      <c r="AU9" s="76">
        <v>0</v>
      </c>
      <c r="AV9" s="76">
        <v>0</v>
      </c>
      <c r="AW9" s="76">
        <v>0</v>
      </c>
      <c r="AX9" s="72"/>
      <c r="AY9" s="76" t="s">
        <v>341</v>
      </c>
      <c r="AZ9" s="76">
        <v>12</v>
      </c>
      <c r="BA9" s="76" t="s">
        <v>341</v>
      </c>
      <c r="BB9" s="76"/>
      <c r="BC9" s="76"/>
      <c r="BD9" s="76"/>
      <c r="BE9" s="165"/>
      <c r="BF9" s="166"/>
      <c r="BG9" s="168"/>
      <c r="BH9" s="76" t="s">
        <v>344</v>
      </c>
      <c r="BI9" s="165"/>
      <c r="BJ9" s="146" t="s">
        <v>324</v>
      </c>
      <c r="BK9" s="146" t="s">
        <v>30</v>
      </c>
    </row>
    <row r="10" spans="1:63" x14ac:dyDescent="0.15">
      <c r="A10" s="70">
        <v>405</v>
      </c>
      <c r="B10" s="126">
        <v>41834</v>
      </c>
      <c r="C10" s="71" t="s">
        <v>34</v>
      </c>
      <c r="D10" s="72" t="s">
        <v>35</v>
      </c>
      <c r="E10" s="145">
        <v>42185</v>
      </c>
      <c r="F10" s="71" t="s">
        <v>31</v>
      </c>
      <c r="G10" s="72" t="s">
        <v>339</v>
      </c>
      <c r="H10" s="163">
        <v>71.536363636363632</v>
      </c>
      <c r="I10" s="74" t="s">
        <v>332</v>
      </c>
      <c r="J10" s="75">
        <v>4500</v>
      </c>
      <c r="K10" s="96">
        <v>4500</v>
      </c>
      <c r="L10" s="72"/>
      <c r="M10" s="72"/>
      <c r="N10" s="72"/>
      <c r="O10" s="163">
        <v>4.1545454545454543</v>
      </c>
      <c r="P10" s="163">
        <v>1.9818181818181817</v>
      </c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6" t="s">
        <v>38</v>
      </c>
      <c r="AH10" s="76"/>
      <c r="AI10" s="76"/>
      <c r="AJ10" s="76"/>
      <c r="AK10" s="76"/>
      <c r="AL10" s="76">
        <v>9</v>
      </c>
      <c r="AM10" s="76">
        <v>0</v>
      </c>
      <c r="AN10" s="76">
        <v>0</v>
      </c>
      <c r="AO10" s="76">
        <v>0</v>
      </c>
      <c r="AP10" s="76">
        <v>0</v>
      </c>
      <c r="AQ10" s="76">
        <v>0</v>
      </c>
      <c r="AR10" s="76">
        <v>0</v>
      </c>
      <c r="AS10" s="76">
        <v>0</v>
      </c>
      <c r="AT10" s="76">
        <v>0</v>
      </c>
      <c r="AU10" s="76">
        <v>0</v>
      </c>
      <c r="AV10" s="76">
        <v>0</v>
      </c>
      <c r="AW10" s="76">
        <v>0</v>
      </c>
      <c r="AX10" s="72"/>
      <c r="AY10" s="76" t="s">
        <v>341</v>
      </c>
      <c r="AZ10" s="76">
        <v>12</v>
      </c>
      <c r="BA10" s="76" t="s">
        <v>341</v>
      </c>
      <c r="BB10" s="76"/>
      <c r="BC10" s="76"/>
      <c r="BD10" s="76"/>
      <c r="BE10" s="165"/>
      <c r="BF10" s="166"/>
      <c r="BG10" s="168"/>
      <c r="BH10" s="76" t="s">
        <v>344</v>
      </c>
      <c r="BI10" s="165"/>
      <c r="BJ10" s="146" t="s">
        <v>324</v>
      </c>
      <c r="BK10" s="146" t="s">
        <v>30</v>
      </c>
    </row>
    <row r="11" spans="1:63" x14ac:dyDescent="0.15">
      <c r="A11" s="70">
        <v>409</v>
      </c>
      <c r="B11" s="126">
        <v>41834</v>
      </c>
      <c r="C11" s="71" t="s">
        <v>34</v>
      </c>
      <c r="D11" s="72" t="s">
        <v>41</v>
      </c>
      <c r="E11" s="145">
        <v>42185</v>
      </c>
      <c r="F11" s="71" t="s">
        <v>31</v>
      </c>
      <c r="G11" s="72" t="s">
        <v>339</v>
      </c>
      <c r="H11" s="163">
        <v>71.536363636363632</v>
      </c>
      <c r="I11" s="74" t="s">
        <v>332</v>
      </c>
      <c r="J11" s="75">
        <v>4500</v>
      </c>
      <c r="K11" s="96">
        <v>4500</v>
      </c>
      <c r="L11" s="72"/>
      <c r="M11" s="72"/>
      <c r="N11" s="72"/>
      <c r="O11" s="163">
        <v>4.1545454545454543</v>
      </c>
      <c r="P11" s="163">
        <v>1.9818181818181817</v>
      </c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6" t="s">
        <v>38</v>
      </c>
      <c r="AH11" s="76"/>
      <c r="AI11" s="76"/>
      <c r="AJ11" s="76"/>
      <c r="AK11" s="76"/>
      <c r="AL11" s="76">
        <v>9</v>
      </c>
      <c r="AM11" s="76">
        <v>0</v>
      </c>
      <c r="AN11" s="76">
        <v>0</v>
      </c>
      <c r="AO11" s="76">
        <v>0</v>
      </c>
      <c r="AP11" s="76">
        <v>0</v>
      </c>
      <c r="AQ11" s="76">
        <v>0</v>
      </c>
      <c r="AR11" s="76">
        <v>0</v>
      </c>
      <c r="AS11" s="76">
        <v>0</v>
      </c>
      <c r="AT11" s="76">
        <v>0</v>
      </c>
      <c r="AU11" s="76">
        <v>0</v>
      </c>
      <c r="AV11" s="76">
        <v>0</v>
      </c>
      <c r="AW11" s="76">
        <v>0</v>
      </c>
      <c r="AX11" s="72"/>
      <c r="AY11" s="76" t="s">
        <v>341</v>
      </c>
      <c r="AZ11" s="76">
        <v>12</v>
      </c>
      <c r="BA11" s="76" t="s">
        <v>341</v>
      </c>
      <c r="BB11" s="76"/>
      <c r="BC11" s="76"/>
      <c r="BD11" s="76"/>
      <c r="BE11" s="165"/>
      <c r="BF11" s="166"/>
      <c r="BG11" s="168"/>
      <c r="BH11" s="76" t="s">
        <v>344</v>
      </c>
      <c r="BI11" s="165"/>
      <c r="BJ11" s="146" t="s">
        <v>324</v>
      </c>
      <c r="BK11" s="146" t="s">
        <v>30</v>
      </c>
    </row>
    <row r="12" spans="1:63" x14ac:dyDescent="0.15">
      <c r="A12" s="70">
        <v>413</v>
      </c>
      <c r="B12" s="126">
        <v>41834</v>
      </c>
      <c r="C12" s="71" t="s">
        <v>34</v>
      </c>
      <c r="D12" s="72" t="s">
        <v>42</v>
      </c>
      <c r="E12" s="145">
        <v>42185</v>
      </c>
      <c r="F12" s="71" t="s">
        <v>31</v>
      </c>
      <c r="G12" s="72" t="s">
        <v>339</v>
      </c>
      <c r="H12" s="163">
        <v>71.536363636363632</v>
      </c>
      <c r="I12" s="74" t="s">
        <v>332</v>
      </c>
      <c r="J12" s="75">
        <v>4500</v>
      </c>
      <c r="K12" s="96">
        <v>4500</v>
      </c>
      <c r="L12" s="72"/>
      <c r="M12" s="72"/>
      <c r="N12" s="72"/>
      <c r="O12" s="163">
        <v>4.1545454545454543</v>
      </c>
      <c r="P12" s="163">
        <v>1.9818181818181817</v>
      </c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6" t="s">
        <v>38</v>
      </c>
      <c r="AH12" s="76"/>
      <c r="AI12" s="76"/>
      <c r="AJ12" s="76"/>
      <c r="AK12" s="76"/>
      <c r="AL12" s="76">
        <v>9</v>
      </c>
      <c r="AM12" s="76">
        <v>0</v>
      </c>
      <c r="AN12" s="76">
        <v>0</v>
      </c>
      <c r="AO12" s="76">
        <v>0</v>
      </c>
      <c r="AP12" s="76">
        <v>0</v>
      </c>
      <c r="AQ12" s="76">
        <v>0</v>
      </c>
      <c r="AR12" s="76">
        <v>0</v>
      </c>
      <c r="AS12" s="76">
        <v>0</v>
      </c>
      <c r="AT12" s="76">
        <v>0</v>
      </c>
      <c r="AU12" s="76">
        <v>0</v>
      </c>
      <c r="AV12" s="76">
        <v>0</v>
      </c>
      <c r="AW12" s="76">
        <v>0</v>
      </c>
      <c r="AX12" s="72"/>
      <c r="AY12" s="76" t="s">
        <v>341</v>
      </c>
      <c r="AZ12" s="76">
        <v>12</v>
      </c>
      <c r="BA12" s="76" t="s">
        <v>341</v>
      </c>
      <c r="BB12" s="76"/>
      <c r="BC12" s="76"/>
      <c r="BD12" s="76"/>
      <c r="BE12" s="165"/>
      <c r="BF12" s="166"/>
      <c r="BG12" s="168"/>
      <c r="BH12" s="76" t="s">
        <v>344</v>
      </c>
      <c r="BI12" s="165"/>
      <c r="BJ12" s="146" t="s">
        <v>324</v>
      </c>
      <c r="BK12" s="146" t="s">
        <v>30</v>
      </c>
    </row>
  </sheetData>
  <sheetProtection algorithmName="SHA-512" hashValue="2jaFndISWr02Zf0GcNFThX38jwWy9N4fACq4Ek/VIPwuwBkZDDr3ZPQLHqUWWtqFbIwuwfOtU/5P4ZYohbEf3w==" saltValue="NJDixDwTfSwP7vFmmGPq3A==" spinCount="100000" sheet="1" objects="1" scenarios="1"/>
  <pageMargins left="0.75" right="0.75" top="1" bottom="1" header="0.5" footer="0.5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99D72-0955-9E4E-A934-DAEBBF03E0D6}">
  <sheetPr codeName="Sheet13"/>
  <dimension ref="A1:BK11"/>
  <sheetViews>
    <sheetView workbookViewId="0">
      <selection activeCell="F2" sqref="F2:F7"/>
    </sheetView>
  </sheetViews>
  <sheetFormatPr baseColWidth="10" defaultRowHeight="13" x14ac:dyDescent="0.15"/>
  <cols>
    <col min="4" max="4" width="19" bestFit="1" customWidth="1"/>
    <col min="6" max="6" width="14.1640625" bestFit="1" customWidth="1"/>
  </cols>
  <sheetData>
    <row r="1" spans="1:63" ht="70" x14ac:dyDescent="0.15">
      <c r="A1" s="77" t="s">
        <v>138</v>
      </c>
      <c r="B1" s="77" t="s">
        <v>139</v>
      </c>
      <c r="C1" s="78" t="s">
        <v>140</v>
      </c>
      <c r="D1" s="79" t="s">
        <v>141</v>
      </c>
      <c r="E1" s="77" t="s">
        <v>70</v>
      </c>
      <c r="F1" s="78" t="s">
        <v>71</v>
      </c>
      <c r="G1" s="79" t="s">
        <v>143</v>
      </c>
      <c r="H1" s="80" t="s">
        <v>144</v>
      </c>
      <c r="I1" s="81" t="s">
        <v>145</v>
      </c>
      <c r="J1" s="81" t="s">
        <v>146</v>
      </c>
      <c r="K1" s="81" t="s">
        <v>147</v>
      </c>
      <c r="L1" s="81" t="s">
        <v>148</v>
      </c>
      <c r="M1" s="81" t="s">
        <v>149</v>
      </c>
      <c r="N1" s="82" t="s">
        <v>150</v>
      </c>
      <c r="O1" s="83" t="s">
        <v>151</v>
      </c>
      <c r="P1" s="83" t="s">
        <v>152</v>
      </c>
      <c r="Q1" s="83" t="s">
        <v>47</v>
      </c>
      <c r="R1" s="83" t="s">
        <v>48</v>
      </c>
      <c r="S1" s="83" t="s">
        <v>49</v>
      </c>
      <c r="T1" s="84" t="s">
        <v>50</v>
      </c>
      <c r="U1" s="85" t="s">
        <v>51</v>
      </c>
      <c r="V1" s="85" t="s">
        <v>77</v>
      </c>
      <c r="W1" s="85" t="s">
        <v>78</v>
      </c>
      <c r="X1" s="85" t="s">
        <v>52</v>
      </c>
      <c r="Y1" s="85" t="s">
        <v>53</v>
      </c>
      <c r="Z1" s="86" t="s">
        <v>54</v>
      </c>
      <c r="AA1" s="87" t="s">
        <v>55</v>
      </c>
      <c r="AB1" s="87" t="s">
        <v>56</v>
      </c>
      <c r="AC1" s="87" t="s">
        <v>57</v>
      </c>
      <c r="AD1" s="87" t="s">
        <v>58</v>
      </c>
      <c r="AE1" s="87" t="s">
        <v>125</v>
      </c>
      <c r="AF1" s="88" t="s">
        <v>126</v>
      </c>
      <c r="AG1" s="89" t="s">
        <v>127</v>
      </c>
      <c r="AH1" s="89" t="s">
        <v>128</v>
      </c>
      <c r="AI1" s="89" t="s">
        <v>129</v>
      </c>
      <c r="AJ1" s="90" t="s">
        <v>130</v>
      </c>
      <c r="AK1" s="142" t="s">
        <v>306</v>
      </c>
      <c r="AL1" s="91" t="s">
        <v>13</v>
      </c>
      <c r="AM1" s="92" t="s">
        <v>14</v>
      </c>
      <c r="AN1" s="91" t="s">
        <v>15</v>
      </c>
      <c r="AO1" s="83" t="s">
        <v>16</v>
      </c>
      <c r="AP1" s="93" t="s">
        <v>134</v>
      </c>
      <c r="AQ1" s="83" t="s">
        <v>135</v>
      </c>
      <c r="AR1" s="93" t="s">
        <v>105</v>
      </c>
      <c r="AS1" s="84" t="s">
        <v>106</v>
      </c>
      <c r="AT1" s="143" t="s">
        <v>307</v>
      </c>
      <c r="AU1" s="144" t="s">
        <v>308</v>
      </c>
      <c r="AV1" s="93" t="s">
        <v>107</v>
      </c>
      <c r="AW1" s="84" t="s">
        <v>108</v>
      </c>
      <c r="AX1" s="77" t="s">
        <v>110</v>
      </c>
      <c r="AY1" s="94" t="s">
        <v>111</v>
      </c>
      <c r="AZ1" s="95" t="s">
        <v>112</v>
      </c>
      <c r="BA1" s="94" t="s">
        <v>113</v>
      </c>
      <c r="BB1" s="94" t="s">
        <v>309</v>
      </c>
      <c r="BC1" s="94" t="s">
        <v>310</v>
      </c>
      <c r="BD1" s="94" t="s">
        <v>311</v>
      </c>
      <c r="BE1" s="77" t="s">
        <v>114</v>
      </c>
      <c r="BF1" s="78" t="s">
        <v>115</v>
      </c>
      <c r="BG1" s="94" t="s">
        <v>116</v>
      </c>
      <c r="BH1" s="94" t="s">
        <v>98</v>
      </c>
      <c r="BI1" s="78" t="s">
        <v>117</v>
      </c>
      <c r="BJ1" s="94" t="s">
        <v>118</v>
      </c>
      <c r="BK1" s="77" t="s">
        <v>119</v>
      </c>
    </row>
    <row r="2" spans="1:63" x14ac:dyDescent="0.15">
      <c r="A2" s="70">
        <v>416</v>
      </c>
      <c r="B2" s="126">
        <v>41834</v>
      </c>
      <c r="C2" s="71" t="s">
        <v>34</v>
      </c>
      <c r="D2" s="72" t="s">
        <v>0</v>
      </c>
      <c r="E2" s="145">
        <v>41851</v>
      </c>
      <c r="F2" s="71" t="s">
        <v>244</v>
      </c>
      <c r="G2" s="72" t="s">
        <v>1</v>
      </c>
      <c r="H2" s="72">
        <v>69</v>
      </c>
      <c r="I2" s="74"/>
      <c r="J2" s="75"/>
      <c r="K2" s="75"/>
      <c r="L2" s="72"/>
      <c r="M2" s="72"/>
      <c r="N2" s="72"/>
      <c r="O2" s="72">
        <v>3.65</v>
      </c>
      <c r="P2" s="72">
        <v>3.3</v>
      </c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6" t="s">
        <v>38</v>
      </c>
      <c r="AH2" s="76"/>
      <c r="AI2" s="76"/>
      <c r="AJ2" s="76"/>
      <c r="AK2" s="76"/>
      <c r="AL2" s="76">
        <v>0</v>
      </c>
      <c r="AM2" s="76">
        <v>0</v>
      </c>
      <c r="AN2" s="76">
        <v>0</v>
      </c>
      <c r="AO2" s="76">
        <v>7</v>
      </c>
      <c r="AP2" s="76">
        <v>0</v>
      </c>
      <c r="AQ2" s="76">
        <v>0</v>
      </c>
      <c r="AR2" s="76">
        <v>0</v>
      </c>
      <c r="AS2" s="76">
        <v>0</v>
      </c>
      <c r="AT2" s="76">
        <v>0</v>
      </c>
      <c r="AU2" s="76">
        <v>0</v>
      </c>
      <c r="AV2" s="76">
        <v>0</v>
      </c>
      <c r="AW2" s="76">
        <v>2</v>
      </c>
      <c r="AX2" s="72"/>
      <c r="AY2" s="76" t="s">
        <v>38</v>
      </c>
      <c r="AZ2" s="76">
        <v>12</v>
      </c>
      <c r="BA2" s="76" t="s">
        <v>38</v>
      </c>
      <c r="BB2" s="76"/>
      <c r="BC2" s="76"/>
      <c r="BD2" s="76"/>
      <c r="BE2" s="71"/>
      <c r="BF2" s="72"/>
      <c r="BG2" s="76"/>
      <c r="BH2" s="76" t="s">
        <v>2</v>
      </c>
      <c r="BI2" s="71"/>
      <c r="BJ2" t="s">
        <v>3</v>
      </c>
      <c r="BK2" t="s">
        <v>4</v>
      </c>
    </row>
    <row r="3" spans="1:63" x14ac:dyDescent="0.15">
      <c r="A3" s="70">
        <v>1174</v>
      </c>
      <c r="B3" s="126">
        <v>41834</v>
      </c>
      <c r="C3" s="71" t="s">
        <v>312</v>
      </c>
      <c r="D3" s="72" t="s">
        <v>313</v>
      </c>
      <c r="E3" s="145">
        <v>41865</v>
      </c>
      <c r="F3" s="71" t="s">
        <v>314</v>
      </c>
      <c r="G3" s="72" t="s">
        <v>315</v>
      </c>
      <c r="H3" s="72">
        <v>69.599999999999994</v>
      </c>
      <c r="I3" s="74" t="s">
        <v>255</v>
      </c>
      <c r="J3" s="75">
        <v>4500</v>
      </c>
      <c r="K3" s="96">
        <v>4500</v>
      </c>
      <c r="L3" s="72"/>
      <c r="M3" s="72"/>
      <c r="N3" s="72"/>
      <c r="O3" s="72">
        <v>3.81</v>
      </c>
      <c r="P3" s="72">
        <v>2.93</v>
      </c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6" t="s">
        <v>316</v>
      </c>
      <c r="AH3" s="76"/>
      <c r="AI3" s="76"/>
      <c r="AJ3" s="76"/>
      <c r="AK3" s="146"/>
      <c r="AL3" s="76">
        <v>0</v>
      </c>
      <c r="AM3" s="76">
        <v>0</v>
      </c>
      <c r="AN3" s="76">
        <v>0</v>
      </c>
      <c r="AO3" s="76">
        <v>12</v>
      </c>
      <c r="AP3" s="76">
        <v>0</v>
      </c>
      <c r="AQ3" s="76">
        <v>0</v>
      </c>
      <c r="AR3" s="76">
        <v>0</v>
      </c>
      <c r="AS3" s="76">
        <v>0</v>
      </c>
      <c r="AT3" s="76">
        <v>0</v>
      </c>
      <c r="AU3" s="76">
        <v>0</v>
      </c>
      <c r="AV3" s="76">
        <v>0</v>
      </c>
      <c r="AW3" s="76">
        <v>0</v>
      </c>
      <c r="AX3" s="72"/>
      <c r="AY3" s="76" t="s">
        <v>316</v>
      </c>
      <c r="AZ3" s="76">
        <v>24</v>
      </c>
      <c r="BA3" s="76" t="s">
        <v>316</v>
      </c>
      <c r="BB3" s="76"/>
      <c r="BC3" s="76"/>
      <c r="BD3" s="76"/>
      <c r="BE3" s="71"/>
      <c r="BF3" s="72"/>
      <c r="BG3" s="76"/>
      <c r="BH3" s="76" t="s">
        <v>317</v>
      </c>
      <c r="BI3" s="71"/>
      <c r="BJ3" s="146" t="s">
        <v>318</v>
      </c>
      <c r="BK3" s="146" t="s">
        <v>4</v>
      </c>
    </row>
    <row r="4" spans="1:63" x14ac:dyDescent="0.15">
      <c r="A4" s="70">
        <v>845</v>
      </c>
      <c r="B4" s="126">
        <v>41834</v>
      </c>
      <c r="C4" s="71" t="s">
        <v>312</v>
      </c>
      <c r="D4" s="72" t="s">
        <v>313</v>
      </c>
      <c r="E4" s="145">
        <v>41859</v>
      </c>
      <c r="F4" s="71" t="s">
        <v>319</v>
      </c>
      <c r="G4" s="72" t="s">
        <v>320</v>
      </c>
      <c r="H4" s="72">
        <v>79.2</v>
      </c>
      <c r="I4" s="74" t="s">
        <v>255</v>
      </c>
      <c r="J4" s="75">
        <v>2500</v>
      </c>
      <c r="K4" s="75">
        <v>4500</v>
      </c>
      <c r="L4" s="72"/>
      <c r="M4" s="72"/>
      <c r="N4" s="72"/>
      <c r="O4" s="72">
        <v>4.42</v>
      </c>
      <c r="P4" s="72">
        <v>3.82</v>
      </c>
      <c r="Q4" s="72">
        <v>2.27</v>
      </c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6" t="s">
        <v>316</v>
      </c>
      <c r="AH4" s="76"/>
      <c r="AI4" s="76"/>
      <c r="AJ4" s="76"/>
      <c r="AK4" s="146"/>
      <c r="AL4" s="76">
        <v>0</v>
      </c>
      <c r="AM4" s="76">
        <v>20</v>
      </c>
      <c r="AN4" s="76">
        <v>0</v>
      </c>
      <c r="AO4" s="76">
        <v>0</v>
      </c>
      <c r="AP4" s="76">
        <v>0</v>
      </c>
      <c r="AQ4" s="76">
        <v>0</v>
      </c>
      <c r="AR4" s="76">
        <v>0</v>
      </c>
      <c r="AS4" s="76">
        <v>0</v>
      </c>
      <c r="AT4" s="76">
        <v>0</v>
      </c>
      <c r="AU4" s="76">
        <v>0</v>
      </c>
      <c r="AV4" s="76">
        <v>0</v>
      </c>
      <c r="AW4" s="76">
        <v>0</v>
      </c>
      <c r="AX4" s="72"/>
      <c r="AY4" s="76" t="s">
        <v>316</v>
      </c>
      <c r="AZ4" s="76">
        <v>12</v>
      </c>
      <c r="BA4" s="76" t="s">
        <v>316</v>
      </c>
      <c r="BB4" s="76"/>
      <c r="BC4" s="76"/>
      <c r="BD4" s="76"/>
      <c r="BE4" s="71" t="s">
        <v>321</v>
      </c>
      <c r="BF4" s="72" t="s">
        <v>322</v>
      </c>
      <c r="BG4" s="76">
        <v>50</v>
      </c>
      <c r="BH4" s="76" t="s">
        <v>323</v>
      </c>
      <c r="BI4" s="71"/>
      <c r="BJ4" s="146" t="s">
        <v>324</v>
      </c>
      <c r="BK4" s="146" t="s">
        <v>4</v>
      </c>
    </row>
    <row r="5" spans="1:63" x14ac:dyDescent="0.15">
      <c r="A5" s="70">
        <v>397</v>
      </c>
      <c r="B5" s="126">
        <v>41834</v>
      </c>
      <c r="C5" s="71" t="s">
        <v>34</v>
      </c>
      <c r="D5" s="72" t="s">
        <v>5</v>
      </c>
      <c r="E5" s="73">
        <v>41820</v>
      </c>
      <c r="F5" s="71" t="s">
        <v>31</v>
      </c>
      <c r="G5" s="72" t="s">
        <v>32</v>
      </c>
      <c r="H5" s="72">
        <v>71</v>
      </c>
      <c r="I5" s="74" t="s">
        <v>255</v>
      </c>
      <c r="J5" s="75">
        <v>4500</v>
      </c>
      <c r="K5" s="96">
        <v>4500</v>
      </c>
      <c r="L5" s="72"/>
      <c r="M5" s="72"/>
      <c r="N5" s="72"/>
      <c r="O5" s="72">
        <v>3.9</v>
      </c>
      <c r="P5" s="72">
        <v>1.9</v>
      </c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6" t="s">
        <v>38</v>
      </c>
      <c r="AH5" s="76"/>
      <c r="AI5" s="76"/>
      <c r="AJ5" s="76"/>
      <c r="AK5" s="76"/>
      <c r="AL5" s="76">
        <v>0</v>
      </c>
      <c r="AM5" s="76">
        <v>0</v>
      </c>
      <c r="AN5" s="76">
        <v>0</v>
      </c>
      <c r="AO5" s="76">
        <v>11</v>
      </c>
      <c r="AP5" s="76">
        <v>0</v>
      </c>
      <c r="AQ5" s="76">
        <v>0</v>
      </c>
      <c r="AR5" s="76">
        <v>0</v>
      </c>
      <c r="AS5" s="76">
        <v>0</v>
      </c>
      <c r="AT5" s="76">
        <v>0</v>
      </c>
      <c r="AU5" s="76">
        <v>0</v>
      </c>
      <c r="AV5" s="76">
        <v>0</v>
      </c>
      <c r="AW5" s="76">
        <v>0</v>
      </c>
      <c r="AX5" s="72"/>
      <c r="AY5" s="76" t="s">
        <v>38</v>
      </c>
      <c r="AZ5" s="76">
        <v>12</v>
      </c>
      <c r="BA5" s="76" t="s">
        <v>38</v>
      </c>
      <c r="BB5" s="76"/>
      <c r="BC5" s="76"/>
      <c r="BD5" s="76"/>
      <c r="BE5" s="71"/>
      <c r="BF5" s="72"/>
      <c r="BG5" s="76"/>
      <c r="BH5" s="76" t="s">
        <v>2</v>
      </c>
      <c r="BI5" s="71"/>
      <c r="BJ5" t="s">
        <v>64</v>
      </c>
      <c r="BK5" t="s">
        <v>4</v>
      </c>
    </row>
    <row r="6" spans="1:63" x14ac:dyDescent="0.15">
      <c r="A6" s="70">
        <v>867</v>
      </c>
      <c r="B6" s="126">
        <v>41834</v>
      </c>
      <c r="C6" s="71" t="s">
        <v>312</v>
      </c>
      <c r="D6" s="72" t="s">
        <v>313</v>
      </c>
      <c r="E6" s="147">
        <v>41858</v>
      </c>
      <c r="F6" s="71" t="s">
        <v>325</v>
      </c>
      <c r="G6" s="72" t="s">
        <v>326</v>
      </c>
      <c r="H6" s="72">
        <v>62.64</v>
      </c>
      <c r="I6" s="74" t="s">
        <v>255</v>
      </c>
      <c r="J6" s="75">
        <v>2500</v>
      </c>
      <c r="K6" s="75">
        <v>4500</v>
      </c>
      <c r="L6" s="72"/>
      <c r="M6" s="72"/>
      <c r="N6" s="72"/>
      <c r="O6" s="72">
        <v>4.87</v>
      </c>
      <c r="P6" s="72">
        <v>3.02</v>
      </c>
      <c r="Q6" s="72">
        <v>1.88</v>
      </c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6" t="s">
        <v>38</v>
      </c>
      <c r="AH6" s="76"/>
      <c r="AI6" s="76"/>
      <c r="AJ6" s="76"/>
      <c r="AK6" s="76"/>
      <c r="AL6" s="76">
        <v>0</v>
      </c>
      <c r="AM6" s="76">
        <v>0</v>
      </c>
      <c r="AN6" s="76">
        <v>0</v>
      </c>
      <c r="AO6" s="76">
        <v>15</v>
      </c>
      <c r="AP6" s="76">
        <v>0</v>
      </c>
      <c r="AQ6" s="76">
        <v>0</v>
      </c>
      <c r="AR6" s="76">
        <v>0</v>
      </c>
      <c r="AS6" s="76">
        <v>0</v>
      </c>
      <c r="AT6" s="76">
        <v>0</v>
      </c>
      <c r="AU6" s="76">
        <v>0</v>
      </c>
      <c r="AV6" s="76">
        <v>0</v>
      </c>
      <c r="AW6" s="76">
        <v>0</v>
      </c>
      <c r="AX6" s="76"/>
      <c r="AY6" s="148" t="s">
        <v>327</v>
      </c>
      <c r="AZ6" s="76">
        <v>24</v>
      </c>
      <c r="BA6" s="76" t="s">
        <v>38</v>
      </c>
      <c r="BB6" s="76"/>
      <c r="BC6" s="76"/>
      <c r="BD6" s="76"/>
      <c r="BE6" s="71" t="s">
        <v>67</v>
      </c>
      <c r="BF6" s="72" t="s">
        <v>68</v>
      </c>
      <c r="BG6" s="76">
        <v>25</v>
      </c>
      <c r="BH6" s="76" t="s">
        <v>8</v>
      </c>
      <c r="BI6" s="71"/>
      <c r="BJ6" t="s">
        <v>26</v>
      </c>
      <c r="BK6" t="s">
        <v>4</v>
      </c>
    </row>
    <row r="7" spans="1:63" x14ac:dyDescent="0.15">
      <c r="A7" s="70">
        <v>1089</v>
      </c>
      <c r="B7" s="126">
        <v>41834</v>
      </c>
      <c r="C7" s="71" t="s">
        <v>312</v>
      </c>
      <c r="D7" s="72" t="s">
        <v>313</v>
      </c>
      <c r="E7" s="145">
        <v>41844</v>
      </c>
      <c r="F7" s="71" t="s">
        <v>328</v>
      </c>
      <c r="G7" s="72" t="s">
        <v>329</v>
      </c>
      <c r="H7" s="72">
        <v>72</v>
      </c>
      <c r="I7" s="74" t="s">
        <v>255</v>
      </c>
      <c r="J7" s="75">
        <v>4500</v>
      </c>
      <c r="K7" s="96">
        <v>4500</v>
      </c>
      <c r="L7" s="75"/>
      <c r="M7" s="75"/>
      <c r="N7" s="75"/>
      <c r="O7" s="72">
        <v>3.88</v>
      </c>
      <c r="P7" s="72">
        <v>1.87</v>
      </c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6" t="s">
        <v>38</v>
      </c>
      <c r="AH7" s="72"/>
      <c r="AI7" s="72"/>
      <c r="AJ7" s="72"/>
      <c r="AK7" s="72"/>
      <c r="AL7" s="76">
        <v>0</v>
      </c>
      <c r="AM7" s="76">
        <v>0</v>
      </c>
      <c r="AN7" s="76">
        <v>10</v>
      </c>
      <c r="AO7" s="76">
        <v>0</v>
      </c>
      <c r="AP7" s="76">
        <v>0</v>
      </c>
      <c r="AQ7" s="76">
        <v>0</v>
      </c>
      <c r="AR7" s="76">
        <v>0</v>
      </c>
      <c r="AS7" s="76">
        <v>0</v>
      </c>
      <c r="AT7" s="76">
        <v>0</v>
      </c>
      <c r="AU7" s="76">
        <v>0</v>
      </c>
      <c r="AV7" s="76">
        <v>0</v>
      </c>
      <c r="AW7" s="76">
        <v>0</v>
      </c>
      <c r="AX7" s="76"/>
      <c r="AY7" s="76" t="s">
        <v>38</v>
      </c>
      <c r="AZ7" s="76"/>
      <c r="BA7" s="76" t="s">
        <v>38</v>
      </c>
      <c r="BB7" s="76"/>
      <c r="BC7" s="76"/>
      <c r="BD7" s="76"/>
      <c r="BE7" s="71"/>
      <c r="BF7" s="72"/>
      <c r="BG7" s="76"/>
      <c r="BH7" s="148" t="s">
        <v>330</v>
      </c>
      <c r="BI7" s="71"/>
      <c r="BJ7" t="s">
        <v>29</v>
      </c>
      <c r="BK7" t="s">
        <v>30</v>
      </c>
    </row>
    <row r="8" spans="1:63" x14ac:dyDescent="0.15">
      <c r="A8" s="70">
        <v>401</v>
      </c>
      <c r="B8" s="126">
        <v>41834</v>
      </c>
      <c r="C8" s="71" t="s">
        <v>34</v>
      </c>
      <c r="D8" s="72" t="s">
        <v>89</v>
      </c>
      <c r="E8" s="73">
        <v>41820</v>
      </c>
      <c r="F8" s="71" t="s">
        <v>31</v>
      </c>
      <c r="G8" s="72" t="s">
        <v>32</v>
      </c>
      <c r="H8" s="72">
        <v>71</v>
      </c>
      <c r="I8" s="74" t="s">
        <v>255</v>
      </c>
      <c r="J8" s="75">
        <v>4500</v>
      </c>
      <c r="K8" s="96">
        <v>4500</v>
      </c>
      <c r="L8" s="72"/>
      <c r="M8" s="72"/>
      <c r="N8" s="72"/>
      <c r="O8" s="72">
        <v>3.9</v>
      </c>
      <c r="P8" s="72">
        <v>1.9</v>
      </c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6" t="s">
        <v>38</v>
      </c>
      <c r="AH8" s="76"/>
      <c r="AI8" s="76"/>
      <c r="AJ8" s="76"/>
      <c r="AK8" s="76"/>
      <c r="AL8" s="76">
        <v>0</v>
      </c>
      <c r="AM8" s="76">
        <v>0</v>
      </c>
      <c r="AN8" s="76">
        <v>0</v>
      </c>
      <c r="AO8" s="76">
        <v>11</v>
      </c>
      <c r="AP8" s="76">
        <v>0</v>
      </c>
      <c r="AQ8" s="76">
        <v>0</v>
      </c>
      <c r="AR8" s="76">
        <v>0</v>
      </c>
      <c r="AS8" s="76">
        <v>0</v>
      </c>
      <c r="AT8" s="76">
        <v>0</v>
      </c>
      <c r="AU8" s="76">
        <v>0</v>
      </c>
      <c r="AV8" s="76">
        <v>0</v>
      </c>
      <c r="AW8" s="76">
        <v>0</v>
      </c>
      <c r="AX8" s="72"/>
      <c r="AY8" s="76" t="s">
        <v>38</v>
      </c>
      <c r="AZ8" s="76">
        <v>12</v>
      </c>
      <c r="BA8" s="76" t="s">
        <v>38</v>
      </c>
      <c r="BB8" s="76"/>
      <c r="BC8" s="76"/>
      <c r="BD8" s="76"/>
      <c r="BE8" s="71"/>
      <c r="BF8" s="72"/>
      <c r="BG8" s="76"/>
      <c r="BH8" s="76" t="s">
        <v>2</v>
      </c>
      <c r="BI8" s="71"/>
      <c r="BJ8" t="s">
        <v>33</v>
      </c>
      <c r="BK8" t="s">
        <v>4</v>
      </c>
    </row>
    <row r="9" spans="1:63" x14ac:dyDescent="0.15">
      <c r="A9" s="70">
        <v>405</v>
      </c>
      <c r="B9" s="126">
        <v>41834</v>
      </c>
      <c r="C9" s="71" t="s">
        <v>34</v>
      </c>
      <c r="D9" s="72" t="s">
        <v>35</v>
      </c>
      <c r="E9" s="73">
        <v>41820</v>
      </c>
      <c r="F9" s="71" t="s">
        <v>31</v>
      </c>
      <c r="G9" s="72" t="s">
        <v>32</v>
      </c>
      <c r="H9" s="72">
        <v>71</v>
      </c>
      <c r="I9" s="74" t="s">
        <v>255</v>
      </c>
      <c r="J9" s="75">
        <v>4500</v>
      </c>
      <c r="K9" s="96">
        <v>4500</v>
      </c>
      <c r="L9" s="72"/>
      <c r="M9" s="72"/>
      <c r="N9" s="72"/>
      <c r="O9" s="72">
        <v>3.9</v>
      </c>
      <c r="P9" s="72">
        <v>1.9</v>
      </c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6" t="s">
        <v>38</v>
      </c>
      <c r="AH9" s="76"/>
      <c r="AI9" s="76"/>
      <c r="AJ9" s="76"/>
      <c r="AK9" s="76"/>
      <c r="AL9" s="76">
        <v>0</v>
      </c>
      <c r="AM9" s="76">
        <v>0</v>
      </c>
      <c r="AN9" s="76">
        <v>0</v>
      </c>
      <c r="AO9" s="76">
        <v>11</v>
      </c>
      <c r="AP9" s="76">
        <v>0</v>
      </c>
      <c r="AQ9" s="76">
        <v>0</v>
      </c>
      <c r="AR9" s="76">
        <v>0</v>
      </c>
      <c r="AS9" s="76">
        <v>0</v>
      </c>
      <c r="AT9" s="76">
        <v>0</v>
      </c>
      <c r="AU9" s="76">
        <v>0</v>
      </c>
      <c r="AV9" s="76">
        <v>0</v>
      </c>
      <c r="AW9" s="76">
        <v>0</v>
      </c>
      <c r="AX9" s="72"/>
      <c r="AY9" s="76" t="s">
        <v>38</v>
      </c>
      <c r="AZ9" s="76">
        <v>12</v>
      </c>
      <c r="BA9" s="76" t="s">
        <v>38</v>
      </c>
      <c r="BB9" s="76"/>
      <c r="BC9" s="76"/>
      <c r="BD9" s="76"/>
      <c r="BE9" s="71"/>
      <c r="BF9" s="72"/>
      <c r="BG9" s="76"/>
      <c r="BH9" s="76" t="s">
        <v>2</v>
      </c>
      <c r="BI9" s="71"/>
      <c r="BJ9" t="s">
        <v>40</v>
      </c>
      <c r="BK9" t="s">
        <v>4</v>
      </c>
    </row>
    <row r="10" spans="1:63" x14ac:dyDescent="0.15">
      <c r="A10" s="70">
        <v>409</v>
      </c>
      <c r="B10" s="126">
        <v>41834</v>
      </c>
      <c r="C10" s="71" t="s">
        <v>34</v>
      </c>
      <c r="D10" s="72" t="s">
        <v>41</v>
      </c>
      <c r="E10" s="73">
        <v>41820</v>
      </c>
      <c r="F10" s="71" t="s">
        <v>31</v>
      </c>
      <c r="G10" s="72" t="s">
        <v>32</v>
      </c>
      <c r="H10" s="72">
        <v>71</v>
      </c>
      <c r="I10" s="74" t="s">
        <v>255</v>
      </c>
      <c r="J10" s="75">
        <v>4500</v>
      </c>
      <c r="K10" s="96">
        <v>4500</v>
      </c>
      <c r="L10" s="72"/>
      <c r="M10" s="72"/>
      <c r="N10" s="72"/>
      <c r="O10" s="72">
        <v>3.9</v>
      </c>
      <c r="P10" s="72">
        <v>1.9</v>
      </c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6" t="s">
        <v>38</v>
      </c>
      <c r="AH10" s="76"/>
      <c r="AI10" s="76"/>
      <c r="AJ10" s="76"/>
      <c r="AK10" s="76"/>
      <c r="AL10" s="76">
        <v>0</v>
      </c>
      <c r="AM10" s="76">
        <v>0</v>
      </c>
      <c r="AN10" s="76">
        <v>0</v>
      </c>
      <c r="AO10" s="76">
        <v>11</v>
      </c>
      <c r="AP10" s="76">
        <v>0</v>
      </c>
      <c r="AQ10" s="76">
        <v>0</v>
      </c>
      <c r="AR10" s="76">
        <v>0</v>
      </c>
      <c r="AS10" s="76">
        <v>0</v>
      </c>
      <c r="AT10" s="76">
        <v>0</v>
      </c>
      <c r="AU10" s="76">
        <v>0</v>
      </c>
      <c r="AV10" s="76">
        <v>0</v>
      </c>
      <c r="AW10" s="76">
        <v>0</v>
      </c>
      <c r="AX10" s="72"/>
      <c r="AY10" s="76" t="s">
        <v>38</v>
      </c>
      <c r="AZ10" s="76">
        <v>12</v>
      </c>
      <c r="BA10" s="76" t="s">
        <v>38</v>
      </c>
      <c r="BB10" s="76"/>
      <c r="BC10" s="76"/>
      <c r="BD10" s="76"/>
      <c r="BE10" s="71"/>
      <c r="BF10" s="72"/>
      <c r="BG10" s="76"/>
      <c r="BH10" s="76" t="s">
        <v>2</v>
      </c>
      <c r="BI10" s="71"/>
      <c r="BJ10" t="s">
        <v>64</v>
      </c>
      <c r="BK10" t="s">
        <v>4</v>
      </c>
    </row>
    <row r="11" spans="1:63" x14ac:dyDescent="0.15">
      <c r="A11" s="70">
        <v>413</v>
      </c>
      <c r="B11" s="126">
        <v>41834</v>
      </c>
      <c r="C11" s="71" t="s">
        <v>34</v>
      </c>
      <c r="D11" s="72" t="s">
        <v>42</v>
      </c>
      <c r="E11" s="73">
        <v>41820</v>
      </c>
      <c r="F11" s="71" t="s">
        <v>31</v>
      </c>
      <c r="G11" s="72" t="s">
        <v>32</v>
      </c>
      <c r="H11" s="72">
        <v>71</v>
      </c>
      <c r="I11" s="74" t="s">
        <v>255</v>
      </c>
      <c r="J11" s="75">
        <v>4500</v>
      </c>
      <c r="K11" s="96">
        <v>4500</v>
      </c>
      <c r="L11" s="72"/>
      <c r="M11" s="72"/>
      <c r="N11" s="72"/>
      <c r="O11" s="72">
        <v>3.9</v>
      </c>
      <c r="P11" s="72">
        <v>1.9</v>
      </c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6" t="s">
        <v>38</v>
      </c>
      <c r="AH11" s="76"/>
      <c r="AI11" s="76"/>
      <c r="AJ11" s="76"/>
      <c r="AK11" s="76"/>
      <c r="AL11" s="76">
        <v>0</v>
      </c>
      <c r="AM11" s="76">
        <v>0</v>
      </c>
      <c r="AN11" s="76">
        <v>0</v>
      </c>
      <c r="AO11" s="76">
        <v>11</v>
      </c>
      <c r="AP11" s="76">
        <v>0</v>
      </c>
      <c r="AQ11" s="76">
        <v>0</v>
      </c>
      <c r="AR11" s="76">
        <v>0</v>
      </c>
      <c r="AS11" s="76">
        <v>0</v>
      </c>
      <c r="AT11" s="76">
        <v>0</v>
      </c>
      <c r="AU11" s="76">
        <v>0</v>
      </c>
      <c r="AV11" s="76">
        <v>0</v>
      </c>
      <c r="AW11" s="76">
        <v>0</v>
      </c>
      <c r="AX11" s="72"/>
      <c r="AY11" s="76" t="s">
        <v>38</v>
      </c>
      <c r="AZ11" s="76">
        <v>12</v>
      </c>
      <c r="BA11" s="76" t="s">
        <v>38</v>
      </c>
      <c r="BB11" s="76"/>
      <c r="BC11" s="76"/>
      <c r="BD11" s="76"/>
      <c r="BE11" s="71"/>
      <c r="BF11" s="72"/>
      <c r="BG11" s="76"/>
      <c r="BH11" s="76" t="s">
        <v>2</v>
      </c>
      <c r="BI11" s="71"/>
      <c r="BJ11" t="s">
        <v>43</v>
      </c>
      <c r="BK11" t="s">
        <v>4</v>
      </c>
    </row>
  </sheetData>
  <sheetProtection algorithmName="SHA-512" hashValue="5jnlPYXAlbiXBDwCrf/rTyd5ZyoOVimLPy1OH4iPfGUjgmIv6MaEWnuSF1lCDsL+bvVu3yBEXQIKSHgdLiL20w==" saltValue="otYKSnhgC/f5Sjk61UZEyg==" spinCount="100000" sheet="1" objects="1" scenarios="1"/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EF419-5416-C447-B233-D9F172666F64}">
  <sheetPr codeName="Sheet24"/>
  <dimension ref="A1:UE5198"/>
  <sheetViews>
    <sheetView tabSelected="1" zoomScale="130" zoomScaleNormal="130" workbookViewId="0">
      <selection activeCell="D29" sqref="D29"/>
    </sheetView>
  </sheetViews>
  <sheetFormatPr baseColWidth="10" defaultRowHeight="13" x14ac:dyDescent="0.15"/>
  <cols>
    <col min="1" max="1" width="14.83203125" style="231" customWidth="1"/>
    <col min="2" max="2" width="19.1640625" style="231" customWidth="1"/>
    <col min="3" max="3" width="18.1640625" style="231" bestFit="1" customWidth="1"/>
    <col min="4" max="8" width="11.83203125" style="231" customWidth="1"/>
    <col min="9" max="10" width="11.83203125" style="231" hidden="1" customWidth="1"/>
    <col min="11" max="15" width="11.83203125" style="231" customWidth="1"/>
    <col min="16" max="19" width="11.83203125" style="231" hidden="1" customWidth="1"/>
    <col min="20" max="21" width="11.83203125" style="231" customWidth="1"/>
    <col min="552" max="16384" width="10.83203125" style="231"/>
  </cols>
  <sheetData>
    <row r="1" spans="1:38" customFormat="1" x14ac:dyDescent="0.15">
      <c r="A1" s="332" t="s">
        <v>12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33"/>
      <c r="AK1" s="333"/>
      <c r="AL1" s="333"/>
    </row>
    <row r="2" spans="1:38" customFormat="1" x14ac:dyDescent="0.15">
      <c r="A2" s="332" t="s">
        <v>97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</row>
    <row r="3" spans="1:38" customFormat="1" ht="14" thickBot="1" x14ac:dyDescent="0.2">
      <c r="A3" s="332"/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  <c r="AJ3" s="333"/>
      <c r="AK3" s="333"/>
      <c r="AL3" s="333"/>
    </row>
    <row r="4" spans="1:38" ht="14" x14ac:dyDescent="0.15">
      <c r="A4" s="207" t="s">
        <v>25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10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</row>
    <row r="5" spans="1:38" ht="14" x14ac:dyDescent="0.15">
      <c r="A5" s="211" t="s">
        <v>358</v>
      </c>
      <c r="B5" s="212"/>
      <c r="C5" s="345">
        <v>5250</v>
      </c>
      <c r="D5" s="213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4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</row>
    <row r="6" spans="1:38" ht="14" x14ac:dyDescent="0.15">
      <c r="A6" s="211"/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4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38" ht="75" x14ac:dyDescent="0.15">
      <c r="A7" s="237" t="s">
        <v>71</v>
      </c>
      <c r="B7" s="238" t="s">
        <v>75</v>
      </c>
      <c r="C7" s="238" t="s">
        <v>45</v>
      </c>
      <c r="D7" s="239" t="s">
        <v>46</v>
      </c>
      <c r="E7" s="239" t="s">
        <v>90</v>
      </c>
      <c r="F7" s="239" t="s">
        <v>91</v>
      </c>
      <c r="G7" s="239" t="s">
        <v>92</v>
      </c>
      <c r="H7" s="240" t="s">
        <v>276</v>
      </c>
      <c r="I7" s="249" t="s">
        <v>79</v>
      </c>
      <c r="J7" s="250" t="s">
        <v>18</v>
      </c>
      <c r="K7" s="241" t="s">
        <v>378</v>
      </c>
      <c r="L7" s="242" t="s">
        <v>19</v>
      </c>
      <c r="M7" s="243" t="s">
        <v>20</v>
      </c>
      <c r="N7" s="243" t="s">
        <v>21</v>
      </c>
      <c r="O7" s="243" t="s">
        <v>22</v>
      </c>
      <c r="P7" s="244" t="s">
        <v>355</v>
      </c>
      <c r="Q7" s="244" t="s">
        <v>356</v>
      </c>
      <c r="R7" s="251" t="s">
        <v>80</v>
      </c>
      <c r="S7" s="251" t="s">
        <v>81</v>
      </c>
      <c r="T7" s="245" t="s">
        <v>82</v>
      </c>
      <c r="U7" s="339" t="s">
        <v>83</v>
      </c>
      <c r="V7" s="333"/>
      <c r="W7" s="333"/>
      <c r="X7" s="333"/>
      <c r="Y7" s="333"/>
      <c r="Z7" s="333"/>
      <c r="AA7" s="333"/>
      <c r="AB7" s="333"/>
      <c r="AC7" s="333"/>
      <c r="AD7" s="333"/>
      <c r="AE7" s="333"/>
      <c r="AF7" s="333"/>
      <c r="AG7" s="333"/>
      <c r="AH7" s="333"/>
      <c r="AI7" s="333"/>
      <c r="AJ7" s="333"/>
      <c r="AK7" s="333"/>
      <c r="AL7" s="333"/>
    </row>
    <row r="8" spans="1:38" ht="20" customHeight="1" x14ac:dyDescent="0.15">
      <c r="A8" s="215" t="str">
        <f>'Tariffs 2023'!F3</f>
        <v>AGL</v>
      </c>
      <c r="B8" s="213" t="str">
        <f>'Tariffs 2023'!D3</f>
        <v>AGN Metro</v>
      </c>
      <c r="C8" s="213" t="str">
        <f>'Tariffs 2023'!G3</f>
        <v>Value Saver</v>
      </c>
      <c r="D8" s="216">
        <f>91*'Tariffs 2023'!H3/100</f>
        <v>67.257272727272721</v>
      </c>
      <c r="E8" s="216">
        <f>IF('Tariffs 2023'!K3="",$C$5*'Tariffs 2023'!W3/100,IF($C$5&gt;='Tariffs 2023'!L3*1.5,('Tariffs 2023'!L3*1.5*'Tariffs 2023'!W3/100),($C$5*'Tariffs 2023'!W3/100)))</f>
        <v>224.31818181818181</v>
      </c>
      <c r="F8" s="216">
        <f>IF(AND('Tariffs 2023'!L3*1.5&gt;0,'Tariffs 2023'!M3*1.5&gt;0),IF($C$5&lt;'Tariffs 2023'!L3*1.5,0,IF(($C$5-'Tariffs 2023'!L3*1.5)&lt;=('Tariffs 2023'!M3*1.5+'Tariffs 2023'!L3*1.5),(($C$5-'Tariffs 2023'!L3*1.5)*'Tariffs 2023'!X3/100),(('Tariffs 2023'!M3*1.5)*'Tariffs 2023'!X3/100))),0)</f>
        <v>0</v>
      </c>
      <c r="G8" s="216">
        <f>IF(AND('Tariffs 2023'!P3&gt;0,'Tariffs 2023'!O3&gt;0),IF(($C$5&lt;(SUM('Tariffs 2023'!L3:P3))*1.5),(0),($C$5-(SUM('Tariffs 2023'!L3:P3)*1.5))*'Tariffs 2023'!AB3/100),IF(AND('Tariffs 2023'!O3&gt;0,'Tariffs 2023'!P3=""),IF(($C$5&lt; (SUM('Tariffs 2023'!L3:O3))*1.5),(0),($C$5-(SUM('Tariffs 2023'!L3:O3))*1.5)*'Tariffs 2023'!AA3/100),IF(AND('Tariffs 2023'!N3&gt;0,'Tariffs 2023'!O3=""),IF(($C$5&lt;(SUM('Tariffs 2023'!L3:N3))*1.5),(0),($C$5-(SUM('Tariffs 2023'!L3:N3))*1.5)*'Tariffs 2023'!Z3/100),IF(AND('Tariffs 2023'!M3&gt;0,'Tariffs 2023'!N3=""),IF(($C$5&lt;'Tariffs 2023'!M3*1.5+'Tariffs 2023'!L3*1.5),(0),(($C$5-('Tariffs 2023'!M3*1.5+'Tariffs 2023'!L3*1.5))*'Tariffs 2023'!Y3/100)),IF(AND('Tariffs 2023'!L3&gt;0,'Tariffs 2023'!M3=""&gt;0),IF(($C$5&lt;'Tariffs 2023'!L3*1.5),(0),($C$5-('Tariffs 2023'!L3*1.5))*'Tariffs 2023'!X3/100),0)))))</f>
        <v>0</v>
      </c>
      <c r="H8" s="216">
        <f>SUM(D8:G8)</f>
        <v>291.57545454545453</v>
      </c>
      <c r="I8" s="216">
        <f t="shared" ref="I8:I14" si="0">(H8-D8)*4</f>
        <v>897.27272727272725</v>
      </c>
      <c r="J8" s="252">
        <f>H8*4</f>
        <v>1166.3018181818181</v>
      </c>
      <c r="K8" s="256">
        <f>J8*1.1</f>
        <v>1282.932</v>
      </c>
      <c r="L8" s="213">
        <f>'Tariffs 2023'!AT3</f>
        <v>0</v>
      </c>
      <c r="M8" s="213">
        <f>'Tariffs 2023'!AU3</f>
        <v>0</v>
      </c>
      <c r="N8" s="213">
        <f>'Tariffs 2023'!AV3</f>
        <v>0</v>
      </c>
      <c r="O8" s="213">
        <f>'Tariffs 2023'!AW3</f>
        <v>0</v>
      </c>
      <c r="P8" s="217" t="str">
        <f t="shared" ref="P8" si="1">IF(SUM(L8:O8)=0,"No discount",IF(L8&gt;0,"Guaranteed off bill",IF(M8&gt;0,"Guaranteed off usage",IF(N8&gt;0,"Pay-on-time off bill","Pay-on-time off usage"))))</f>
        <v>No discount</v>
      </c>
      <c r="Q8" s="217" t="str">
        <f t="shared" ref="Q8:Q14" si="2">IF(OR(A8="Origin Energy",A8="Red Energy",A8="Powershop"),"Inclusive","Exclusive")</f>
        <v>Exclusive</v>
      </c>
      <c r="R8" s="253">
        <f t="shared" ref="R8:R20" si="3">IF(AND(P8="Guaranteed off bill",Q8="Inclusive"),((J8*1.1)-((J8*1.1)*L8/100))/1.1,IF(AND(P8="Guaranteed off usage",Q8="Inclusive"),((J8*1.1)-((I8*1.1)*M8/100))/1.1,IF(AND(P8="Guaranteed off bill",Q8="Exclusive"),J8-(J8*L8/100),IF(AND(P8="Guaranteed off usage",Q8="Exclusive"),J8-(I8*M8/100),IF(Q8="Inclusive",((J8*1.1))/1.1,J8)))))</f>
        <v>1166.3018181818181</v>
      </c>
      <c r="S8" s="253">
        <f t="shared" ref="S8:S20" si="4">IF(AND(P8="Pay-on-time off bill",Q8="Inclusive"),((R8*1.1)-((R8*1.1)*N8/100))/1.1,IF(AND(P8="Pay-on-time off usage",Q8="Inclusive"),((R8*1.1)-((I8*1.1)*O8/100))/1.1,IF(AND(P8="Pay-on-time off bill",Q8="Exclusive"),R8-(R8*N8/100),IF(AND(P8="Pay-on-time off usage",Q8="Exclusive"),R8-(I8*O8/100),IF(Q8="Inclusive",((R8*1.1))/1.1,R8)))))</f>
        <v>1166.3018181818181</v>
      </c>
      <c r="T8" s="259">
        <f t="shared" ref="T8:U20" si="5">R8*1.1</f>
        <v>1282.932</v>
      </c>
      <c r="U8" s="340">
        <f t="shared" si="5"/>
        <v>1282.932</v>
      </c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3"/>
      <c r="AH8" s="333"/>
      <c r="AI8" s="333"/>
      <c r="AJ8" s="333"/>
      <c r="AK8" s="333"/>
      <c r="AL8" s="333"/>
    </row>
    <row r="9" spans="1:38" ht="20" customHeight="1" x14ac:dyDescent="0.15">
      <c r="A9" s="215" t="str">
        <f>'Tariffs 2023'!F4</f>
        <v>EnergyAustralia</v>
      </c>
      <c r="B9" s="213" t="str">
        <f>'Tariffs 2023'!D4</f>
        <v>AGN Metro</v>
      </c>
      <c r="C9" s="213" t="str">
        <f>'Tariffs 2023'!G4</f>
        <v>Flexi Plan</v>
      </c>
      <c r="D9" s="216">
        <f>91*'Tariffs 2023'!H4/100</f>
        <v>82.172999999999988</v>
      </c>
      <c r="E9" s="216">
        <f>IF('Tariffs 2023'!K4="",$C$5*'Tariffs 2023'!W4/100,IF($C$5&gt;='Tariffs 2023'!L4*1.5,('Tariffs 2023'!L4*1.5*'Tariffs 2023'!W4/100),($C$5*'Tariffs 2023'!W4/100)))</f>
        <v>153.56454545454545</v>
      </c>
      <c r="F9" s="216">
        <f>IF(AND('Tariffs 2023'!L4*1.5&gt;0,'Tariffs 2023'!M4*1.5&gt;0),IF($C$5&lt;'Tariffs 2023'!L4*1.5,0,IF(($C$5-'Tariffs 2023'!L4*1.5)&lt;=('Tariffs 2023'!M4*1.5+'Tariffs 2023'!L4*1.5),(($C$5-'Tariffs 2023'!L4*1.5)*'Tariffs 2023'!X4/100),(('Tariffs 2023'!M4*1.5)*'Tariffs 2023'!X4/100))),0)</f>
        <v>128.31709090909092</v>
      </c>
      <c r="G9" s="216">
        <f>IF(AND('Tariffs 2023'!P4&gt;0,'Tariffs 2023'!O4&gt;0),IF(($C$5&lt;(SUM('Tariffs 2023'!L4:P4))*1.5),(0),($C$5-(SUM('Tariffs 2023'!L4:P4)*1.5))*'Tariffs 2023'!AB4/100),IF(AND('Tariffs 2023'!O4&gt;0,'Tariffs 2023'!P4=""),IF(($C$5&lt; (SUM('Tariffs 2023'!L4:O4))*1.5),(0),($C$5-(SUM('Tariffs 2023'!L4:O4))*1.5)*'Tariffs 2023'!AA4/100),IF(AND('Tariffs 2023'!N4&gt;0,'Tariffs 2023'!O4=""),IF(($C$5&lt;(SUM('Tariffs 2023'!L4:N4))*1.5),(0),($C$5-(SUM('Tariffs 2023'!L4:N4))*1.5)*'Tariffs 2023'!Z4/100),IF(AND('Tariffs 2023'!M4&gt;0,'Tariffs 2023'!N4=""),IF(($C$5&lt;'Tariffs 2023'!M4*1.5+'Tariffs 2023'!L4*1.5),(0),(($C$5-('Tariffs 2023'!M4*1.5+'Tariffs 2023'!L4*1.5))*'Tariffs 2023'!Y4/100)),IF(AND('Tariffs 2023'!L4&gt;0,'Tariffs 2023'!M4=""&gt;0),IF(($C$5&lt;'Tariffs 2023'!L4*1.5),(0),($C$5-('Tariffs 2023'!L4*1.5))*'Tariffs 2023'!X4/100),0)))))</f>
        <v>24.020454545454541</v>
      </c>
      <c r="H9" s="216">
        <f t="shared" ref="H9:H20" si="6">SUM(D9:G9)</f>
        <v>388.07509090909093</v>
      </c>
      <c r="I9" s="216">
        <f t="shared" si="0"/>
        <v>1223.6083636363637</v>
      </c>
      <c r="J9" s="252">
        <f t="shared" ref="J9:J20" si="7">H9*4</f>
        <v>1552.3003636363637</v>
      </c>
      <c r="K9" s="257">
        <f t="shared" ref="K9:K20" si="8">J9*1.1</f>
        <v>1707.5304000000003</v>
      </c>
      <c r="L9" s="213">
        <f>'Tariffs 2023'!AT4</f>
        <v>4</v>
      </c>
      <c r="M9" s="213">
        <f>'Tariffs 2023'!AU4</f>
        <v>0</v>
      </c>
      <c r="N9" s="213">
        <f>'Tariffs 2023'!AV4</f>
        <v>0</v>
      </c>
      <c r="O9" s="213">
        <f>'Tariffs 2023'!AW4</f>
        <v>0</v>
      </c>
      <c r="P9" s="217" t="str">
        <f t="shared" ref="P9:P20" si="9">IF(SUM(L9:O9)=0,"No discount",IF(L9&gt;0,"Guaranteed off bill",IF(M9&gt;0,"Guaranteed off usage",IF(N9&gt;0,"Pay-on-time off bill","Pay-on-time off usage"))))</f>
        <v>Guaranteed off bill</v>
      </c>
      <c r="Q9" s="217" t="str">
        <f t="shared" si="2"/>
        <v>Exclusive</v>
      </c>
      <c r="R9" s="253">
        <f t="shared" si="3"/>
        <v>1490.2083490909092</v>
      </c>
      <c r="S9" s="253">
        <f t="shared" si="4"/>
        <v>1490.2083490909092</v>
      </c>
      <c r="T9" s="260">
        <f t="shared" si="5"/>
        <v>1639.2291840000003</v>
      </c>
      <c r="U9" s="341">
        <f t="shared" si="5"/>
        <v>1639.2291840000003</v>
      </c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</row>
    <row r="10" spans="1:38" ht="20" customHeight="1" x14ac:dyDescent="0.15">
      <c r="A10" s="215" t="str">
        <f>'Tariffs 2023'!F5</f>
        <v>Origin Energy</v>
      </c>
      <c r="B10" s="213" t="str">
        <f>'Tariffs 2023'!D5</f>
        <v>AGN Metro</v>
      </c>
      <c r="C10" s="213" t="str">
        <f>'Tariffs 2023'!G5</f>
        <v>Go Variable</v>
      </c>
      <c r="D10" s="216">
        <f>91*'Tariffs 2023'!H5/100</f>
        <v>73.164000000000001</v>
      </c>
      <c r="E10" s="216">
        <f>IF('Tariffs 2023'!K5="",$C$5*'Tariffs 2023'!W5/100,IF($C$5&gt;='Tariffs 2023'!L5*1.5,('Tariffs 2023'!L5*1.5*'Tariffs 2023'!W5/100),($C$5*'Tariffs 2023'!W5/100)))</f>
        <v>218.29349999999999</v>
      </c>
      <c r="F10" s="216">
        <f>IF(AND('Tariffs 2023'!L5*1.5&gt;0,'Tariffs 2023'!M5*1.5&gt;0),IF($C$5&lt;'Tariffs 2023'!L5*1.5,0,IF(($C$5-'Tariffs 2023'!L5*1.5)&lt;=('Tariffs 2023'!M5*1.5+'Tariffs 2023'!L5*1.5),(($C$5-'Tariffs 2023'!L5*1.5)*'Tariffs 2023'!X5/100),(('Tariffs 2023'!M5*1.5)*'Tariffs 2023'!X5/100))),0)</f>
        <v>0</v>
      </c>
      <c r="G10" s="216">
        <f>IF(AND('Tariffs 2023'!P5&gt;0,'Tariffs 2023'!O5&gt;0),IF(($C$5&lt;(SUM('Tariffs 2023'!L5:P5))*1.5),(0),($C$5-(SUM('Tariffs 2023'!L5:P5)*1.5))*'Tariffs 2023'!AB5/100),IF(AND('Tariffs 2023'!O5&gt;0,'Tariffs 2023'!P5=""),IF(($C$5&lt; (SUM('Tariffs 2023'!L5:O5))*1.5),(0),($C$5-(SUM('Tariffs 2023'!L5:O5))*1.5)*'Tariffs 2023'!AA5/100),IF(AND('Tariffs 2023'!N5&gt;0,'Tariffs 2023'!O5=""),IF(($C$5&lt;(SUM('Tariffs 2023'!L5:N5))*1.5),(0),($C$5-(SUM('Tariffs 2023'!L5:N5))*1.5)*'Tariffs 2023'!Z5/100),IF(AND('Tariffs 2023'!M5&gt;0,'Tariffs 2023'!N5=""),IF(($C$5&lt;'Tariffs 2023'!M5*1.5+'Tariffs 2023'!L5*1.5),(0),(($C$5-('Tariffs 2023'!M5*1.5+'Tariffs 2023'!L5*1.5))*'Tariffs 2023'!Y5/100)),IF(AND('Tariffs 2023'!L5&gt;0,'Tariffs 2023'!M5=""&gt;0),IF(($C$5&lt;'Tariffs 2023'!L5*1.5),(0),($C$5-('Tariffs 2023'!L5*1.5))*'Tariffs 2023'!X5/100),0)))))</f>
        <v>20.656363636363629</v>
      </c>
      <c r="H10" s="216">
        <f t="shared" si="6"/>
        <v>312.11386363636359</v>
      </c>
      <c r="I10" s="216">
        <f t="shared" si="0"/>
        <v>955.79945454545441</v>
      </c>
      <c r="J10" s="252">
        <f t="shared" si="7"/>
        <v>1248.4554545454544</v>
      </c>
      <c r="K10" s="257">
        <f t="shared" si="8"/>
        <v>1373.3009999999999</v>
      </c>
      <c r="L10" s="213">
        <f>'Tariffs 2023'!AT5</f>
        <v>0</v>
      </c>
      <c r="M10" s="213">
        <f>'Tariffs 2023'!AU5</f>
        <v>0</v>
      </c>
      <c r="N10" s="213">
        <f>'Tariffs 2023'!AV5</f>
        <v>0</v>
      </c>
      <c r="O10" s="213">
        <f>'Tariffs 2023'!AW5</f>
        <v>0</v>
      </c>
      <c r="P10" s="217" t="str">
        <f t="shared" si="9"/>
        <v>No discount</v>
      </c>
      <c r="Q10" s="217" t="str">
        <f t="shared" si="2"/>
        <v>Inclusive</v>
      </c>
      <c r="R10" s="253">
        <f t="shared" si="3"/>
        <v>1248.4554545454544</v>
      </c>
      <c r="S10" s="253">
        <f t="shared" si="4"/>
        <v>1248.4554545454544</v>
      </c>
      <c r="T10" s="260">
        <f t="shared" si="5"/>
        <v>1373.3009999999999</v>
      </c>
      <c r="U10" s="341">
        <f t="shared" si="5"/>
        <v>1373.3009999999999</v>
      </c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</row>
    <row r="11" spans="1:38" ht="20" customHeight="1" x14ac:dyDescent="0.15">
      <c r="A11" s="215" t="str">
        <f>'Tariffs 2023'!F6</f>
        <v>Simply Energy</v>
      </c>
      <c r="B11" s="213" t="str">
        <f>'Tariffs 2023'!D6</f>
        <v>AGN Metro</v>
      </c>
      <c r="C11" s="213" t="str">
        <f>'Tariffs 2023'!G6</f>
        <v>Saver</v>
      </c>
      <c r="D11" s="216">
        <f>91*'Tariffs 2023'!H6/100</f>
        <v>56.982545454545445</v>
      </c>
      <c r="E11" s="216">
        <f>IF('Tariffs 2023'!K6="",$C$5*'Tariffs 2023'!W6/100,IF($C$5&gt;='Tariffs 2023'!L6*1.5,('Tariffs 2023'!L6*1.5*'Tariffs 2023'!W6/100),($C$5*'Tariffs 2023'!W6/100)))</f>
        <v>178.93636363636361</v>
      </c>
      <c r="F11" s="216">
        <f>IF(AND('Tariffs 2023'!L6*1.5&gt;0,'Tariffs 2023'!M6*1.5&gt;0),IF($C$5&lt;'Tariffs 2023'!L6*1.5,0,IF(($C$5-'Tariffs 2023'!L6*1.5)&lt;=('Tariffs 2023'!M6*1.5+'Tariffs 2023'!L6*1.5),(($C$5-'Tariffs 2023'!L6*1.5)*'Tariffs 2023'!X6/100),(('Tariffs 2023'!M6*1.5)*'Tariffs 2023'!X6/100))),0)</f>
        <v>128.69454545454542</v>
      </c>
      <c r="G11" s="216">
        <f>IF(AND('Tariffs 2023'!P6&gt;0,'Tariffs 2023'!O6&gt;0),IF(($C$5&lt;(SUM('Tariffs 2023'!L6:P6))*1.5),(0),($C$5-(SUM('Tariffs 2023'!L6:P6)*1.5))*'Tariffs 2023'!AB6/100),IF(AND('Tariffs 2023'!O6&gt;0,'Tariffs 2023'!P6=""),IF(($C$5&lt; (SUM('Tariffs 2023'!L6:O6))*1.5),(0),($C$5-(SUM('Tariffs 2023'!L6:O6))*1.5)*'Tariffs 2023'!AA6/100),IF(AND('Tariffs 2023'!N6&gt;0,'Tariffs 2023'!O6=""),IF(($C$5&lt;(SUM('Tariffs 2023'!L6:N6))*1.5),(0),($C$5-(SUM('Tariffs 2023'!L6:N6))*1.5)*'Tariffs 2023'!Z6/100),IF(AND('Tariffs 2023'!M6&gt;0,'Tariffs 2023'!N6=""),IF(($C$5&lt;'Tariffs 2023'!M6*1.5+'Tariffs 2023'!L6*1.5),(0),(($C$5-('Tariffs 2023'!M6*1.5+'Tariffs 2023'!L6*1.5))*'Tariffs 2023'!Y6/100)),IF(AND('Tariffs 2023'!L6&gt;0,'Tariffs 2023'!M6=""&gt;0),IF(($C$5&lt;'Tariffs 2023'!L6*1.5),(0),($C$5-('Tariffs 2023'!L6*1.5))*'Tariffs 2023'!X6/100),0)))))</f>
        <v>23.97818181818182</v>
      </c>
      <c r="H11" s="216">
        <f t="shared" si="6"/>
        <v>388.59163636363633</v>
      </c>
      <c r="I11" s="216">
        <f t="shared" si="0"/>
        <v>1326.4363636363635</v>
      </c>
      <c r="J11" s="252">
        <f t="shared" si="7"/>
        <v>1554.3665454545453</v>
      </c>
      <c r="K11" s="257">
        <f t="shared" si="8"/>
        <v>1709.8032000000001</v>
      </c>
      <c r="L11" s="213">
        <f>'Tariffs 2023'!AT6</f>
        <v>4</v>
      </c>
      <c r="M11" s="213">
        <f>'Tariffs 2023'!AU6</f>
        <v>0</v>
      </c>
      <c r="N11" s="213">
        <f>'Tariffs 2023'!AV6</f>
        <v>0</v>
      </c>
      <c r="O11" s="213">
        <f>'Tariffs 2023'!AW6</f>
        <v>0</v>
      </c>
      <c r="P11" s="217" t="str">
        <f t="shared" si="9"/>
        <v>Guaranteed off bill</v>
      </c>
      <c r="Q11" s="217" t="str">
        <f t="shared" si="2"/>
        <v>Exclusive</v>
      </c>
      <c r="R11" s="253">
        <f t="shared" si="3"/>
        <v>1492.1918836363634</v>
      </c>
      <c r="S11" s="253">
        <f t="shared" si="4"/>
        <v>1492.1918836363634</v>
      </c>
      <c r="T11" s="260">
        <f t="shared" si="5"/>
        <v>1641.4110719999999</v>
      </c>
      <c r="U11" s="341">
        <f t="shared" si="5"/>
        <v>1641.4110719999999</v>
      </c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</row>
    <row r="12" spans="1:38" ht="20" customHeight="1" x14ac:dyDescent="0.15">
      <c r="A12" s="215" t="str">
        <f>'Tariffs 2023'!F7</f>
        <v>Red Energy</v>
      </c>
      <c r="B12" s="213" t="str">
        <f>'Tariffs 2023'!D7</f>
        <v>AGN Metro</v>
      </c>
      <c r="C12" s="213" t="str">
        <f>'Tariffs 2023'!G7</f>
        <v>Living Energy Saver</v>
      </c>
      <c r="D12" s="216">
        <f>91*'Tariffs 2023'!H7/100</f>
        <v>83.72</v>
      </c>
      <c r="E12" s="216">
        <f>IF('Tariffs 2023'!K7="",$C$5*'Tariffs 2023'!W7/100,IF($C$5&gt;='Tariffs 2023'!L7*1.5,('Tariffs 2023'!L7*1.5*'Tariffs 2023'!W7/100),($C$5*'Tariffs 2023'!W7/100)))</f>
        <v>186.01349999999999</v>
      </c>
      <c r="F12" s="216">
        <f>IF(AND('Tariffs 2023'!L7*1.5&gt;0,'Tariffs 2023'!M7*1.5&gt;0),IF($C$5&lt;'Tariffs 2023'!L7*1.5,0,IF(($C$5-'Tariffs 2023'!L7*1.5)&lt;=('Tariffs 2023'!M7*1.5+'Tariffs 2023'!L7*1.5),(($C$5-'Tariffs 2023'!L7*1.5)*'Tariffs 2023'!X7/100),(('Tariffs 2023'!M7*1.5)*'Tariffs 2023'!X7/100))),0)</f>
        <v>0</v>
      </c>
      <c r="G12" s="216">
        <f>IF(AND('Tariffs 2023'!P7&gt;0,'Tariffs 2023'!O7&gt;0),IF(($C$5&lt;(SUM('Tariffs 2023'!L7:P7))*1.5),(0),($C$5-(SUM('Tariffs 2023'!L7:P7)*1.5))*'Tariffs 2023'!AB7/100),IF(AND('Tariffs 2023'!O7&gt;0,'Tariffs 2023'!P7=""),IF(($C$5&lt; (SUM('Tariffs 2023'!L7:O7))*1.5),(0),($C$5-(SUM('Tariffs 2023'!L7:O7))*1.5)*'Tariffs 2023'!AA7/100),IF(AND('Tariffs 2023'!N7&gt;0,'Tariffs 2023'!O7=""),IF(($C$5&lt;(SUM('Tariffs 2023'!L7:N7))*1.5),(0),($C$5-(SUM('Tariffs 2023'!L7:N7))*1.5)*'Tariffs 2023'!Z7/100),IF(AND('Tariffs 2023'!M7&gt;0,'Tariffs 2023'!N7=""),IF(($C$5&lt;'Tariffs 2023'!M7*1.5+'Tariffs 2023'!L7*1.5),(0),(($C$5-('Tariffs 2023'!M7*1.5+'Tariffs 2023'!L7*1.5))*'Tariffs 2023'!Y7/100)),IF(AND('Tariffs 2023'!L7&gt;0,'Tariffs 2023'!M7=""&gt;0),IF(($C$5&lt;'Tariffs 2023'!L7*1.5),(0),($C$5-('Tariffs 2023'!L7*1.5))*'Tariffs 2023'!X7/100),0)))))</f>
        <v>18.590727272727271</v>
      </c>
      <c r="H12" s="216">
        <f t="shared" si="6"/>
        <v>288.32422727272728</v>
      </c>
      <c r="I12" s="216">
        <f t="shared" si="0"/>
        <v>818.41690909090914</v>
      </c>
      <c r="J12" s="252">
        <f t="shared" si="7"/>
        <v>1153.2969090909091</v>
      </c>
      <c r="K12" s="257">
        <f t="shared" si="8"/>
        <v>1268.6266000000001</v>
      </c>
      <c r="L12" s="213">
        <f>'Tariffs 2023'!AT7</f>
        <v>0</v>
      </c>
      <c r="M12" s="213">
        <f>'Tariffs 2023'!AU7</f>
        <v>0</v>
      </c>
      <c r="N12" s="213">
        <f>'Tariffs 2023'!AV7</f>
        <v>0</v>
      </c>
      <c r="O12" s="213">
        <f>'Tariffs 2023'!AW7</f>
        <v>0</v>
      </c>
      <c r="P12" s="217" t="str">
        <f t="shared" si="9"/>
        <v>No discount</v>
      </c>
      <c r="Q12" s="217" t="str">
        <f t="shared" si="2"/>
        <v>Inclusive</v>
      </c>
      <c r="R12" s="253">
        <f t="shared" si="3"/>
        <v>1153.2969090909091</v>
      </c>
      <c r="S12" s="253">
        <f t="shared" si="4"/>
        <v>1153.2969090909091</v>
      </c>
      <c r="T12" s="260">
        <f t="shared" si="5"/>
        <v>1268.6266000000001</v>
      </c>
      <c r="U12" s="341">
        <f t="shared" si="5"/>
        <v>1268.6266000000001</v>
      </c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</row>
    <row r="13" spans="1:38" ht="20" customHeight="1" x14ac:dyDescent="0.15">
      <c r="A13" s="215" t="str">
        <f>'Tariffs 2023'!F8</f>
        <v>Lumo Energy</v>
      </c>
      <c r="B13" s="213" t="str">
        <f>'Tariffs 2023'!D8</f>
        <v>AGN Metro</v>
      </c>
      <c r="C13" s="213" t="str">
        <f>'Tariffs 2023'!G8</f>
        <v>Plus</v>
      </c>
      <c r="D13" s="216">
        <f>91*'Tariffs 2023'!H8/100</f>
        <v>74.62</v>
      </c>
      <c r="E13" s="216">
        <f>IF('Tariffs 2023'!K8="",$C$5*'Tariffs 2023'!W8/100,IF($C$5&gt;='Tariffs 2023'!L8*1.5,('Tariffs 2023'!L8*1.5*'Tariffs 2023'!W8/100),($C$5*'Tariffs 2023'!W8/100)))</f>
        <v>185.60999999999996</v>
      </c>
      <c r="F13" s="216">
        <f>IF(AND('Tariffs 2023'!L8*1.5&gt;0,'Tariffs 2023'!M8*1.5&gt;0),IF($C$5&lt;'Tariffs 2023'!L8*1.5,0,IF(($C$5-'Tariffs 2023'!L8*1.5)&lt;=('Tariffs 2023'!M8*1.5+'Tariffs 2023'!L8*1.5),(($C$5-'Tariffs 2023'!L8*1.5)*'Tariffs 2023'!X8/100),(('Tariffs 2023'!M8*1.5)*'Tariffs 2023'!X8/100))),0)</f>
        <v>0</v>
      </c>
      <c r="G13" s="216">
        <f>IF(AND('Tariffs 2023'!P8&gt;0,'Tariffs 2023'!O8&gt;0),IF(($C$5&lt;(SUM('Tariffs 2023'!L8:P8))*1.5),(0),($C$5-(SUM('Tariffs 2023'!L8:P8)*1.5))*'Tariffs 2023'!AB8/100),IF(AND('Tariffs 2023'!O8&gt;0,'Tariffs 2023'!P8=""),IF(($C$5&lt; (SUM('Tariffs 2023'!L8:O8))*1.5),(0),($C$5-(SUM('Tariffs 2023'!L8:O8))*1.5)*'Tariffs 2023'!AA8/100),IF(AND('Tariffs 2023'!N8&gt;0,'Tariffs 2023'!O8=""),IF(($C$5&lt;(SUM('Tariffs 2023'!L8:N8))*1.5),(0),($C$5-(SUM('Tariffs 2023'!L8:N8))*1.5)*'Tariffs 2023'!Z8/100),IF(AND('Tariffs 2023'!M8&gt;0,'Tariffs 2023'!N8=""),IF(($C$5&lt;'Tariffs 2023'!M8*1.5+'Tariffs 2023'!L8*1.5),(0),(($C$5-('Tariffs 2023'!M8*1.5+'Tariffs 2023'!L8*1.5))*'Tariffs 2023'!Y8/100)),IF(AND('Tariffs 2023'!L8&gt;0,'Tariffs 2023'!M8=""&gt;0),IF(($C$5&lt;'Tariffs 2023'!L8*1.5),(0),($C$5-('Tariffs 2023'!L8*1.5))*'Tariffs 2023'!X8/100),0)))))</f>
        <v>18.516954545454542</v>
      </c>
      <c r="H13" s="216">
        <f t="shared" si="6"/>
        <v>278.74695454545451</v>
      </c>
      <c r="I13" s="216">
        <f t="shared" si="0"/>
        <v>816.50781818181804</v>
      </c>
      <c r="J13" s="252">
        <f t="shared" si="7"/>
        <v>1114.9878181818181</v>
      </c>
      <c r="K13" s="257">
        <f t="shared" si="8"/>
        <v>1226.4866</v>
      </c>
      <c r="L13" s="213">
        <f>'Tariffs 2023'!AT8</f>
        <v>0</v>
      </c>
      <c r="M13" s="213">
        <f>'Tariffs 2023'!AU8</f>
        <v>0</v>
      </c>
      <c r="N13" s="213">
        <f>'Tariffs 2023'!AV8</f>
        <v>0</v>
      </c>
      <c r="O13" s="213">
        <f>'Tariffs 2023'!AW8</f>
        <v>0</v>
      </c>
      <c r="P13" s="217" t="str">
        <f t="shared" si="9"/>
        <v>No discount</v>
      </c>
      <c r="Q13" s="217" t="str">
        <f t="shared" si="2"/>
        <v>Exclusive</v>
      </c>
      <c r="R13" s="253">
        <f t="shared" si="3"/>
        <v>1114.9878181818181</v>
      </c>
      <c r="S13" s="253">
        <f t="shared" si="4"/>
        <v>1114.9878181818181</v>
      </c>
      <c r="T13" s="260">
        <f t="shared" si="5"/>
        <v>1226.4866</v>
      </c>
      <c r="U13" s="341">
        <f t="shared" si="5"/>
        <v>1226.4866</v>
      </c>
      <c r="V13" s="333"/>
      <c r="W13" s="333"/>
      <c r="X13" s="333"/>
      <c r="Y13" s="333"/>
      <c r="Z13" s="333"/>
      <c r="AA13" s="333"/>
      <c r="AB13" s="333"/>
      <c r="AC13" s="333"/>
      <c r="AD13" s="333"/>
      <c r="AE13" s="333"/>
      <c r="AF13" s="333"/>
      <c r="AG13" s="333"/>
      <c r="AH13" s="333"/>
      <c r="AI13" s="333"/>
      <c r="AJ13" s="333"/>
      <c r="AK13" s="333"/>
      <c r="AL13" s="333"/>
    </row>
    <row r="14" spans="1:38" ht="20" customHeight="1" x14ac:dyDescent="0.15">
      <c r="A14" s="215" t="str">
        <f>'Tariffs 2023'!F9</f>
        <v>GloBird Energy</v>
      </c>
      <c r="B14" s="213" t="str">
        <f>'Tariffs 2023'!D9</f>
        <v>AGN Metro</v>
      </c>
      <c r="C14" s="213" t="str">
        <f>'Tariffs 2023'!G9</f>
        <v>Boost</v>
      </c>
      <c r="D14" s="216">
        <f>91*'Tariffs 2023'!H9/100</f>
        <v>59.15</v>
      </c>
      <c r="E14" s="216">
        <f>IF('Tariffs 2023'!K9="",$C$5*'Tariffs 2023'!W9/100,IF($C$5&gt;='Tariffs 2023'!L9*1.5,('Tariffs 2023'!L9*1.5*'Tariffs 2023'!W9/100),($C$5*'Tariffs 2023'!W9/100)))</f>
        <v>202.2981818181818</v>
      </c>
      <c r="F14" s="216">
        <f>IF(AND('Tariffs 2023'!L9*1.5&gt;0,'Tariffs 2023'!M9*1.5&gt;0),IF($C$5&lt;'Tariffs 2023'!L9*1.5,0,IF(($C$5-'Tariffs 2023'!L9*1.5)&lt;=('Tariffs 2023'!M9*1.5+'Tariffs 2023'!L9*1.5),(($C$5-'Tariffs 2023'!L9*1.5)*'Tariffs 2023'!X9/100),(('Tariffs 2023'!M9*1.5)*'Tariffs 2023'!X9/100))),0)</f>
        <v>0</v>
      </c>
      <c r="G14" s="216">
        <f>IF(AND('Tariffs 2023'!P9&gt;0,'Tariffs 2023'!O9&gt;0),IF(($C$5&lt;(SUM('Tariffs 2023'!L9:P9))*1.5),(0),($C$5-(SUM('Tariffs 2023'!L9:P9)*1.5))*'Tariffs 2023'!AB9/100),IF(AND('Tariffs 2023'!O9&gt;0,'Tariffs 2023'!P9=""),IF(($C$5&lt; (SUM('Tariffs 2023'!L9:O9))*1.5),(0),($C$5-(SUM('Tariffs 2023'!L9:O9))*1.5)*'Tariffs 2023'!AA9/100),IF(AND('Tariffs 2023'!N9&gt;0,'Tariffs 2023'!O9=""),IF(($C$5&lt;(SUM('Tariffs 2023'!L9:N9))*1.5),(0),($C$5-(SUM('Tariffs 2023'!L9:N9))*1.5)*'Tariffs 2023'!Z9/100),IF(AND('Tariffs 2023'!M9&gt;0,'Tariffs 2023'!N9=""),IF(($C$5&lt;'Tariffs 2023'!M9*1.5+'Tariffs 2023'!L9*1.5),(0),(($C$5-('Tariffs 2023'!M9*1.5+'Tariffs 2023'!L9*1.5))*'Tariffs 2023'!Y9/100)),IF(AND('Tariffs 2023'!L9&gt;0,'Tariffs 2023'!M9=""&gt;0),IF(($C$5&lt;'Tariffs 2023'!L9*1.5),(0),($C$5-('Tariffs 2023'!L9*1.5))*'Tariffs 2023'!X9/100),0)))))</f>
        <v>15.68181818181818</v>
      </c>
      <c r="H14" s="216">
        <f t="shared" ref="H14" si="10">SUM(D14:G14)</f>
        <v>277.13</v>
      </c>
      <c r="I14" s="216">
        <f t="shared" si="0"/>
        <v>871.92</v>
      </c>
      <c r="J14" s="252">
        <f t="shared" si="7"/>
        <v>1108.52</v>
      </c>
      <c r="K14" s="257">
        <f t="shared" si="8"/>
        <v>1219.3720000000001</v>
      </c>
      <c r="L14" s="213">
        <f>'Tariffs 2023'!AT9</f>
        <v>0</v>
      </c>
      <c r="M14" s="213">
        <f>'Tariffs 2023'!AU9</f>
        <v>0</v>
      </c>
      <c r="N14" s="213">
        <f>'Tariffs 2023'!AV9</f>
        <v>0</v>
      </c>
      <c r="O14" s="213">
        <f>'Tariffs 2023'!AW9</f>
        <v>0</v>
      </c>
      <c r="P14" s="337" t="str">
        <f t="shared" si="9"/>
        <v>No discount</v>
      </c>
      <c r="Q14" s="337" t="str">
        <f t="shared" si="2"/>
        <v>Exclusive</v>
      </c>
      <c r="R14" s="253">
        <f t="shared" si="3"/>
        <v>1108.52</v>
      </c>
      <c r="S14" s="253">
        <f t="shared" si="4"/>
        <v>1108.52</v>
      </c>
      <c r="T14" s="260">
        <f t="shared" si="5"/>
        <v>1219.3720000000001</v>
      </c>
      <c r="U14" s="341">
        <f t="shared" si="5"/>
        <v>1219.3720000000001</v>
      </c>
      <c r="V14" s="333"/>
      <c r="W14" s="333"/>
      <c r="X14" s="333"/>
      <c r="Y14" s="333"/>
      <c r="Z14" s="333"/>
      <c r="AA14" s="333"/>
      <c r="AB14" s="333"/>
      <c r="AC14" s="333"/>
      <c r="AD14" s="333"/>
      <c r="AE14" s="333"/>
      <c r="AF14" s="333"/>
      <c r="AG14" s="333"/>
      <c r="AH14" s="333"/>
      <c r="AI14" s="333"/>
      <c r="AJ14" s="333"/>
      <c r="AK14" s="333"/>
      <c r="AL14" s="333"/>
    </row>
    <row r="15" spans="1:38" ht="20" customHeight="1" x14ac:dyDescent="0.15">
      <c r="A15" s="215" t="str">
        <f>'Tariffs 2023'!F10</f>
        <v>Alinta Energy</v>
      </c>
      <c r="B15" s="213" t="str">
        <f>'Tariffs 2023'!D10</f>
        <v>AGN Metro</v>
      </c>
      <c r="C15" s="213" t="str">
        <f>'Tariffs 2023'!G10</f>
        <v>HomeDeal</v>
      </c>
      <c r="D15" s="216">
        <f>91*'Tariffs 2023'!H10/100</f>
        <v>61.085818181818176</v>
      </c>
      <c r="E15" s="216">
        <f>IF('Tariffs 2023'!K10="",$C$5*'Tariffs 2023'!W10/100,IF($C$5&gt;='Tariffs 2023'!L10*1.5,('Tariffs 2023'!L10*1.5*'Tariffs 2023'!W10/100),($C$5*'Tariffs 2023'!W10/100)))</f>
        <v>247.49999999999997</v>
      </c>
      <c r="F15" s="216">
        <f>IF(AND('Tariffs 2023'!L10*1.5&gt;0,'Tariffs 2023'!M10*1.5&gt;0),IF($C$5&lt;'Tariffs 2023'!L10*1.5,0,IF(($C$5-'Tariffs 2023'!L10*1.5)&lt;=('Tariffs 2023'!M10*1.5+'Tariffs 2023'!L10*1.5),(($C$5-'Tariffs 2023'!L10*1.5)*'Tariffs 2023'!X10/100),(('Tariffs 2023'!M10*1.5)*'Tariffs 2023'!X10/100))),0)</f>
        <v>0</v>
      </c>
      <c r="G15" s="216">
        <f>IF(AND('Tariffs 2023'!P10&gt;0,'Tariffs 2023'!O10&gt;0),IF(($C$5&lt;(SUM('Tariffs 2023'!L10:P10))*1.5),(0),($C$5-(SUM('Tariffs 2023'!L10:P10)*1.5))*'Tariffs 2023'!AB10/100),IF(AND('Tariffs 2023'!O10&gt;0,'Tariffs 2023'!P10=""),IF(($C$5&lt; (SUM('Tariffs 2023'!L10:O10))*1.5),(0),($C$5-(SUM('Tariffs 2023'!L10:O10))*1.5)*'Tariffs 2023'!AA10/100),IF(AND('Tariffs 2023'!N10&gt;0,'Tariffs 2023'!O10=""),IF(($C$5&lt;(SUM('Tariffs 2023'!L10:N10))*1.5),(0),($C$5-(SUM('Tariffs 2023'!L10:N10))*1.5)*'Tariffs 2023'!Z10/100),IF(AND('Tariffs 2023'!M10&gt;0,'Tariffs 2023'!N10=""),IF(($C$5&lt;'Tariffs 2023'!M10*1.5+'Tariffs 2023'!L10*1.5),(0),(($C$5-('Tariffs 2023'!M10*1.5+'Tariffs 2023'!L10*1.5))*'Tariffs 2023'!Y10/100)),IF(AND('Tariffs 2023'!L10&gt;0,'Tariffs 2023'!M10=""&gt;0),IF(($C$5&lt;'Tariffs 2023'!L10*1.5),(0),($C$5-('Tariffs 2023'!L10*1.5))*'Tariffs 2023'!X10/100),0)))))</f>
        <v>28.159090909090907</v>
      </c>
      <c r="H15" s="216">
        <f t="shared" ref="H15:H16" si="11">SUM(D15:G15)</f>
        <v>336.744909090909</v>
      </c>
      <c r="I15" s="216">
        <f t="shared" ref="I15:I16" si="12">(H15-D15)*4</f>
        <v>1102.6363636363633</v>
      </c>
      <c r="J15" s="252">
        <f t="shared" ref="J15:J16" si="13">H15*4</f>
        <v>1346.979636363636</v>
      </c>
      <c r="K15" s="257">
        <f t="shared" ref="K15:K16" si="14">J15*1.1</f>
        <v>1481.6775999999998</v>
      </c>
      <c r="L15" s="213">
        <f>'Tariffs 2023'!AT10</f>
        <v>0</v>
      </c>
      <c r="M15" s="213">
        <f>'Tariffs 2023'!AU10</f>
        <v>0</v>
      </c>
      <c r="N15" s="213">
        <f>'Tariffs 2023'!AV10</f>
        <v>0</v>
      </c>
      <c r="O15" s="213">
        <f>'Tariffs 2023'!AW10</f>
        <v>0</v>
      </c>
      <c r="P15" s="337" t="str">
        <f t="shared" ref="P15:P16" si="15">IF(SUM(L15:O15)=0,"No discount",IF(L15&gt;0,"Guaranteed off bill",IF(M15&gt;0,"Guaranteed off usage",IF(N15&gt;0,"Pay-on-time off bill","Pay-on-time off usage"))))</f>
        <v>No discount</v>
      </c>
      <c r="Q15" s="337" t="str">
        <f t="shared" ref="Q15:Q16" si="16">IF(OR(A15="Origin Energy",A15="Red Energy",A15="Powershop"),"Inclusive","Exclusive")</f>
        <v>Exclusive</v>
      </c>
      <c r="R15" s="253">
        <f t="shared" ref="R15:R16" si="17">IF(AND(P15="Guaranteed off bill",Q15="Inclusive"),((J15*1.1)-((J15*1.1)*L15/100))/1.1,IF(AND(P15="Guaranteed off usage",Q15="Inclusive"),((J15*1.1)-((I15*1.1)*M15/100))/1.1,IF(AND(P15="Guaranteed off bill",Q15="Exclusive"),J15-(J15*L15/100),IF(AND(P15="Guaranteed off usage",Q15="Exclusive"),J15-(I15*M15/100),IF(Q15="Inclusive",((J15*1.1))/1.1,J15)))))</f>
        <v>1346.979636363636</v>
      </c>
      <c r="S15" s="253">
        <f t="shared" ref="S15:S16" si="18">IF(AND(P15="Pay-on-time off bill",Q15="Inclusive"),((R15*1.1)-((R15*1.1)*N15/100))/1.1,IF(AND(P15="Pay-on-time off usage",Q15="Inclusive"),((R15*1.1)-((I15*1.1)*O15/100))/1.1,IF(AND(P15="Pay-on-time off bill",Q15="Exclusive"),R15-(R15*N15/100),IF(AND(P15="Pay-on-time off usage",Q15="Exclusive"),R15-(I15*O15/100),IF(Q15="Inclusive",((R15*1.1))/1.1,R15)))))</f>
        <v>1346.979636363636</v>
      </c>
      <c r="T15" s="260">
        <f t="shared" ref="T15:T16" si="19">R15*1.1</f>
        <v>1481.6775999999998</v>
      </c>
      <c r="U15" s="341">
        <f t="shared" ref="U15:U16" si="20">S15*1.1</f>
        <v>1481.6775999999998</v>
      </c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  <c r="AG15" s="333"/>
      <c r="AH15" s="333"/>
      <c r="AI15" s="333"/>
      <c r="AJ15" s="333"/>
      <c r="AK15" s="333"/>
      <c r="AL15" s="333"/>
    </row>
    <row r="16" spans="1:38" ht="20" customHeight="1" thickBot="1" x14ac:dyDescent="0.2">
      <c r="A16" s="349" t="str">
        <f>'Tariffs 2023'!F11</f>
        <v>CovaU</v>
      </c>
      <c r="B16" s="281" t="str">
        <f>'Tariffs 2023'!D11</f>
        <v>AGN Metro</v>
      </c>
      <c r="C16" s="281" t="str">
        <f>'Tariffs 2023'!G11</f>
        <v>Freedom</v>
      </c>
      <c r="D16" s="282">
        <f>91*'Tariffs 2023'!H11/100</f>
        <v>74.702727272727259</v>
      </c>
      <c r="E16" s="282">
        <f>IF('Tariffs 2023'!K11="",$C$5*'Tariffs 2023'!W11/100,IF($C$5&gt;='Tariffs 2023'!L11*1.5,('Tariffs 2023'!L11*1.5*'Tariffs 2023'!W11/100),($C$5*'Tariffs 2023'!W11/100)))</f>
        <v>107.60727272727271</v>
      </c>
      <c r="F16" s="282">
        <f>IF(AND('Tariffs 2023'!L11*1.5&gt;0,'Tariffs 2023'!M11*1.5&gt;0),IF($C$5&lt;'Tariffs 2023'!L11*1.5,0,IF(($C$5-'Tariffs 2023'!L11*1.5)&lt;=('Tariffs 2023'!M11*1.5+'Tariffs 2023'!L11*1.5),(($C$5-'Tariffs 2023'!L11*1.5)*'Tariffs 2023'!X11/100),(('Tariffs 2023'!M11*1.5)*'Tariffs 2023'!X11/100))),0)</f>
        <v>121.48363636363636</v>
      </c>
      <c r="G16" s="282">
        <f>IF(AND('Tariffs 2023'!P11&gt;0,'Tariffs 2023'!O11&gt;0),IF(($C$5&lt;(SUM('Tariffs 2023'!L11:P11))*1.5),(0),($C$5-(SUM('Tariffs 2023'!L11:P11)*1.5))*'Tariffs 2023'!AB11/100),IF(AND('Tariffs 2023'!O11&gt;0,'Tariffs 2023'!P11=""),IF(($C$5&lt; (SUM('Tariffs 2023'!L11:O11))*1.5),(0),($C$5-(SUM('Tariffs 2023'!L11:O11))*1.5)*'Tariffs 2023'!AA11/100),IF(AND('Tariffs 2023'!N11&gt;0,'Tariffs 2023'!O11=""),IF(($C$5&lt;(SUM('Tariffs 2023'!L11:N11))*1.5),(0),($C$5-(SUM('Tariffs 2023'!L11:N11))*1.5)*'Tariffs 2023'!Z11/100),IF(AND('Tariffs 2023'!M11&gt;0,'Tariffs 2023'!N11=""),IF(($C$5&lt;'Tariffs 2023'!M11*1.5+'Tariffs 2023'!L11*1.5),(0),(($C$5-('Tariffs 2023'!M11*1.5+'Tariffs 2023'!L11*1.5))*'Tariffs 2023'!Y11/100)),IF(AND('Tariffs 2023'!L11&gt;0,'Tariffs 2023'!M11=""&gt;0),IF(($C$5&lt;'Tariffs 2023'!L11*1.5),(0),($C$5-('Tariffs 2023'!L11*1.5))*'Tariffs 2023'!X11/100),0)))))</f>
        <v>21.877090909090906</v>
      </c>
      <c r="H16" s="282">
        <f t="shared" si="11"/>
        <v>325.67072727272722</v>
      </c>
      <c r="I16" s="282">
        <f t="shared" si="12"/>
        <v>1003.8719999999998</v>
      </c>
      <c r="J16" s="283">
        <f t="shared" si="13"/>
        <v>1302.6829090909089</v>
      </c>
      <c r="K16" s="284">
        <f t="shared" si="14"/>
        <v>1432.9512</v>
      </c>
      <c r="L16" s="281">
        <f>'Tariffs 2023'!AT11</f>
        <v>0</v>
      </c>
      <c r="M16" s="281">
        <f>'Tariffs 2023'!AU11</f>
        <v>0</v>
      </c>
      <c r="N16" s="281">
        <f>'Tariffs 2023'!AV11</f>
        <v>0</v>
      </c>
      <c r="O16" s="281">
        <f>'Tariffs 2023'!AW11</f>
        <v>0</v>
      </c>
      <c r="P16" s="338" t="str">
        <f t="shared" si="15"/>
        <v>No discount</v>
      </c>
      <c r="Q16" s="338" t="str">
        <f t="shared" si="16"/>
        <v>Exclusive</v>
      </c>
      <c r="R16" s="286">
        <f t="shared" si="17"/>
        <v>1302.6829090909089</v>
      </c>
      <c r="S16" s="286">
        <f t="shared" si="18"/>
        <v>1302.6829090909089</v>
      </c>
      <c r="T16" s="287">
        <f t="shared" si="19"/>
        <v>1432.9512</v>
      </c>
      <c r="U16" s="342">
        <f t="shared" si="20"/>
        <v>1432.9512</v>
      </c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</row>
    <row r="17" spans="1:38" ht="20" customHeight="1" thickTop="1" thickBot="1" x14ac:dyDescent="0.2">
      <c r="A17" s="290" t="str">
        <f>'Tariffs 2023'!F12</f>
        <v>Origin Energy</v>
      </c>
      <c r="B17" s="281" t="str">
        <f>'Tariffs 2023'!D12</f>
        <v>Envestra Port Pirie</v>
      </c>
      <c r="C17" s="281" t="str">
        <f>'Tariffs 2023'!G12</f>
        <v>Go Variable</v>
      </c>
      <c r="D17" s="282">
        <f>91*'Tariffs 2023'!H12/100</f>
        <v>73.164000000000001</v>
      </c>
      <c r="E17" s="282">
        <f>IF('Tariffs 2023'!K12="",$C$5*'Tariffs 2023'!W12/100,IF($C$5&gt;='Tariffs 2023'!L12*1.5,('Tariffs 2023'!L12*1.5*'Tariffs 2023'!W12/100),($C$5*'Tariffs 2023'!W12/100)))</f>
        <v>218.29349999999999</v>
      </c>
      <c r="F17" s="282">
        <f>IF(AND('Tariffs 2023'!L12*1.5&gt;0,'Tariffs 2023'!M12*1.5&gt;0),IF($C$5&lt;'Tariffs 2023'!L12*1.5,0,IF(($C$5-'Tariffs 2023'!L12*1.5)&lt;=('Tariffs 2023'!M12*1.5+'Tariffs 2023'!L12*1.5),(($C$5-'Tariffs 2023'!L12*1.5)*'Tariffs 2023'!X12/100),(('Tariffs 2023'!M12*1.5)*'Tariffs 2023'!X12/100))),0)</f>
        <v>0</v>
      </c>
      <c r="G17" s="282">
        <f>IF(AND('Tariffs 2023'!P12&gt;0,'Tariffs 2023'!O12&gt;0),IF(($C$5&lt;(SUM('Tariffs 2023'!L12:P12))*1.5),(0),($C$5-(SUM('Tariffs 2023'!L12:P12)*1.5))*'Tariffs 2023'!AB12/100),IF(AND('Tariffs 2023'!O12&gt;0,'Tariffs 2023'!P12=""),IF(($C$5&lt; (SUM('Tariffs 2023'!L12:O12))*1.5),(0),($C$5-(SUM('Tariffs 2023'!L12:O12))*1.5)*'Tariffs 2023'!AA12/100),IF(AND('Tariffs 2023'!N12&gt;0,'Tariffs 2023'!O12=""),IF(($C$5&lt;(SUM('Tariffs 2023'!L12:N12))*1.5),(0),($C$5-(SUM('Tariffs 2023'!L12:N12))*1.5)*'Tariffs 2023'!Z12/100),IF(AND('Tariffs 2023'!M12&gt;0,'Tariffs 2023'!N12=""),IF(($C$5&lt;'Tariffs 2023'!M12*1.5+'Tariffs 2023'!L12*1.5),(0),(($C$5-('Tariffs 2023'!M12*1.5+'Tariffs 2023'!L12*1.5))*'Tariffs 2023'!Y12/100)),IF(AND('Tariffs 2023'!L12&gt;0,'Tariffs 2023'!M12=""&gt;0),IF(($C$5&lt;'Tariffs 2023'!L12*1.5),(0),($C$5-('Tariffs 2023'!L12*1.5))*'Tariffs 2023'!X12/100),0)))))</f>
        <v>20.656363636363629</v>
      </c>
      <c r="H17" s="282">
        <f t="shared" si="6"/>
        <v>312.11386363636359</v>
      </c>
      <c r="I17" s="282">
        <f>(H17-D17)*4</f>
        <v>955.79945454545441</v>
      </c>
      <c r="J17" s="283">
        <f t="shared" si="7"/>
        <v>1248.4554545454544</v>
      </c>
      <c r="K17" s="284">
        <f t="shared" si="8"/>
        <v>1373.3009999999999</v>
      </c>
      <c r="L17" s="281">
        <f>'Tariffs 2023'!AT12</f>
        <v>0</v>
      </c>
      <c r="M17" s="281">
        <f>'Tariffs 2023'!AU12</f>
        <v>0</v>
      </c>
      <c r="N17" s="281">
        <f>'Tariffs 2023'!AV12</f>
        <v>0</v>
      </c>
      <c r="O17" s="281">
        <f>'Tariffs 2023'!AW12</f>
        <v>0</v>
      </c>
      <c r="P17" s="285" t="str">
        <f t="shared" si="9"/>
        <v>No discount</v>
      </c>
      <c r="Q17" s="285" t="str">
        <f>IF(OR(A17="Origin Energy",A17="Red Energy",A17="Powershop"),"Inclusive","Exclusive")</f>
        <v>Inclusive</v>
      </c>
      <c r="R17" s="286">
        <f t="shared" si="3"/>
        <v>1248.4554545454544</v>
      </c>
      <c r="S17" s="286">
        <f t="shared" si="4"/>
        <v>1248.4554545454544</v>
      </c>
      <c r="T17" s="287">
        <f t="shared" si="5"/>
        <v>1373.3009999999999</v>
      </c>
      <c r="U17" s="342">
        <f t="shared" si="5"/>
        <v>1373.3009999999999</v>
      </c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</row>
    <row r="18" spans="1:38" ht="20" customHeight="1" thickTop="1" thickBot="1" x14ac:dyDescent="0.2">
      <c r="A18" s="290" t="str">
        <f>'Tariffs 2023'!F13</f>
        <v>Origin Energy</v>
      </c>
      <c r="B18" s="281" t="str">
        <f>'Tariffs 2023'!D13</f>
        <v>Envestra Whyalla</v>
      </c>
      <c r="C18" s="281" t="str">
        <f>'Tariffs 2023'!G13</f>
        <v>Go Variable</v>
      </c>
      <c r="D18" s="282">
        <f>91*'Tariffs 2023'!H13/100</f>
        <v>73.164000000000001</v>
      </c>
      <c r="E18" s="282">
        <f>IF('Tariffs 2023'!K13="",$C$5*'Tariffs 2023'!W13/100,IF($C$5&gt;='Tariffs 2023'!L13*1.5,('Tariffs 2023'!L13*1.5*'Tariffs 2023'!W13/100),($C$5*'Tariffs 2023'!W13/100)))</f>
        <v>218.29349999999999</v>
      </c>
      <c r="F18" s="282">
        <f>IF(AND('Tariffs 2023'!L13*1.5&gt;0,'Tariffs 2023'!M13*1.5&gt;0),IF($C$5&lt;'Tariffs 2023'!L13*1.5,0,IF(($C$5-'Tariffs 2023'!L13*1.5)&lt;=('Tariffs 2023'!M13*1.5+'Tariffs 2023'!L13*1.5),(($C$5-'Tariffs 2023'!L13*1.5)*'Tariffs 2023'!X13/100),(('Tariffs 2023'!M13*1.5)*'Tariffs 2023'!X13/100))),0)</f>
        <v>0</v>
      </c>
      <c r="G18" s="282">
        <f>IF(AND('Tariffs 2023'!P13&gt;0,'Tariffs 2023'!O13&gt;0),IF(($C$5&lt;(SUM('Tariffs 2023'!L13:P13))*1.5),(0),($C$5-(SUM('Tariffs 2023'!L13:P13)*1.5))*'Tariffs 2023'!AB13/100),IF(AND('Tariffs 2023'!O13&gt;0,'Tariffs 2023'!P13=""),IF(($C$5&lt; (SUM('Tariffs 2023'!L13:O13))*1.5),(0),($C$5-(SUM('Tariffs 2023'!L13:O13))*1.5)*'Tariffs 2023'!AA13/100),IF(AND('Tariffs 2023'!N13&gt;0,'Tariffs 2023'!O13=""),IF(($C$5&lt;(SUM('Tariffs 2023'!L13:N13))*1.5),(0),($C$5-(SUM('Tariffs 2023'!L13:N13))*1.5)*'Tariffs 2023'!Z13/100),IF(AND('Tariffs 2023'!M13&gt;0,'Tariffs 2023'!N13=""),IF(($C$5&lt;'Tariffs 2023'!M13*1.5+'Tariffs 2023'!L13*1.5),(0),(($C$5-('Tariffs 2023'!M13*1.5+'Tariffs 2023'!L13*1.5))*'Tariffs 2023'!Y13/100)),IF(AND('Tariffs 2023'!L13&gt;0,'Tariffs 2023'!M13=""&gt;0),IF(($C$5&lt;'Tariffs 2023'!L13*1.5),(0),($C$5-('Tariffs 2023'!L13*1.5))*'Tariffs 2023'!X13/100),0)))))</f>
        <v>20.656363636363629</v>
      </c>
      <c r="H18" s="282">
        <f t="shared" si="6"/>
        <v>312.11386363636359</v>
      </c>
      <c r="I18" s="282">
        <f>(H18-D18)*4</f>
        <v>955.79945454545441</v>
      </c>
      <c r="J18" s="283">
        <f t="shared" si="7"/>
        <v>1248.4554545454544</v>
      </c>
      <c r="K18" s="291">
        <f t="shared" si="8"/>
        <v>1373.3009999999999</v>
      </c>
      <c r="L18" s="281">
        <f>'Tariffs 2023'!AT13</f>
        <v>0</v>
      </c>
      <c r="M18" s="281">
        <f>'Tariffs 2023'!AU13</f>
        <v>0</v>
      </c>
      <c r="N18" s="281">
        <f>'Tariffs 2023'!AV13</f>
        <v>0</v>
      </c>
      <c r="O18" s="281">
        <f>'Tariffs 2023'!AW13</f>
        <v>0</v>
      </c>
      <c r="P18" s="285" t="str">
        <f t="shared" si="9"/>
        <v>No discount</v>
      </c>
      <c r="Q18" s="285" t="str">
        <f>IF(OR(A18="Origin Energy",A18="Red Energy",A18="Powershop"),"Inclusive","Exclusive")</f>
        <v>Inclusive</v>
      </c>
      <c r="R18" s="286">
        <f t="shared" si="3"/>
        <v>1248.4554545454544</v>
      </c>
      <c r="S18" s="286">
        <f t="shared" si="4"/>
        <v>1248.4554545454544</v>
      </c>
      <c r="T18" s="292">
        <f t="shared" si="5"/>
        <v>1373.3009999999999</v>
      </c>
      <c r="U18" s="343">
        <f t="shared" si="5"/>
        <v>1373.3009999999999</v>
      </c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</row>
    <row r="19" spans="1:38" ht="20" customHeight="1" thickTop="1" thickBot="1" x14ac:dyDescent="0.2">
      <c r="A19" s="290" t="str">
        <f>'Tariffs 2023'!F14</f>
        <v>Origin Energy</v>
      </c>
      <c r="B19" s="281" t="str">
        <f>'Tariffs 2023'!D14</f>
        <v>Envestra Mt Gambier</v>
      </c>
      <c r="C19" s="281" t="str">
        <f>'Tariffs 2023'!G14</f>
        <v>Go Variable</v>
      </c>
      <c r="D19" s="282">
        <f>91*'Tariffs 2023'!H14/100</f>
        <v>73.164000000000001</v>
      </c>
      <c r="E19" s="282">
        <f>IF('Tariffs 2023'!K14="",$C$5*'Tariffs 2023'!W14/100,IF($C$5&gt;='Tariffs 2023'!L14*1.5,('Tariffs 2023'!L14*1.5*'Tariffs 2023'!W14/100),($C$5*'Tariffs 2023'!W14/100)))</f>
        <v>218.29349999999999</v>
      </c>
      <c r="F19" s="282">
        <f>IF(AND('Tariffs 2023'!L14*1.5&gt;0,'Tariffs 2023'!M14*1.5&gt;0),IF($C$5&lt;'Tariffs 2023'!L14*1.5,0,IF(($C$5-'Tariffs 2023'!L14*1.5)&lt;=('Tariffs 2023'!M14*1.5+'Tariffs 2023'!L14*1.5),(($C$5-'Tariffs 2023'!L14*1.5)*'Tariffs 2023'!X14/100),(('Tariffs 2023'!M14*1.5)*'Tariffs 2023'!X14/100))),0)</f>
        <v>0</v>
      </c>
      <c r="G19" s="282">
        <f>IF(AND('Tariffs 2023'!P14&gt;0,'Tariffs 2023'!O14&gt;0),IF(($C$5&lt;(SUM('Tariffs 2023'!L14:P14))*1.5),(0),($C$5-(SUM('Tariffs 2023'!L14:P14)*1.5))*'Tariffs 2023'!AB14/100),IF(AND('Tariffs 2023'!O14&gt;0,'Tariffs 2023'!P14=""),IF(($C$5&lt; (SUM('Tariffs 2023'!L14:O14))*1.5),(0),($C$5-(SUM('Tariffs 2023'!L14:O14))*1.5)*'Tariffs 2023'!AA14/100),IF(AND('Tariffs 2023'!N14&gt;0,'Tariffs 2023'!O14=""),IF(($C$5&lt;(SUM('Tariffs 2023'!L14:N14))*1.5),(0),($C$5-(SUM('Tariffs 2023'!L14:N14))*1.5)*'Tariffs 2023'!Z14/100),IF(AND('Tariffs 2023'!M14&gt;0,'Tariffs 2023'!N14=""),IF(($C$5&lt;'Tariffs 2023'!M14*1.5+'Tariffs 2023'!L14*1.5),(0),(($C$5-('Tariffs 2023'!M14*1.5+'Tariffs 2023'!L14*1.5))*'Tariffs 2023'!Y14/100)),IF(AND('Tariffs 2023'!L14&gt;0,'Tariffs 2023'!M14=""&gt;0),IF(($C$5&lt;'Tariffs 2023'!L14*1.5),(0),($C$5-('Tariffs 2023'!L14*1.5))*'Tariffs 2023'!X14/100),0)))))</f>
        <v>20.656363636363629</v>
      </c>
      <c r="H19" s="282">
        <f t="shared" si="6"/>
        <v>312.11386363636359</v>
      </c>
      <c r="I19" s="282">
        <f>(H19-D19)*4</f>
        <v>955.79945454545441</v>
      </c>
      <c r="J19" s="283">
        <f t="shared" si="7"/>
        <v>1248.4554545454544</v>
      </c>
      <c r="K19" s="291">
        <f t="shared" si="8"/>
        <v>1373.3009999999999</v>
      </c>
      <c r="L19" s="281">
        <f>'Tariffs 2023'!AT14</f>
        <v>0</v>
      </c>
      <c r="M19" s="281">
        <f>'Tariffs 2023'!AU14</f>
        <v>0</v>
      </c>
      <c r="N19" s="281">
        <f>'Tariffs 2023'!AV14</f>
        <v>0</v>
      </c>
      <c r="O19" s="281">
        <f>'Tariffs 2023'!AW14</f>
        <v>0</v>
      </c>
      <c r="P19" s="285" t="str">
        <f t="shared" si="9"/>
        <v>No discount</v>
      </c>
      <c r="Q19" s="285" t="str">
        <f>IF(OR(A19="Origin Energy",A19="Red Energy",A19="Powershop"),"Inclusive","Exclusive")</f>
        <v>Inclusive</v>
      </c>
      <c r="R19" s="286">
        <f t="shared" si="3"/>
        <v>1248.4554545454544</v>
      </c>
      <c r="S19" s="286">
        <f t="shared" si="4"/>
        <v>1248.4554545454544</v>
      </c>
      <c r="T19" s="292">
        <f t="shared" si="5"/>
        <v>1373.3009999999999</v>
      </c>
      <c r="U19" s="343">
        <f t="shared" si="5"/>
        <v>1373.3009999999999</v>
      </c>
      <c r="V19" s="333"/>
      <c r="W19" s="333"/>
      <c r="X19" s="333"/>
      <c r="Y19" s="333"/>
      <c r="Z19" s="333"/>
      <c r="AA19" s="333"/>
      <c r="AB19" s="333"/>
      <c r="AC19" s="333"/>
      <c r="AD19" s="333"/>
      <c r="AE19" s="333"/>
      <c r="AF19" s="333"/>
      <c r="AG19" s="333"/>
      <c r="AH19" s="333"/>
      <c r="AI19" s="333"/>
      <c r="AJ19" s="333"/>
      <c r="AK19" s="333"/>
      <c r="AL19" s="333"/>
    </row>
    <row r="20" spans="1:38" ht="20" customHeight="1" thickTop="1" thickBot="1" x14ac:dyDescent="0.2">
      <c r="A20" s="220" t="str">
        <f>'Tariffs 2023'!F15</f>
        <v>Origin Energy</v>
      </c>
      <c r="B20" s="221" t="str">
        <f>'Tariffs 2023'!D15</f>
        <v>Envestra Riverland</v>
      </c>
      <c r="C20" s="221" t="str">
        <f>'Tariffs 2023'!G15</f>
        <v>Go Variable</v>
      </c>
      <c r="D20" s="222">
        <f>91*'Tariffs 2023'!H15/100</f>
        <v>73.164000000000001</v>
      </c>
      <c r="E20" s="222">
        <f>IF('Tariffs 2023'!K15="",$C$5*'Tariffs 2023'!W15/100,IF($C$5&gt;='Tariffs 2023'!L15*1.5,('Tariffs 2023'!L15*1.5*'Tariffs 2023'!W15/100),($C$5*'Tariffs 2023'!W15/100)))</f>
        <v>218.29349999999999</v>
      </c>
      <c r="F20" s="222">
        <f>IF(AND('Tariffs 2023'!L15*1.5&gt;0,'Tariffs 2023'!M15*1.5&gt;0),IF($C$5&lt;'Tariffs 2023'!L15*1.5,0,IF(($C$5-'Tariffs 2023'!L15*1.5)&lt;=('Tariffs 2023'!M15*1.5+'Tariffs 2023'!L15*1.5),(($C$5-'Tariffs 2023'!L15*1.5)*'Tariffs 2023'!X15/100),(('Tariffs 2023'!M15*1.5)*'Tariffs 2023'!X15/100))),0)</f>
        <v>0</v>
      </c>
      <c r="G20" s="222">
        <f>IF(AND('Tariffs 2023'!P15&gt;0,'Tariffs 2023'!O15&gt;0),IF(($C$5&lt;(SUM('Tariffs 2023'!L15:P15))*1.5),(0),($C$5-(SUM('Tariffs 2023'!L15:P15)*1.5))*'Tariffs 2023'!AB15/100),IF(AND('Tariffs 2023'!O15&gt;0,'Tariffs 2023'!P15=""),IF(($C$5&lt; (SUM('Tariffs 2023'!L15:O15))*1.5),(0),($C$5-(SUM('Tariffs 2023'!L15:O15))*1.5)*'Tariffs 2023'!AA15/100),IF(AND('Tariffs 2023'!N15&gt;0,'Tariffs 2023'!O15=""),IF(($C$5&lt;(SUM('Tariffs 2023'!L15:N15))*1.5),(0),($C$5-(SUM('Tariffs 2023'!L15:N15))*1.5)*'Tariffs 2023'!Z15/100),IF(AND('Tariffs 2023'!M15&gt;0,'Tariffs 2023'!N15=""),IF(($C$5&lt;'Tariffs 2023'!M15*1.5+'Tariffs 2023'!L15*1.5),(0),(($C$5-('Tariffs 2023'!M15*1.5+'Tariffs 2023'!L15*1.5))*'Tariffs 2023'!Y15/100)),IF(AND('Tariffs 2023'!L15&gt;0,'Tariffs 2023'!M15=""&gt;0),IF(($C$5&lt;'Tariffs 2023'!L15*1.5),(0),($C$5-('Tariffs 2023'!L15*1.5))*'Tariffs 2023'!X15/100),0)))))</f>
        <v>20.656363636363629</v>
      </c>
      <c r="H20" s="222">
        <f t="shared" si="6"/>
        <v>312.11386363636359</v>
      </c>
      <c r="I20" s="222">
        <f>(H20-D20)*4</f>
        <v>955.79945454545441</v>
      </c>
      <c r="J20" s="223">
        <f t="shared" si="7"/>
        <v>1248.4554545454544</v>
      </c>
      <c r="K20" s="258">
        <f t="shared" si="8"/>
        <v>1373.3009999999999</v>
      </c>
      <c r="L20" s="221">
        <f>'Tariffs 2023'!AT15</f>
        <v>0</v>
      </c>
      <c r="M20" s="221">
        <f>'Tariffs 2023'!AU15</f>
        <v>0</v>
      </c>
      <c r="N20" s="221">
        <f>'Tariffs 2023'!AV15</f>
        <v>0</v>
      </c>
      <c r="O20" s="221">
        <f>'Tariffs 2023'!AW15</f>
        <v>0</v>
      </c>
      <c r="P20" s="224" t="str">
        <f t="shared" si="9"/>
        <v>No discount</v>
      </c>
      <c r="Q20" s="224" t="str">
        <f>IF(OR(A20="Origin Energy",A20="Red Energy",A20="Powershop"),"Inclusive","Exclusive")</f>
        <v>Inclusive</v>
      </c>
      <c r="R20" s="254">
        <f t="shared" si="3"/>
        <v>1248.4554545454544</v>
      </c>
      <c r="S20" s="255">
        <f t="shared" si="4"/>
        <v>1248.4554545454544</v>
      </c>
      <c r="T20" s="261">
        <f t="shared" si="5"/>
        <v>1373.3009999999999</v>
      </c>
      <c r="U20" s="344">
        <f t="shared" si="5"/>
        <v>1373.3009999999999</v>
      </c>
      <c r="V20" s="333"/>
      <c r="W20" s="333"/>
      <c r="X20" s="333"/>
      <c r="Y20" s="333"/>
      <c r="Z20" s="333"/>
      <c r="AA20" s="333"/>
      <c r="AB20" s="333"/>
      <c r="AC20" s="333"/>
      <c r="AD20" s="333"/>
      <c r="AE20" s="333"/>
      <c r="AF20" s="333"/>
      <c r="AG20" s="333"/>
      <c r="AH20" s="333"/>
      <c r="AI20" s="333"/>
      <c r="AJ20" s="333"/>
      <c r="AK20" s="333"/>
      <c r="AL20" s="333"/>
    </row>
    <row r="21" spans="1:38" customFormat="1" x14ac:dyDescent="0.15">
      <c r="A21" s="333"/>
      <c r="B21" s="333"/>
      <c r="C21" s="333"/>
      <c r="D21" s="333"/>
      <c r="E21" s="333"/>
      <c r="F21" s="333"/>
      <c r="G21" s="333"/>
      <c r="H21" s="333"/>
      <c r="I21" s="333"/>
      <c r="J21" s="333"/>
      <c r="K21" s="333"/>
      <c r="L21" s="333"/>
      <c r="M21" s="333"/>
      <c r="N21" s="333"/>
      <c r="O21" s="333"/>
      <c r="P21" s="333"/>
      <c r="Q21" s="333"/>
      <c r="R21" s="333"/>
      <c r="S21" s="333"/>
      <c r="T21" s="333"/>
      <c r="U21" s="333"/>
      <c r="V21" s="333"/>
      <c r="W21" s="333"/>
      <c r="X21" s="333"/>
      <c r="Y21" s="333"/>
      <c r="Z21" s="333"/>
      <c r="AA21" s="333"/>
      <c r="AB21" s="333"/>
      <c r="AC21" s="333"/>
      <c r="AD21" s="333"/>
      <c r="AE21" s="333"/>
      <c r="AF21" s="333"/>
      <c r="AG21" s="333"/>
      <c r="AH21" s="333"/>
      <c r="AI21" s="333"/>
      <c r="AJ21" s="333"/>
      <c r="AK21" s="333"/>
      <c r="AL21" s="333"/>
    </row>
    <row r="22" spans="1:38" customFormat="1" x14ac:dyDescent="0.15">
      <c r="A22" s="333"/>
      <c r="B22" s="333"/>
      <c r="C22" s="333"/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  <c r="AD22" s="333"/>
      <c r="AE22" s="333"/>
      <c r="AF22" s="333"/>
      <c r="AG22" s="333"/>
      <c r="AH22" s="333"/>
      <c r="AI22" s="333"/>
      <c r="AJ22" s="333"/>
      <c r="AK22" s="333"/>
      <c r="AL22" s="333"/>
    </row>
    <row r="23" spans="1:38" customFormat="1" x14ac:dyDescent="0.15">
      <c r="A23" s="333"/>
      <c r="B23" s="333"/>
      <c r="C23" s="333"/>
      <c r="D23" s="333"/>
      <c r="E23" s="333"/>
      <c r="F23" s="333"/>
      <c r="G23" s="333"/>
      <c r="H23" s="333"/>
      <c r="I23" s="333"/>
      <c r="J23" s="333"/>
      <c r="K23" s="333"/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  <c r="AD23" s="333"/>
      <c r="AE23" s="333"/>
      <c r="AF23" s="333"/>
      <c r="AG23" s="333"/>
      <c r="AH23" s="333"/>
      <c r="AI23" s="333"/>
      <c r="AJ23" s="333"/>
      <c r="AK23" s="333"/>
      <c r="AL23" s="333"/>
    </row>
    <row r="24" spans="1:38" customFormat="1" x14ac:dyDescent="0.15">
      <c r="A24" s="333"/>
      <c r="B24" s="333"/>
      <c r="C24" s="333"/>
      <c r="D24" s="333"/>
      <c r="E24" s="333"/>
      <c r="F24" s="333"/>
      <c r="G24" s="333"/>
      <c r="H24" s="333"/>
      <c r="I24" s="333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  <c r="AD24" s="333"/>
      <c r="AE24" s="333"/>
      <c r="AF24" s="333"/>
      <c r="AG24" s="333"/>
      <c r="AH24" s="333"/>
      <c r="AI24" s="333"/>
      <c r="AJ24" s="333"/>
      <c r="AK24" s="333"/>
      <c r="AL24" s="333"/>
    </row>
    <row r="25" spans="1:38" customFormat="1" x14ac:dyDescent="0.15">
      <c r="A25" s="333"/>
      <c r="B25" s="333"/>
      <c r="C25" s="333"/>
      <c r="D25" s="333"/>
      <c r="E25" s="333"/>
      <c r="F25" s="333"/>
      <c r="G25" s="333"/>
      <c r="H25" s="333"/>
      <c r="I25" s="333"/>
      <c r="J25" s="333"/>
      <c r="K25" s="333"/>
      <c r="L25" s="333"/>
      <c r="M25" s="333"/>
      <c r="N25" s="333"/>
      <c r="O25" s="333"/>
      <c r="P25" s="333"/>
      <c r="Q25" s="333"/>
      <c r="R25" s="333"/>
      <c r="S25" s="333"/>
      <c r="T25" s="333"/>
      <c r="U25" s="333"/>
      <c r="V25" s="333"/>
      <c r="W25" s="333"/>
      <c r="X25" s="333"/>
      <c r="Y25" s="333"/>
      <c r="Z25" s="333"/>
      <c r="AA25" s="333"/>
      <c r="AB25" s="333"/>
      <c r="AC25" s="333"/>
      <c r="AD25" s="333"/>
      <c r="AE25" s="333"/>
      <c r="AF25" s="333"/>
      <c r="AG25" s="333"/>
      <c r="AH25" s="333"/>
      <c r="AI25" s="333"/>
      <c r="AJ25" s="333"/>
      <c r="AK25" s="333"/>
      <c r="AL25" s="333"/>
    </row>
    <row r="26" spans="1:38" customFormat="1" x14ac:dyDescent="0.15">
      <c r="A26" s="333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3"/>
      <c r="S26" s="333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  <c r="AD26" s="333"/>
      <c r="AE26" s="333"/>
      <c r="AF26" s="333"/>
      <c r="AG26" s="333"/>
      <c r="AH26" s="333"/>
      <c r="AI26" s="333"/>
      <c r="AJ26" s="333"/>
      <c r="AK26" s="333"/>
      <c r="AL26" s="333"/>
    </row>
    <row r="27" spans="1:38" customFormat="1" x14ac:dyDescent="0.15">
      <c r="A27" s="333"/>
      <c r="B27" s="333"/>
      <c r="C27" s="333"/>
      <c r="D27" s="333"/>
      <c r="E27" s="333"/>
      <c r="F27" s="333"/>
      <c r="G27" s="333"/>
      <c r="H27" s="333"/>
      <c r="I27" s="333"/>
      <c r="J27" s="333"/>
      <c r="K27" s="333"/>
      <c r="L27" s="333"/>
      <c r="M27" s="333"/>
      <c r="N27" s="333"/>
      <c r="O27" s="333"/>
      <c r="P27" s="333"/>
      <c r="Q27" s="333"/>
      <c r="R27" s="333"/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  <c r="AD27" s="333"/>
      <c r="AE27" s="333"/>
      <c r="AF27" s="333"/>
      <c r="AG27" s="333"/>
      <c r="AH27" s="333"/>
      <c r="AI27" s="333"/>
      <c r="AJ27" s="333"/>
      <c r="AK27" s="333"/>
      <c r="AL27" s="333"/>
    </row>
    <row r="28" spans="1:38" customFormat="1" x14ac:dyDescent="0.15">
      <c r="A28" s="333"/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  <c r="AD28" s="333"/>
      <c r="AE28" s="333"/>
      <c r="AF28" s="333"/>
      <c r="AG28" s="333"/>
      <c r="AH28" s="333"/>
      <c r="AI28" s="333"/>
      <c r="AJ28" s="333"/>
      <c r="AK28" s="333"/>
      <c r="AL28" s="333"/>
    </row>
    <row r="29" spans="1:38" customFormat="1" x14ac:dyDescent="0.15">
      <c r="A29" s="333"/>
      <c r="B29" s="333"/>
      <c r="C29" s="333"/>
      <c r="D29" s="333"/>
      <c r="E29" s="333"/>
      <c r="F29" s="333"/>
      <c r="G29" s="333"/>
      <c r="H29" s="333"/>
      <c r="I29" s="333"/>
      <c r="J29" s="333"/>
      <c r="K29" s="333"/>
      <c r="L29" s="333"/>
      <c r="M29" s="333"/>
      <c r="N29" s="333"/>
      <c r="O29" s="333"/>
      <c r="P29" s="333"/>
      <c r="Q29" s="333"/>
      <c r="R29" s="333"/>
      <c r="S29" s="333"/>
      <c r="T29" s="333"/>
      <c r="U29" s="333"/>
      <c r="V29" s="333"/>
      <c r="W29" s="333"/>
      <c r="X29" s="333"/>
      <c r="Y29" s="333"/>
      <c r="Z29" s="333"/>
      <c r="AA29" s="333"/>
      <c r="AB29" s="333"/>
      <c r="AC29" s="333"/>
      <c r="AD29" s="333"/>
      <c r="AE29" s="333"/>
      <c r="AF29" s="333"/>
      <c r="AG29" s="333"/>
      <c r="AH29" s="333"/>
      <c r="AI29" s="333"/>
      <c r="AJ29" s="333"/>
      <c r="AK29" s="333"/>
      <c r="AL29" s="333"/>
    </row>
    <row r="30" spans="1:38" customFormat="1" x14ac:dyDescent="0.15">
      <c r="A30" s="333"/>
      <c r="B30" s="333"/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  <c r="S30" s="333"/>
      <c r="T30" s="333"/>
      <c r="U30" s="333"/>
      <c r="V30" s="333"/>
      <c r="W30" s="333"/>
      <c r="X30" s="333"/>
      <c r="Y30" s="333"/>
      <c r="Z30" s="333"/>
      <c r="AA30" s="333"/>
      <c r="AB30" s="333"/>
      <c r="AC30" s="333"/>
      <c r="AD30" s="333"/>
      <c r="AE30" s="333"/>
      <c r="AF30" s="333"/>
      <c r="AG30" s="333"/>
      <c r="AH30" s="333"/>
      <c r="AI30" s="333"/>
      <c r="AJ30" s="333"/>
      <c r="AK30" s="333"/>
      <c r="AL30" s="333"/>
    </row>
    <row r="31" spans="1:38" customFormat="1" x14ac:dyDescent="0.15">
      <c r="A31" s="333"/>
      <c r="B31" s="333"/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</row>
    <row r="32" spans="1:38" customFormat="1" x14ac:dyDescent="0.15">
      <c r="A32" s="333"/>
      <c r="B32" s="333"/>
      <c r="C32" s="333"/>
      <c r="D32" s="333"/>
      <c r="E32" s="333"/>
      <c r="F32" s="333"/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</row>
    <row r="33" spans="1:38" customFormat="1" x14ac:dyDescent="0.15">
      <c r="A33" s="333"/>
      <c r="B33" s="333"/>
      <c r="C33" s="333"/>
      <c r="D33" s="333"/>
      <c r="E33" s="333"/>
      <c r="F33" s="333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3"/>
      <c r="R33" s="333"/>
      <c r="S33" s="333"/>
      <c r="T33" s="333"/>
      <c r="U33" s="333"/>
      <c r="V33" s="333"/>
      <c r="W33" s="333"/>
      <c r="X33" s="333"/>
      <c r="Y33" s="333"/>
      <c r="Z33" s="333"/>
      <c r="AA33" s="333"/>
      <c r="AB33" s="333"/>
      <c r="AC33" s="333"/>
      <c r="AD33" s="333"/>
      <c r="AE33" s="333"/>
      <c r="AF33" s="333"/>
      <c r="AG33" s="333"/>
      <c r="AH33" s="333"/>
      <c r="AI33" s="333"/>
      <c r="AJ33" s="333"/>
      <c r="AK33" s="333"/>
      <c r="AL33" s="333"/>
    </row>
    <row r="34" spans="1:38" customFormat="1" x14ac:dyDescent="0.15">
      <c r="A34" s="333"/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3"/>
      <c r="V34" s="333"/>
      <c r="W34" s="333"/>
      <c r="X34" s="333"/>
      <c r="Y34" s="333"/>
      <c r="Z34" s="333"/>
      <c r="AA34" s="333"/>
      <c r="AB34" s="333"/>
      <c r="AC34" s="333"/>
      <c r="AD34" s="333"/>
      <c r="AE34" s="333"/>
      <c r="AF34" s="333"/>
      <c r="AG34" s="333"/>
      <c r="AH34" s="333"/>
      <c r="AI34" s="333"/>
      <c r="AJ34" s="333"/>
      <c r="AK34" s="333"/>
      <c r="AL34" s="333"/>
    </row>
    <row r="35" spans="1:38" customFormat="1" x14ac:dyDescent="0.15">
      <c r="A35" s="333"/>
      <c r="B35" s="333"/>
      <c r="C35" s="333"/>
      <c r="D35" s="333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</row>
    <row r="36" spans="1:38" customFormat="1" x14ac:dyDescent="0.15">
      <c r="A36" s="333"/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3"/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</row>
    <row r="37" spans="1:38" customFormat="1" x14ac:dyDescent="0.15">
      <c r="A37" s="333"/>
      <c r="B37" s="333"/>
      <c r="C37" s="333"/>
      <c r="D37" s="333"/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</row>
    <row r="38" spans="1:38" customFormat="1" x14ac:dyDescent="0.15">
      <c r="A38" s="333"/>
      <c r="B38" s="333"/>
      <c r="C38" s="333"/>
      <c r="D38" s="333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333"/>
      <c r="AL38" s="333"/>
    </row>
    <row r="39" spans="1:38" customFormat="1" x14ac:dyDescent="0.15">
      <c r="A39" s="333"/>
      <c r="B39" s="333"/>
      <c r="C39" s="333"/>
      <c r="D39" s="333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3"/>
      <c r="Q39" s="333"/>
      <c r="R39" s="333"/>
      <c r="S39" s="333"/>
      <c r="T39" s="333"/>
      <c r="U39" s="333"/>
      <c r="V39" s="333"/>
      <c r="W39" s="333"/>
      <c r="X39" s="333"/>
      <c r="Y39" s="333"/>
      <c r="Z39" s="333"/>
      <c r="AA39" s="333"/>
      <c r="AB39" s="333"/>
      <c r="AC39" s="333"/>
      <c r="AD39" s="333"/>
      <c r="AE39" s="333"/>
      <c r="AF39" s="333"/>
      <c r="AG39" s="333"/>
      <c r="AH39" s="333"/>
      <c r="AI39" s="333"/>
      <c r="AJ39" s="333"/>
      <c r="AK39" s="333"/>
      <c r="AL39" s="333"/>
    </row>
    <row r="40" spans="1:38" customFormat="1" x14ac:dyDescent="0.15">
      <c r="A40" s="333"/>
      <c r="B40" s="333"/>
      <c r="C40" s="333"/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3"/>
      <c r="Q40" s="333"/>
      <c r="R40" s="333"/>
      <c r="S40" s="333"/>
      <c r="T40" s="333"/>
      <c r="U40" s="333"/>
      <c r="V40" s="333"/>
      <c r="W40" s="333"/>
      <c r="X40" s="333"/>
      <c r="Y40" s="333"/>
      <c r="Z40" s="333"/>
      <c r="AA40" s="333"/>
      <c r="AB40" s="333"/>
      <c r="AC40" s="333"/>
      <c r="AD40" s="333"/>
      <c r="AE40" s="333"/>
      <c r="AF40" s="333"/>
      <c r="AG40" s="333"/>
      <c r="AH40" s="333"/>
      <c r="AI40" s="333"/>
      <c r="AJ40" s="333"/>
      <c r="AK40" s="333"/>
      <c r="AL40" s="333"/>
    </row>
    <row r="41" spans="1:38" customFormat="1" x14ac:dyDescent="0.15">
      <c r="A41" s="333"/>
      <c r="B41" s="333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</row>
    <row r="42" spans="1:38" customFormat="1" x14ac:dyDescent="0.15">
      <c r="A42" s="333"/>
      <c r="B42" s="333"/>
      <c r="C42" s="333"/>
      <c r="D42" s="333"/>
      <c r="E42" s="333"/>
      <c r="F42" s="333"/>
      <c r="G42" s="333"/>
      <c r="H42" s="333"/>
      <c r="I42" s="333"/>
      <c r="J42" s="333"/>
      <c r="K42" s="333"/>
      <c r="L42" s="333"/>
      <c r="M42" s="333"/>
      <c r="N42" s="333"/>
      <c r="O42" s="333"/>
      <c r="P42" s="333"/>
      <c r="Q42" s="333"/>
      <c r="R42" s="333"/>
      <c r="S42" s="333"/>
      <c r="T42" s="333"/>
      <c r="U42" s="333"/>
      <c r="V42" s="333"/>
      <c r="W42" s="333"/>
      <c r="X42" s="333"/>
      <c r="Y42" s="333"/>
      <c r="Z42" s="333"/>
      <c r="AA42" s="333"/>
      <c r="AB42" s="333"/>
      <c r="AC42" s="333"/>
      <c r="AD42" s="333"/>
      <c r="AE42" s="333"/>
      <c r="AF42" s="333"/>
      <c r="AG42" s="333"/>
      <c r="AH42" s="333"/>
      <c r="AI42" s="333"/>
      <c r="AJ42" s="333"/>
      <c r="AK42" s="333"/>
      <c r="AL42" s="333"/>
    </row>
    <row r="43" spans="1:38" customFormat="1" x14ac:dyDescent="0.15">
      <c r="A43" s="333"/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</row>
    <row r="44" spans="1:38" customFormat="1" x14ac:dyDescent="0.15">
      <c r="A44" s="333"/>
      <c r="B44" s="333"/>
      <c r="C44" s="333"/>
      <c r="D44" s="333"/>
      <c r="E44" s="333"/>
      <c r="F44" s="333"/>
      <c r="G44" s="333"/>
      <c r="H44" s="333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</row>
    <row r="45" spans="1:38" customFormat="1" x14ac:dyDescent="0.15">
      <c r="A45" s="333"/>
      <c r="B45" s="333"/>
      <c r="C45" s="333"/>
      <c r="D45" s="333"/>
      <c r="E45" s="333"/>
      <c r="F45" s="333"/>
      <c r="G45" s="333"/>
      <c r="H45" s="333"/>
      <c r="I45" s="333"/>
      <c r="J45" s="333"/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  <c r="AK45" s="333"/>
      <c r="AL45" s="333"/>
    </row>
    <row r="46" spans="1:38" customFormat="1" x14ac:dyDescent="0.15">
      <c r="A46" s="333"/>
      <c r="B46" s="333"/>
      <c r="C46" s="333"/>
      <c r="D46" s="333"/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</row>
    <row r="47" spans="1:38" customFormat="1" x14ac:dyDescent="0.15">
      <c r="A47" s="333"/>
      <c r="B47" s="333"/>
      <c r="C47" s="333"/>
      <c r="D47" s="333"/>
      <c r="E47" s="333"/>
      <c r="F47" s="333"/>
      <c r="G47" s="333"/>
      <c r="H47" s="333"/>
      <c r="I47" s="333"/>
      <c r="J47" s="333"/>
      <c r="K47" s="333"/>
      <c r="L47" s="333"/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</row>
    <row r="48" spans="1:38" customFormat="1" x14ac:dyDescent="0.15">
      <c r="A48" s="333"/>
      <c r="B48" s="333"/>
      <c r="C48" s="333"/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</row>
    <row r="49" spans="1:38" customFormat="1" x14ac:dyDescent="0.15">
      <c r="A49" s="333"/>
      <c r="B49" s="333"/>
      <c r="C49" s="333"/>
      <c r="D49" s="333"/>
      <c r="E49" s="333"/>
      <c r="F49" s="333"/>
      <c r="G49" s="333"/>
      <c r="H49" s="333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</row>
    <row r="50" spans="1:38" customFormat="1" x14ac:dyDescent="0.15">
      <c r="A50" s="333"/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</row>
    <row r="51" spans="1:38" customFormat="1" x14ac:dyDescent="0.15">
      <c r="A51" s="333"/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M51" s="333"/>
      <c r="N51" s="333"/>
      <c r="O51" s="333"/>
      <c r="P51" s="333"/>
      <c r="Q51" s="333"/>
      <c r="R51" s="333"/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</row>
    <row r="52" spans="1:38" customFormat="1" x14ac:dyDescent="0.15">
      <c r="A52" s="333"/>
      <c r="B52" s="333"/>
      <c r="C52" s="333"/>
      <c r="D52" s="333"/>
      <c r="E52" s="333"/>
      <c r="F52" s="333"/>
      <c r="G52" s="333"/>
      <c r="H52" s="333"/>
      <c r="I52" s="333"/>
      <c r="J52" s="333"/>
      <c r="K52" s="333"/>
      <c r="L52" s="333"/>
      <c r="M52" s="333"/>
      <c r="N52" s="333"/>
      <c r="O52" s="333"/>
      <c r="P52" s="333"/>
      <c r="Q52" s="333"/>
      <c r="R52" s="333"/>
      <c r="S52" s="333"/>
      <c r="T52" s="333"/>
      <c r="U52" s="333"/>
      <c r="V52" s="333"/>
      <c r="W52" s="333"/>
      <c r="X52" s="333"/>
      <c r="Y52" s="333"/>
      <c r="Z52" s="333"/>
      <c r="AA52" s="333"/>
      <c r="AB52" s="333"/>
      <c r="AC52" s="333"/>
      <c r="AD52" s="333"/>
      <c r="AE52" s="333"/>
      <c r="AF52" s="333"/>
      <c r="AG52" s="333"/>
      <c r="AH52" s="333"/>
      <c r="AI52" s="333"/>
      <c r="AJ52" s="333"/>
      <c r="AK52" s="333"/>
      <c r="AL52" s="333"/>
    </row>
    <row r="53" spans="1:38" customFormat="1" x14ac:dyDescent="0.15">
      <c r="A53" s="333"/>
      <c r="B53" s="333"/>
      <c r="C53" s="333"/>
      <c r="D53" s="333"/>
      <c r="E53" s="333"/>
      <c r="F53" s="333"/>
      <c r="G53" s="333"/>
      <c r="H53" s="333"/>
      <c r="I53" s="333"/>
      <c r="J53" s="333"/>
      <c r="K53" s="333"/>
      <c r="L53" s="333"/>
      <c r="M53" s="333"/>
      <c r="N53" s="333"/>
      <c r="O53" s="333"/>
      <c r="P53" s="333"/>
      <c r="Q53" s="333"/>
      <c r="R53" s="333"/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</row>
    <row r="54" spans="1:38" customFormat="1" x14ac:dyDescent="0.15">
      <c r="A54" s="333"/>
      <c r="B54" s="333"/>
      <c r="C54" s="333"/>
      <c r="D54" s="333"/>
      <c r="E54" s="333"/>
      <c r="F54" s="333"/>
      <c r="G54" s="333"/>
      <c r="H54" s="333"/>
      <c r="I54" s="333"/>
      <c r="J54" s="333"/>
      <c r="K54" s="333"/>
      <c r="L54" s="333"/>
      <c r="M54" s="333"/>
      <c r="N54" s="333"/>
      <c r="O54" s="333"/>
      <c r="P54" s="333"/>
      <c r="Q54" s="333"/>
      <c r="R54" s="333"/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  <c r="AK54" s="333"/>
      <c r="AL54" s="333"/>
    </row>
    <row r="55" spans="1:38" customFormat="1" x14ac:dyDescent="0.15">
      <c r="A55" s="333"/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M55" s="333"/>
      <c r="N55" s="333"/>
      <c r="O55" s="333"/>
      <c r="P55" s="333"/>
      <c r="Q55" s="333"/>
      <c r="R55" s="333"/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</row>
    <row r="56" spans="1:38" customFormat="1" x14ac:dyDescent="0.15">
      <c r="A56" s="333"/>
      <c r="B56" s="333"/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  <c r="R56" s="333"/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</row>
    <row r="57" spans="1:38" customFormat="1" x14ac:dyDescent="0.15">
      <c r="A57" s="333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</row>
    <row r="58" spans="1:38" customFormat="1" x14ac:dyDescent="0.15">
      <c r="A58" s="333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</row>
    <row r="59" spans="1:38" customFormat="1" x14ac:dyDescent="0.15">
      <c r="A59" s="333"/>
      <c r="B59" s="333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M59" s="333"/>
      <c r="N59" s="333"/>
      <c r="O59" s="333"/>
      <c r="P59" s="333"/>
      <c r="Q59" s="333"/>
      <c r="R59" s="333"/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</row>
    <row r="60" spans="1:38" customFormat="1" x14ac:dyDescent="0.15">
      <c r="A60" s="333"/>
      <c r="B60" s="333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3"/>
      <c r="P60" s="333"/>
      <c r="Q60" s="333"/>
      <c r="R60" s="333"/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</row>
    <row r="61" spans="1:38" customFormat="1" x14ac:dyDescent="0.15">
      <c r="A61" s="333"/>
      <c r="B61" s="333"/>
      <c r="C61" s="333"/>
      <c r="D61" s="333"/>
      <c r="E61" s="333"/>
      <c r="F61" s="333"/>
      <c r="G61" s="333"/>
      <c r="H61" s="333"/>
      <c r="I61" s="333"/>
      <c r="J61" s="333"/>
      <c r="K61" s="333"/>
      <c r="L61" s="333"/>
      <c r="M61" s="333"/>
      <c r="N61" s="333"/>
      <c r="O61" s="333"/>
      <c r="P61" s="333"/>
      <c r="Q61" s="333"/>
      <c r="R61" s="333"/>
      <c r="S61" s="333"/>
      <c r="T61" s="333"/>
      <c r="U61" s="333"/>
      <c r="V61" s="333"/>
      <c r="W61" s="333"/>
      <c r="X61" s="333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333"/>
      <c r="AJ61" s="333"/>
      <c r="AK61" s="333"/>
      <c r="AL61" s="333"/>
    </row>
    <row r="62" spans="1:38" customFormat="1" x14ac:dyDescent="0.15">
      <c r="A62" s="333"/>
      <c r="B62" s="333"/>
      <c r="C62" s="333"/>
      <c r="D62" s="333"/>
      <c r="E62" s="333"/>
      <c r="F62" s="333"/>
      <c r="G62" s="333"/>
      <c r="H62" s="333"/>
      <c r="I62" s="333"/>
      <c r="J62" s="333"/>
      <c r="K62" s="333"/>
      <c r="L62" s="333"/>
      <c r="M62" s="333"/>
      <c r="N62" s="333"/>
      <c r="O62" s="333"/>
      <c r="P62" s="333"/>
      <c r="Q62" s="333"/>
      <c r="R62" s="333"/>
      <c r="S62" s="333"/>
      <c r="T62" s="333"/>
      <c r="U62" s="333"/>
      <c r="V62" s="333"/>
      <c r="W62" s="333"/>
      <c r="X62" s="333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333"/>
      <c r="AJ62" s="333"/>
      <c r="AK62" s="333"/>
      <c r="AL62" s="333"/>
    </row>
    <row r="63" spans="1:38" customFormat="1" x14ac:dyDescent="0.15">
      <c r="A63" s="333"/>
      <c r="B63" s="333"/>
      <c r="C63" s="333"/>
      <c r="D63" s="333"/>
      <c r="E63" s="333"/>
      <c r="F63" s="333"/>
      <c r="G63" s="333"/>
      <c r="H63" s="333"/>
      <c r="I63" s="333"/>
      <c r="J63" s="333"/>
      <c r="K63" s="333"/>
      <c r="L63" s="333"/>
      <c r="M63" s="333"/>
      <c r="N63" s="333"/>
      <c r="O63" s="333"/>
      <c r="P63" s="333"/>
      <c r="Q63" s="333"/>
      <c r="R63" s="333"/>
      <c r="S63" s="333"/>
      <c r="T63" s="333"/>
      <c r="U63" s="333"/>
      <c r="V63" s="333"/>
      <c r="W63" s="333"/>
      <c r="X63" s="333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333"/>
      <c r="AJ63" s="333"/>
      <c r="AK63" s="333"/>
      <c r="AL63" s="333"/>
    </row>
    <row r="64" spans="1:38" customFormat="1" x14ac:dyDescent="0.15">
      <c r="A64" s="333"/>
      <c r="B64" s="333"/>
      <c r="C64" s="333"/>
      <c r="D64" s="333"/>
      <c r="E64" s="333"/>
      <c r="F64" s="333"/>
      <c r="G64" s="333"/>
      <c r="H64" s="333"/>
      <c r="I64" s="333"/>
      <c r="J64" s="333"/>
      <c r="K64" s="333"/>
      <c r="L64" s="333"/>
      <c r="M64" s="333"/>
      <c r="N64" s="333"/>
      <c r="O64" s="333"/>
      <c r="P64" s="333"/>
      <c r="Q64" s="333"/>
      <c r="R64" s="333"/>
      <c r="S64" s="333"/>
      <c r="T64" s="333"/>
      <c r="U64" s="333"/>
      <c r="V64" s="333"/>
      <c r="W64" s="333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  <c r="AJ64" s="333"/>
      <c r="AK64" s="333"/>
      <c r="AL64" s="333"/>
    </row>
    <row r="65" spans="1:38" customFormat="1" x14ac:dyDescent="0.15">
      <c r="A65" s="333"/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M65" s="333"/>
      <c r="N65" s="333"/>
      <c r="O65" s="333"/>
      <c r="P65" s="333"/>
      <c r="Q65" s="333"/>
      <c r="R65" s="333"/>
      <c r="S65" s="333"/>
      <c r="T65" s="333"/>
      <c r="U65" s="333"/>
      <c r="V65" s="333"/>
      <c r="W65" s="333"/>
      <c r="X65" s="333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  <c r="AJ65" s="333"/>
      <c r="AK65" s="333"/>
      <c r="AL65" s="333"/>
    </row>
    <row r="66" spans="1:38" customFormat="1" x14ac:dyDescent="0.15">
      <c r="A66" s="333"/>
      <c r="B66" s="333"/>
      <c r="C66" s="333"/>
      <c r="D66" s="333"/>
      <c r="E66" s="333"/>
      <c r="F66" s="333"/>
      <c r="G66" s="333"/>
      <c r="H66" s="333"/>
      <c r="I66" s="333"/>
      <c r="J66" s="333"/>
      <c r="K66" s="333"/>
      <c r="L66" s="333"/>
      <c r="M66" s="333"/>
      <c r="N66" s="333"/>
      <c r="O66" s="333"/>
      <c r="P66" s="333"/>
      <c r="Q66" s="333"/>
      <c r="R66" s="333"/>
      <c r="S66" s="333"/>
      <c r="T66" s="333"/>
      <c r="U66" s="333"/>
      <c r="V66" s="333"/>
      <c r="W66" s="333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  <c r="AJ66" s="333"/>
      <c r="AK66" s="333"/>
      <c r="AL66" s="333"/>
    </row>
    <row r="67" spans="1:38" customFormat="1" x14ac:dyDescent="0.15">
      <c r="A67" s="333"/>
      <c r="B67" s="333"/>
      <c r="C67" s="333"/>
      <c r="D67" s="333"/>
      <c r="E67" s="333"/>
      <c r="F67" s="333"/>
      <c r="G67" s="333"/>
      <c r="H67" s="333"/>
      <c r="I67" s="333"/>
      <c r="J67" s="333"/>
      <c r="K67" s="333"/>
      <c r="L67" s="333"/>
      <c r="M67" s="333"/>
      <c r="N67" s="333"/>
      <c r="O67" s="333"/>
      <c r="P67" s="333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</row>
    <row r="68" spans="1:38" customFormat="1" x14ac:dyDescent="0.15">
      <c r="A68" s="333"/>
      <c r="B68" s="333"/>
      <c r="C68" s="333"/>
      <c r="D68" s="333"/>
      <c r="E68" s="333"/>
      <c r="F68" s="333"/>
      <c r="G68" s="333"/>
      <c r="H68" s="333"/>
      <c r="I68" s="333"/>
      <c r="J68" s="333"/>
      <c r="K68" s="333"/>
      <c r="L68" s="333"/>
      <c r="M68" s="333"/>
      <c r="N68" s="333"/>
      <c r="O68" s="333"/>
      <c r="P68" s="333"/>
      <c r="Q68" s="333"/>
      <c r="R68" s="333"/>
      <c r="S68" s="333"/>
      <c r="T68" s="333"/>
      <c r="U68" s="333"/>
      <c r="V68" s="333"/>
      <c r="W68" s="333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  <c r="AJ68" s="333"/>
      <c r="AK68" s="333"/>
      <c r="AL68" s="333"/>
    </row>
    <row r="69" spans="1:38" customFormat="1" x14ac:dyDescent="0.15">
      <c r="A69" s="333"/>
      <c r="B69" s="333"/>
      <c r="C69" s="333"/>
      <c r="D69" s="333"/>
      <c r="E69" s="333"/>
      <c r="F69" s="333"/>
      <c r="G69" s="333"/>
      <c r="H69" s="333"/>
      <c r="I69" s="333"/>
      <c r="J69" s="333"/>
      <c r="K69" s="333"/>
      <c r="L69" s="333"/>
      <c r="M69" s="333"/>
      <c r="N69" s="333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  <c r="AJ69" s="333"/>
      <c r="AK69" s="333"/>
      <c r="AL69" s="333"/>
    </row>
    <row r="70" spans="1:38" customFormat="1" x14ac:dyDescent="0.15">
      <c r="A70" s="333"/>
      <c r="B70" s="333"/>
      <c r="C70" s="333"/>
      <c r="D70" s="333"/>
      <c r="E70" s="333"/>
      <c r="F70" s="333"/>
      <c r="G70" s="333"/>
      <c r="H70" s="333"/>
      <c r="I70" s="333"/>
      <c r="J70" s="333"/>
      <c r="K70" s="333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33"/>
      <c r="X70" s="333"/>
      <c r="Y70" s="333"/>
      <c r="Z70" s="333"/>
      <c r="AA70" s="333"/>
      <c r="AB70" s="333"/>
      <c r="AC70" s="333"/>
      <c r="AD70" s="333"/>
      <c r="AE70" s="333"/>
      <c r="AF70" s="333"/>
      <c r="AG70" s="333"/>
      <c r="AH70" s="333"/>
      <c r="AI70" s="333"/>
      <c r="AJ70" s="333"/>
      <c r="AK70" s="333"/>
      <c r="AL70" s="333"/>
    </row>
    <row r="71" spans="1:38" customFormat="1" x14ac:dyDescent="0.15">
      <c r="A71" s="333"/>
      <c r="B71" s="333"/>
      <c r="C71" s="333"/>
      <c r="D71" s="333"/>
      <c r="E71" s="333"/>
      <c r="F71" s="333"/>
      <c r="G71" s="333"/>
      <c r="H71" s="333"/>
      <c r="I71" s="333"/>
      <c r="J71" s="333"/>
      <c r="K71" s="333"/>
      <c r="L71" s="333"/>
      <c r="M71" s="333"/>
      <c r="N71" s="333"/>
      <c r="O71" s="333"/>
      <c r="P71" s="333"/>
      <c r="Q71" s="333"/>
      <c r="R71" s="333"/>
      <c r="S71" s="333"/>
      <c r="T71" s="333"/>
      <c r="U71" s="333"/>
      <c r="V71" s="333"/>
      <c r="W71" s="333"/>
      <c r="X71" s="333"/>
      <c r="Y71" s="333"/>
      <c r="Z71" s="333"/>
      <c r="AA71" s="333"/>
      <c r="AB71" s="333"/>
      <c r="AC71" s="333"/>
      <c r="AD71" s="333"/>
      <c r="AE71" s="333"/>
      <c r="AF71" s="333"/>
      <c r="AG71" s="333"/>
      <c r="AH71" s="333"/>
      <c r="AI71" s="333"/>
      <c r="AJ71" s="333"/>
      <c r="AK71" s="333"/>
      <c r="AL71" s="333"/>
    </row>
    <row r="72" spans="1:38" customFormat="1" x14ac:dyDescent="0.15">
      <c r="A72" s="333"/>
      <c r="B72" s="333"/>
      <c r="C72" s="333"/>
      <c r="D72" s="333"/>
      <c r="E72" s="333"/>
      <c r="F72" s="333"/>
      <c r="G72" s="333"/>
      <c r="H72" s="333"/>
      <c r="I72" s="333"/>
      <c r="J72" s="333"/>
      <c r="K72" s="333"/>
      <c r="L72" s="333"/>
      <c r="M72" s="333"/>
      <c r="N72" s="333"/>
      <c r="O72" s="333"/>
      <c r="P72" s="333"/>
      <c r="Q72" s="333"/>
      <c r="R72" s="333"/>
      <c r="S72" s="333"/>
      <c r="T72" s="333"/>
      <c r="U72" s="333"/>
      <c r="V72" s="333"/>
      <c r="W72" s="333"/>
      <c r="X72" s="333"/>
      <c r="Y72" s="333"/>
      <c r="Z72" s="333"/>
      <c r="AA72" s="333"/>
      <c r="AB72" s="333"/>
      <c r="AC72" s="333"/>
      <c r="AD72" s="333"/>
      <c r="AE72" s="333"/>
      <c r="AF72" s="333"/>
      <c r="AG72" s="333"/>
      <c r="AH72" s="333"/>
      <c r="AI72" s="333"/>
      <c r="AJ72" s="333"/>
      <c r="AK72" s="333"/>
      <c r="AL72" s="333"/>
    </row>
    <row r="73" spans="1:38" customFormat="1" x14ac:dyDescent="0.15">
      <c r="A73" s="333"/>
      <c r="B73" s="333"/>
      <c r="C73" s="333"/>
      <c r="D73" s="333"/>
      <c r="E73" s="333"/>
      <c r="F73" s="333"/>
      <c r="G73" s="333"/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  <c r="U73" s="333"/>
      <c r="V73" s="333"/>
      <c r="W73" s="333"/>
      <c r="X73" s="333"/>
      <c r="Y73" s="333"/>
      <c r="Z73" s="333"/>
      <c r="AA73" s="333"/>
      <c r="AB73" s="333"/>
      <c r="AC73" s="333"/>
      <c r="AD73" s="333"/>
      <c r="AE73" s="333"/>
      <c r="AF73" s="333"/>
      <c r="AG73" s="333"/>
      <c r="AH73" s="333"/>
      <c r="AI73" s="333"/>
      <c r="AJ73" s="333"/>
      <c r="AK73" s="333"/>
      <c r="AL73" s="333"/>
    </row>
    <row r="74" spans="1:38" customFormat="1" x14ac:dyDescent="0.15">
      <c r="A74" s="333"/>
      <c r="B74" s="333"/>
      <c r="C74" s="333"/>
      <c r="D74" s="333"/>
      <c r="E74" s="333"/>
      <c r="F74" s="333"/>
      <c r="G74" s="333"/>
      <c r="H74" s="333"/>
      <c r="I74" s="333"/>
      <c r="J74" s="333"/>
      <c r="K74" s="333"/>
      <c r="L74" s="333"/>
      <c r="M74" s="333"/>
      <c r="N74" s="333"/>
      <c r="O74" s="333"/>
      <c r="P74" s="333"/>
      <c r="Q74" s="333"/>
      <c r="R74" s="333"/>
      <c r="S74" s="333"/>
      <c r="T74" s="333"/>
      <c r="U74" s="333"/>
      <c r="V74" s="333"/>
      <c r="W74" s="333"/>
      <c r="X74" s="333"/>
      <c r="Y74" s="333"/>
      <c r="Z74" s="333"/>
      <c r="AA74" s="333"/>
      <c r="AB74" s="333"/>
      <c r="AC74" s="333"/>
      <c r="AD74" s="333"/>
      <c r="AE74" s="333"/>
      <c r="AF74" s="333"/>
      <c r="AG74" s="333"/>
      <c r="AH74" s="333"/>
      <c r="AI74" s="333"/>
      <c r="AJ74" s="333"/>
      <c r="AK74" s="333"/>
      <c r="AL74" s="333"/>
    </row>
    <row r="75" spans="1:38" customFormat="1" x14ac:dyDescent="0.15">
      <c r="A75" s="333"/>
      <c r="B75" s="333"/>
      <c r="C75" s="333"/>
      <c r="D75" s="333"/>
      <c r="E75" s="333"/>
      <c r="F75" s="333"/>
      <c r="G75" s="333"/>
      <c r="H75" s="333"/>
      <c r="I75" s="333"/>
      <c r="J75" s="333"/>
      <c r="K75" s="333"/>
      <c r="L75" s="333"/>
      <c r="M75" s="333"/>
      <c r="N75" s="333"/>
      <c r="O75" s="333"/>
      <c r="P75" s="333"/>
      <c r="Q75" s="333"/>
      <c r="R75" s="333"/>
      <c r="S75" s="333"/>
      <c r="T75" s="333"/>
      <c r="U75" s="333"/>
      <c r="V75" s="333"/>
      <c r="W75" s="333"/>
      <c r="X75" s="333"/>
      <c r="Y75" s="333"/>
      <c r="Z75" s="333"/>
      <c r="AA75" s="333"/>
      <c r="AB75" s="333"/>
      <c r="AC75" s="333"/>
      <c r="AD75" s="333"/>
      <c r="AE75" s="333"/>
      <c r="AF75" s="333"/>
      <c r="AG75" s="333"/>
      <c r="AH75" s="333"/>
      <c r="AI75" s="333"/>
      <c r="AJ75" s="333"/>
      <c r="AK75" s="333"/>
      <c r="AL75" s="333"/>
    </row>
    <row r="76" spans="1:38" customFormat="1" x14ac:dyDescent="0.15">
      <c r="A76" s="333"/>
      <c r="B76" s="333"/>
      <c r="C76" s="333"/>
      <c r="D76" s="333"/>
      <c r="E76" s="333"/>
      <c r="F76" s="333"/>
      <c r="G76" s="333"/>
      <c r="H76" s="333"/>
      <c r="I76" s="333"/>
      <c r="J76" s="333"/>
      <c r="K76" s="333"/>
      <c r="L76" s="333"/>
      <c r="M76" s="333"/>
      <c r="N76" s="333"/>
      <c r="O76" s="333"/>
      <c r="P76" s="333"/>
      <c r="Q76" s="333"/>
      <c r="R76" s="333"/>
      <c r="S76" s="333"/>
      <c r="T76" s="333"/>
      <c r="U76" s="333"/>
      <c r="V76" s="333"/>
      <c r="W76" s="333"/>
      <c r="X76" s="333"/>
      <c r="Y76" s="333"/>
      <c r="Z76" s="333"/>
      <c r="AA76" s="333"/>
      <c r="AB76" s="333"/>
      <c r="AC76" s="333"/>
      <c r="AD76" s="333"/>
      <c r="AE76" s="333"/>
      <c r="AF76" s="333"/>
      <c r="AG76" s="333"/>
      <c r="AH76" s="333"/>
      <c r="AI76" s="333"/>
      <c r="AJ76" s="333"/>
      <c r="AK76" s="333"/>
      <c r="AL76" s="333"/>
    </row>
    <row r="77" spans="1:38" customFormat="1" x14ac:dyDescent="0.15">
      <c r="A77" s="333"/>
      <c r="B77" s="333"/>
      <c r="C77" s="333"/>
      <c r="D77" s="333"/>
      <c r="E77" s="333"/>
      <c r="F77" s="333"/>
      <c r="G77" s="333"/>
      <c r="H77" s="333"/>
      <c r="I77" s="333"/>
      <c r="J77" s="333"/>
      <c r="K77" s="333"/>
      <c r="L77" s="333"/>
      <c r="M77" s="333"/>
      <c r="N77" s="333"/>
      <c r="O77" s="333"/>
      <c r="P77" s="333"/>
      <c r="Q77" s="333"/>
      <c r="R77" s="333"/>
      <c r="S77" s="333"/>
      <c r="T77" s="333"/>
      <c r="U77" s="333"/>
      <c r="V77" s="333"/>
      <c r="W77" s="333"/>
      <c r="X77" s="333"/>
      <c r="Y77" s="333"/>
      <c r="Z77" s="333"/>
      <c r="AA77" s="333"/>
      <c r="AB77" s="333"/>
      <c r="AC77" s="333"/>
      <c r="AD77" s="333"/>
      <c r="AE77" s="333"/>
      <c r="AF77" s="333"/>
      <c r="AG77" s="333"/>
      <c r="AH77" s="333"/>
      <c r="AI77" s="333"/>
      <c r="AJ77" s="333"/>
      <c r="AK77" s="333"/>
      <c r="AL77" s="333"/>
    </row>
    <row r="78" spans="1:38" customFormat="1" x14ac:dyDescent="0.15">
      <c r="A78" s="333"/>
      <c r="B78" s="333"/>
      <c r="C78" s="333"/>
      <c r="D78" s="333"/>
      <c r="E78" s="333"/>
      <c r="F78" s="333"/>
      <c r="G78" s="333"/>
      <c r="H78" s="333"/>
      <c r="I78" s="333"/>
      <c r="J78" s="333"/>
      <c r="K78" s="333"/>
      <c r="L78" s="333"/>
      <c r="M78" s="333"/>
      <c r="N78" s="333"/>
      <c r="O78" s="333"/>
      <c r="P78" s="333"/>
      <c r="Q78" s="333"/>
      <c r="R78" s="333"/>
      <c r="S78" s="333"/>
      <c r="T78" s="333"/>
      <c r="U78" s="333"/>
      <c r="V78" s="333"/>
      <c r="W78" s="333"/>
      <c r="X78" s="333"/>
      <c r="Y78" s="333"/>
      <c r="Z78" s="333"/>
      <c r="AA78" s="333"/>
      <c r="AB78" s="333"/>
      <c r="AC78" s="333"/>
      <c r="AD78" s="333"/>
      <c r="AE78" s="333"/>
      <c r="AF78" s="333"/>
      <c r="AG78" s="333"/>
      <c r="AH78" s="333"/>
      <c r="AI78" s="333"/>
      <c r="AJ78" s="333"/>
      <c r="AK78" s="333"/>
      <c r="AL78" s="333"/>
    </row>
    <row r="79" spans="1:38" customFormat="1" x14ac:dyDescent="0.15">
      <c r="A79" s="333"/>
      <c r="B79" s="333"/>
      <c r="C79" s="333"/>
      <c r="D79" s="333"/>
      <c r="E79" s="333"/>
      <c r="F79" s="333"/>
      <c r="G79" s="333"/>
      <c r="H79" s="333"/>
      <c r="I79" s="333"/>
      <c r="J79" s="333"/>
      <c r="K79" s="333"/>
      <c r="L79" s="333"/>
      <c r="M79" s="333"/>
      <c r="N79" s="333"/>
      <c r="O79" s="333"/>
      <c r="P79" s="333"/>
      <c r="Q79" s="333"/>
      <c r="R79" s="333"/>
      <c r="S79" s="333"/>
      <c r="T79" s="333"/>
      <c r="U79" s="333"/>
      <c r="V79" s="333"/>
      <c r="W79" s="333"/>
      <c r="X79" s="333"/>
      <c r="Y79" s="333"/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  <c r="AJ79" s="333"/>
      <c r="AK79" s="333"/>
      <c r="AL79" s="333"/>
    </row>
    <row r="80" spans="1:38" customFormat="1" x14ac:dyDescent="0.15">
      <c r="A80" s="333"/>
      <c r="B80" s="333"/>
      <c r="C80" s="333"/>
      <c r="D80" s="333"/>
      <c r="E80" s="333"/>
      <c r="F80" s="333"/>
      <c r="G80" s="333"/>
      <c r="H80" s="333"/>
      <c r="I80" s="333"/>
      <c r="J80" s="333"/>
      <c r="K80" s="333"/>
      <c r="L80" s="333"/>
      <c r="M80" s="333"/>
      <c r="N80" s="333"/>
      <c r="O80" s="333"/>
      <c r="P80" s="333"/>
      <c r="Q80" s="333"/>
      <c r="R80" s="333"/>
      <c r="S80" s="333"/>
      <c r="T80" s="333"/>
      <c r="U80" s="333"/>
      <c r="V80" s="333"/>
      <c r="W80" s="333"/>
      <c r="X80" s="333"/>
      <c r="Y80" s="333"/>
      <c r="Z80" s="333"/>
      <c r="AA80" s="333"/>
      <c r="AB80" s="333"/>
      <c r="AC80" s="333"/>
      <c r="AD80" s="333"/>
      <c r="AE80" s="333"/>
      <c r="AF80" s="333"/>
      <c r="AG80" s="333"/>
      <c r="AH80" s="333"/>
      <c r="AI80" s="333"/>
      <c r="AJ80" s="333"/>
      <c r="AK80" s="333"/>
      <c r="AL80" s="333"/>
    </row>
    <row r="81" spans="1:38" customFormat="1" x14ac:dyDescent="0.15">
      <c r="A81" s="333"/>
      <c r="B81" s="333"/>
      <c r="C81" s="333"/>
      <c r="D81" s="333"/>
      <c r="E81" s="333"/>
      <c r="F81" s="333"/>
      <c r="G81" s="333"/>
      <c r="H81" s="333"/>
      <c r="I81" s="333"/>
      <c r="J81" s="333"/>
      <c r="K81" s="333"/>
      <c r="L81" s="333"/>
      <c r="M81" s="333"/>
      <c r="N81" s="333"/>
      <c r="O81" s="333"/>
      <c r="P81" s="333"/>
      <c r="Q81" s="333"/>
      <c r="R81" s="333"/>
      <c r="S81" s="333"/>
      <c r="T81" s="333"/>
      <c r="U81" s="333"/>
      <c r="V81" s="333"/>
      <c r="W81" s="333"/>
      <c r="X81" s="333"/>
      <c r="Y81" s="333"/>
      <c r="Z81" s="333"/>
      <c r="AA81" s="333"/>
      <c r="AB81" s="333"/>
      <c r="AC81" s="333"/>
      <c r="AD81" s="333"/>
      <c r="AE81" s="333"/>
      <c r="AF81" s="333"/>
      <c r="AG81" s="333"/>
      <c r="AH81" s="333"/>
      <c r="AI81" s="333"/>
      <c r="AJ81" s="333"/>
      <c r="AK81" s="333"/>
      <c r="AL81" s="333"/>
    </row>
    <row r="82" spans="1:38" customFormat="1" x14ac:dyDescent="0.15">
      <c r="A82" s="333"/>
      <c r="B82" s="333"/>
      <c r="C82" s="333"/>
      <c r="D82" s="333"/>
      <c r="E82" s="333"/>
      <c r="F82" s="333"/>
      <c r="G82" s="333"/>
      <c r="H82" s="333"/>
      <c r="I82" s="333"/>
      <c r="J82" s="333"/>
      <c r="K82" s="333"/>
      <c r="L82" s="333"/>
      <c r="M82" s="333"/>
      <c r="N82" s="333"/>
      <c r="O82" s="333"/>
      <c r="P82" s="333"/>
      <c r="Q82" s="333"/>
      <c r="R82" s="333"/>
      <c r="S82" s="333"/>
      <c r="T82" s="333"/>
      <c r="U82" s="333"/>
      <c r="V82" s="333"/>
      <c r="W82" s="333"/>
      <c r="X82" s="333"/>
      <c r="Y82" s="333"/>
      <c r="Z82" s="333"/>
      <c r="AA82" s="333"/>
      <c r="AB82" s="333"/>
      <c r="AC82" s="333"/>
      <c r="AD82" s="333"/>
      <c r="AE82" s="333"/>
      <c r="AF82" s="333"/>
      <c r="AG82" s="333"/>
      <c r="AH82" s="333"/>
      <c r="AI82" s="333"/>
      <c r="AJ82" s="333"/>
      <c r="AK82" s="333"/>
      <c r="AL82" s="333"/>
    </row>
    <row r="83" spans="1:38" customFormat="1" x14ac:dyDescent="0.15">
      <c r="A83" s="333"/>
      <c r="B83" s="333"/>
      <c r="C83" s="333"/>
      <c r="D83" s="333"/>
      <c r="E83" s="333"/>
      <c r="F83" s="333"/>
      <c r="G83" s="333"/>
      <c r="H83" s="333"/>
      <c r="I83" s="333"/>
      <c r="J83" s="333"/>
      <c r="K83" s="333"/>
      <c r="L83" s="333"/>
      <c r="M83" s="333"/>
      <c r="N83" s="333"/>
      <c r="O83" s="333"/>
      <c r="P83" s="333"/>
      <c r="Q83" s="333"/>
      <c r="R83" s="333"/>
      <c r="S83" s="333"/>
      <c r="T83" s="333"/>
      <c r="U83" s="333"/>
      <c r="V83" s="333"/>
      <c r="W83" s="333"/>
      <c r="X83" s="333"/>
      <c r="Y83" s="333"/>
      <c r="Z83" s="333"/>
      <c r="AA83" s="333"/>
      <c r="AB83" s="333"/>
      <c r="AC83" s="333"/>
      <c r="AD83" s="333"/>
      <c r="AE83" s="333"/>
      <c r="AF83" s="333"/>
      <c r="AG83" s="333"/>
      <c r="AH83" s="333"/>
      <c r="AI83" s="333"/>
      <c r="AJ83" s="333"/>
      <c r="AK83" s="333"/>
      <c r="AL83" s="333"/>
    </row>
    <row r="84" spans="1:38" customFormat="1" x14ac:dyDescent="0.15">
      <c r="A84" s="333"/>
      <c r="B84" s="333"/>
      <c r="C84" s="333"/>
      <c r="D84" s="333"/>
      <c r="E84" s="333"/>
      <c r="F84" s="333"/>
      <c r="G84" s="333"/>
      <c r="H84" s="333"/>
      <c r="I84" s="333"/>
      <c r="J84" s="333"/>
      <c r="K84" s="333"/>
      <c r="L84" s="333"/>
      <c r="M84" s="333"/>
      <c r="N84" s="333"/>
      <c r="O84" s="333"/>
      <c r="P84" s="333"/>
      <c r="Q84" s="333"/>
      <c r="R84" s="333"/>
      <c r="S84" s="333"/>
      <c r="T84" s="333"/>
      <c r="U84" s="333"/>
      <c r="V84" s="333"/>
      <c r="W84" s="333"/>
      <c r="X84" s="333"/>
      <c r="Y84" s="333"/>
      <c r="Z84" s="333"/>
      <c r="AA84" s="333"/>
      <c r="AB84" s="333"/>
      <c r="AC84" s="333"/>
      <c r="AD84" s="333"/>
      <c r="AE84" s="333"/>
      <c r="AF84" s="333"/>
      <c r="AG84" s="333"/>
      <c r="AH84" s="333"/>
      <c r="AI84" s="333"/>
      <c r="AJ84" s="333"/>
      <c r="AK84" s="333"/>
      <c r="AL84" s="333"/>
    </row>
    <row r="85" spans="1:38" customFormat="1" x14ac:dyDescent="0.15"/>
    <row r="86" spans="1:38" customFormat="1" x14ac:dyDescent="0.15"/>
    <row r="87" spans="1:38" customFormat="1" x14ac:dyDescent="0.15"/>
    <row r="88" spans="1:38" customFormat="1" x14ac:dyDescent="0.15"/>
    <row r="89" spans="1:38" customFormat="1" x14ac:dyDescent="0.15"/>
    <row r="90" spans="1:38" customFormat="1" x14ac:dyDescent="0.15"/>
    <row r="91" spans="1:38" customFormat="1" x14ac:dyDescent="0.15"/>
    <row r="92" spans="1:38" customFormat="1" x14ac:dyDescent="0.15"/>
    <row r="93" spans="1:38" customFormat="1" x14ac:dyDescent="0.15"/>
    <row r="94" spans="1:38" customFormat="1" x14ac:dyDescent="0.15"/>
    <row r="95" spans="1:38" customFormat="1" x14ac:dyDescent="0.15"/>
    <row r="96" spans="1:38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</sheetData>
  <sheetProtection algorithmName="SHA-512" hashValue="Yz+RyHhqNTm+aQ8mA4WmcfA02qD2P95kclXZh6Uv4s39Z6hpI3bXI1d7bUF4URIS7VfXqstyaUotQPFJoZ8IQA==" saltValue="YK9lCWBETrlEJo6mC5wU5g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BE11"/>
  <sheetViews>
    <sheetView workbookViewId="0">
      <selection activeCell="A2" sqref="A2:XFD7"/>
    </sheetView>
  </sheetViews>
  <sheetFormatPr baseColWidth="10" defaultRowHeight="13" x14ac:dyDescent="0.15"/>
  <cols>
    <col min="4" max="4" width="15.5" customWidth="1"/>
  </cols>
  <sheetData>
    <row r="1" spans="1:57" ht="70" x14ac:dyDescent="0.15">
      <c r="A1" s="77" t="s">
        <v>138</v>
      </c>
      <c r="B1" s="77" t="s">
        <v>139</v>
      </c>
      <c r="C1" s="78" t="s">
        <v>140</v>
      </c>
      <c r="D1" s="79" t="s">
        <v>141</v>
      </c>
      <c r="E1" s="77" t="s">
        <v>70</v>
      </c>
      <c r="F1" s="78" t="s">
        <v>71</v>
      </c>
      <c r="G1" s="79" t="s">
        <v>143</v>
      </c>
      <c r="H1" s="80" t="s">
        <v>144</v>
      </c>
      <c r="I1" s="81" t="s">
        <v>145</v>
      </c>
      <c r="J1" s="81" t="s">
        <v>146</v>
      </c>
      <c r="K1" s="81" t="s">
        <v>147</v>
      </c>
      <c r="L1" s="81" t="s">
        <v>148</v>
      </c>
      <c r="M1" s="81" t="s">
        <v>149</v>
      </c>
      <c r="N1" s="82" t="s">
        <v>150</v>
      </c>
      <c r="O1" s="83" t="s">
        <v>151</v>
      </c>
      <c r="P1" s="83" t="s">
        <v>152</v>
      </c>
      <c r="Q1" s="83" t="s">
        <v>47</v>
      </c>
      <c r="R1" s="83" t="s">
        <v>48</v>
      </c>
      <c r="S1" s="83" t="s">
        <v>49</v>
      </c>
      <c r="T1" s="84" t="s">
        <v>50</v>
      </c>
      <c r="U1" s="85" t="s">
        <v>51</v>
      </c>
      <c r="V1" s="85" t="s">
        <v>77</v>
      </c>
      <c r="W1" s="85" t="s">
        <v>78</v>
      </c>
      <c r="X1" s="85" t="s">
        <v>52</v>
      </c>
      <c r="Y1" s="85" t="s">
        <v>53</v>
      </c>
      <c r="Z1" s="86" t="s">
        <v>54</v>
      </c>
      <c r="AA1" s="87" t="s">
        <v>55</v>
      </c>
      <c r="AB1" s="87" t="s">
        <v>56</v>
      </c>
      <c r="AC1" s="87" t="s">
        <v>57</v>
      </c>
      <c r="AD1" s="87" t="s">
        <v>58</v>
      </c>
      <c r="AE1" s="87" t="s">
        <v>125</v>
      </c>
      <c r="AF1" s="88" t="s">
        <v>126</v>
      </c>
      <c r="AG1" s="89" t="s">
        <v>127</v>
      </c>
      <c r="AH1" s="89" t="s">
        <v>128</v>
      </c>
      <c r="AI1" s="89" t="s">
        <v>129</v>
      </c>
      <c r="AJ1" s="90" t="s">
        <v>130</v>
      </c>
      <c r="AK1" s="91" t="s">
        <v>13</v>
      </c>
      <c r="AL1" s="92" t="s">
        <v>14</v>
      </c>
      <c r="AM1" s="91" t="s">
        <v>15</v>
      </c>
      <c r="AN1" s="83" t="s">
        <v>16</v>
      </c>
      <c r="AO1" s="93" t="s">
        <v>134</v>
      </c>
      <c r="AP1" s="83" t="s">
        <v>135</v>
      </c>
      <c r="AQ1" s="93" t="s">
        <v>105</v>
      </c>
      <c r="AR1" s="84" t="s">
        <v>106</v>
      </c>
      <c r="AS1" s="93" t="s">
        <v>107</v>
      </c>
      <c r="AT1" s="84" t="s">
        <v>108</v>
      </c>
      <c r="AU1" s="77" t="s">
        <v>110</v>
      </c>
      <c r="AV1" s="94" t="s">
        <v>111</v>
      </c>
      <c r="AW1" s="95" t="s">
        <v>112</v>
      </c>
      <c r="AX1" s="94" t="s">
        <v>113</v>
      </c>
      <c r="AY1" s="77" t="s">
        <v>114</v>
      </c>
      <c r="AZ1" s="78" t="s">
        <v>115</v>
      </c>
      <c r="BA1" s="94" t="s">
        <v>116</v>
      </c>
      <c r="BB1" s="94" t="s">
        <v>98</v>
      </c>
      <c r="BC1" s="78" t="s">
        <v>117</v>
      </c>
      <c r="BD1" s="94" t="s">
        <v>118</v>
      </c>
      <c r="BE1" s="77" t="s">
        <v>119</v>
      </c>
    </row>
    <row r="2" spans="1:57" x14ac:dyDescent="0.15">
      <c r="A2" s="70">
        <v>416</v>
      </c>
      <c r="B2" s="126">
        <v>41466</v>
      </c>
      <c r="C2" s="71" t="s">
        <v>211</v>
      </c>
      <c r="D2" s="72" t="s">
        <v>0</v>
      </c>
      <c r="E2" s="73">
        <v>41457</v>
      </c>
      <c r="F2" s="71" t="s">
        <v>244</v>
      </c>
      <c r="G2" s="72" t="s">
        <v>1</v>
      </c>
      <c r="H2" s="72">
        <v>69</v>
      </c>
      <c r="I2" s="74"/>
      <c r="J2" s="75"/>
      <c r="K2" s="75"/>
      <c r="L2" s="72"/>
      <c r="M2" s="72"/>
      <c r="N2" s="72"/>
      <c r="O2" s="72">
        <v>3.5</v>
      </c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6" t="s">
        <v>207</v>
      </c>
      <c r="AH2" s="76"/>
      <c r="AI2" s="76"/>
      <c r="AJ2" s="76"/>
      <c r="AK2" s="76">
        <v>0</v>
      </c>
      <c r="AL2" s="76">
        <v>0</v>
      </c>
      <c r="AM2" s="76">
        <v>0</v>
      </c>
      <c r="AN2" s="76">
        <v>7</v>
      </c>
      <c r="AO2" s="76">
        <v>0</v>
      </c>
      <c r="AP2" s="76">
        <v>0</v>
      </c>
      <c r="AQ2" s="76">
        <v>0</v>
      </c>
      <c r="AR2" s="76">
        <v>0</v>
      </c>
      <c r="AS2" s="76">
        <v>0</v>
      </c>
      <c r="AT2" s="76">
        <v>2</v>
      </c>
      <c r="AU2" s="72"/>
      <c r="AV2" s="76" t="s">
        <v>207</v>
      </c>
      <c r="AW2" s="76">
        <v>12</v>
      </c>
      <c r="AX2" s="76" t="s">
        <v>207</v>
      </c>
      <c r="AY2" s="71"/>
      <c r="AZ2" s="72"/>
      <c r="BA2" s="76"/>
      <c r="BB2" s="76" t="s">
        <v>2</v>
      </c>
      <c r="BC2" s="71"/>
      <c r="BD2" t="s">
        <v>3</v>
      </c>
      <c r="BE2" t="s">
        <v>4</v>
      </c>
    </row>
    <row r="3" spans="1:57" x14ac:dyDescent="0.15">
      <c r="A3" s="70">
        <v>426</v>
      </c>
      <c r="B3" s="126">
        <v>41467</v>
      </c>
      <c r="C3" s="71" t="s">
        <v>211</v>
      </c>
      <c r="D3" s="72" t="s">
        <v>5</v>
      </c>
      <c r="E3" s="73">
        <v>41455</v>
      </c>
      <c r="F3" s="71" t="s">
        <v>6</v>
      </c>
      <c r="G3" s="72" t="s">
        <v>7</v>
      </c>
      <c r="H3" s="72">
        <v>69.599999999999994</v>
      </c>
      <c r="I3" s="74" t="s">
        <v>255</v>
      </c>
      <c r="J3" s="75">
        <v>4500</v>
      </c>
      <c r="K3" s="96">
        <v>4500</v>
      </c>
      <c r="L3" s="72"/>
      <c r="M3" s="72"/>
      <c r="N3" s="72"/>
      <c r="O3" s="72">
        <v>3.93</v>
      </c>
      <c r="P3" s="72">
        <v>2.04</v>
      </c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6" t="s">
        <v>207</v>
      </c>
      <c r="AH3" s="76"/>
      <c r="AI3" s="76"/>
      <c r="AJ3" s="76"/>
      <c r="AK3" s="76">
        <v>0</v>
      </c>
      <c r="AL3" s="76">
        <v>0</v>
      </c>
      <c r="AM3" s="76">
        <v>0</v>
      </c>
      <c r="AN3" s="76">
        <v>12</v>
      </c>
      <c r="AO3" s="76">
        <v>0</v>
      </c>
      <c r="AP3" s="76">
        <v>0</v>
      </c>
      <c r="AQ3" s="76">
        <v>0</v>
      </c>
      <c r="AR3" s="76">
        <v>0</v>
      </c>
      <c r="AS3" s="76">
        <v>0</v>
      </c>
      <c r="AT3" s="76">
        <v>0</v>
      </c>
      <c r="AU3" s="72"/>
      <c r="AV3" s="76" t="s">
        <v>207</v>
      </c>
      <c r="AW3" s="76">
        <v>24</v>
      </c>
      <c r="AX3" s="76" t="s">
        <v>207</v>
      </c>
      <c r="AY3" s="71"/>
      <c r="AZ3" s="72"/>
      <c r="BA3" s="76"/>
      <c r="BB3" s="76" t="s">
        <v>8</v>
      </c>
      <c r="BC3" s="71"/>
      <c r="BD3" t="s">
        <v>9</v>
      </c>
      <c r="BE3" t="s">
        <v>4</v>
      </c>
    </row>
    <row r="4" spans="1:57" x14ac:dyDescent="0.15">
      <c r="A4" s="70">
        <v>422</v>
      </c>
      <c r="B4" s="126">
        <v>41467</v>
      </c>
      <c r="C4" s="71" t="s">
        <v>211</v>
      </c>
      <c r="D4" s="72" t="s">
        <v>5</v>
      </c>
      <c r="E4" s="73">
        <v>41467</v>
      </c>
      <c r="F4" s="71" t="s">
        <v>10</v>
      </c>
      <c r="G4" s="72" t="s">
        <v>174</v>
      </c>
      <c r="H4" s="72">
        <v>79.2</v>
      </c>
      <c r="I4" s="74" t="s">
        <v>255</v>
      </c>
      <c r="J4" s="75">
        <v>2500</v>
      </c>
      <c r="K4" s="75">
        <v>4500</v>
      </c>
      <c r="L4" s="72"/>
      <c r="M4" s="72"/>
      <c r="N4" s="72"/>
      <c r="O4" s="72">
        <v>4.42</v>
      </c>
      <c r="P4" s="72">
        <v>3.82</v>
      </c>
      <c r="Q4" s="72">
        <v>2.27</v>
      </c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6" t="s">
        <v>207</v>
      </c>
      <c r="AH4" s="76"/>
      <c r="AI4" s="76"/>
      <c r="AJ4" s="76"/>
      <c r="AK4" s="76">
        <v>0</v>
      </c>
      <c r="AL4" s="76">
        <v>0</v>
      </c>
      <c r="AM4" s="76">
        <v>0</v>
      </c>
      <c r="AN4" s="76">
        <v>15</v>
      </c>
      <c r="AO4" s="76">
        <v>0</v>
      </c>
      <c r="AP4" s="76">
        <v>0</v>
      </c>
      <c r="AQ4" s="76">
        <v>0</v>
      </c>
      <c r="AR4" s="76">
        <v>0</v>
      </c>
      <c r="AS4" s="76">
        <v>0</v>
      </c>
      <c r="AT4" s="76">
        <v>0</v>
      </c>
      <c r="AU4" s="72"/>
      <c r="AV4" s="76" t="s">
        <v>207</v>
      </c>
      <c r="AW4" s="76">
        <v>12</v>
      </c>
      <c r="AX4" s="76" t="s">
        <v>207</v>
      </c>
      <c r="AY4" s="71"/>
      <c r="AZ4" s="72"/>
      <c r="BA4" s="76"/>
      <c r="BB4" s="76" t="s">
        <v>11</v>
      </c>
      <c r="BC4" s="71"/>
      <c r="BD4" t="s">
        <v>59</v>
      </c>
      <c r="BE4" t="s">
        <v>4</v>
      </c>
    </row>
    <row r="5" spans="1:57" x14ac:dyDescent="0.15">
      <c r="A5" s="70">
        <v>397</v>
      </c>
      <c r="B5" s="126">
        <v>41466</v>
      </c>
      <c r="C5" s="71" t="s">
        <v>60</v>
      </c>
      <c r="D5" s="72" t="s">
        <v>61</v>
      </c>
      <c r="E5" s="73">
        <v>41455</v>
      </c>
      <c r="F5" s="71" t="s">
        <v>62</v>
      </c>
      <c r="G5" s="72" t="s">
        <v>63</v>
      </c>
      <c r="H5" s="72">
        <v>71</v>
      </c>
      <c r="I5" s="74" t="s">
        <v>255</v>
      </c>
      <c r="J5" s="75">
        <v>4500</v>
      </c>
      <c r="K5" s="96">
        <v>4500</v>
      </c>
      <c r="L5" s="72"/>
      <c r="M5" s="72"/>
      <c r="N5" s="72"/>
      <c r="O5" s="72">
        <v>3.9</v>
      </c>
      <c r="P5" s="72">
        <v>1.9</v>
      </c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6" t="s">
        <v>207</v>
      </c>
      <c r="AH5" s="76"/>
      <c r="AI5" s="76"/>
      <c r="AJ5" s="76"/>
      <c r="AK5" s="76">
        <v>0</v>
      </c>
      <c r="AL5" s="76">
        <v>0</v>
      </c>
      <c r="AM5" s="76">
        <v>0</v>
      </c>
      <c r="AN5" s="76">
        <v>9</v>
      </c>
      <c r="AO5" s="76">
        <v>0</v>
      </c>
      <c r="AP5" s="76">
        <v>0</v>
      </c>
      <c r="AQ5" s="76">
        <v>0</v>
      </c>
      <c r="AR5" s="76">
        <v>0</v>
      </c>
      <c r="AS5" s="76">
        <v>0</v>
      </c>
      <c r="AT5" s="76">
        <v>0</v>
      </c>
      <c r="AU5" s="72"/>
      <c r="AV5" s="76" t="s">
        <v>207</v>
      </c>
      <c r="AW5" s="76">
        <v>12</v>
      </c>
      <c r="AX5" s="76" t="s">
        <v>207</v>
      </c>
      <c r="AY5" s="71"/>
      <c r="AZ5" s="72"/>
      <c r="BA5" s="76"/>
      <c r="BB5" s="76" t="s">
        <v>2</v>
      </c>
      <c r="BC5" s="71"/>
      <c r="BD5" t="s">
        <v>64</v>
      </c>
      <c r="BE5" t="s">
        <v>4</v>
      </c>
    </row>
    <row r="6" spans="1:57" x14ac:dyDescent="0.15">
      <c r="A6" s="70">
        <v>867</v>
      </c>
      <c r="B6" s="126">
        <v>41467</v>
      </c>
      <c r="C6" s="71" t="s">
        <v>211</v>
      </c>
      <c r="D6" s="72" t="s">
        <v>5</v>
      </c>
      <c r="E6" s="73">
        <v>41459</v>
      </c>
      <c r="F6" s="71" t="s">
        <v>65</v>
      </c>
      <c r="G6" s="72" t="s">
        <v>66</v>
      </c>
      <c r="H6" s="72">
        <v>62.21</v>
      </c>
      <c r="I6" s="74" t="s">
        <v>255</v>
      </c>
      <c r="J6" s="75">
        <v>225000</v>
      </c>
      <c r="K6" s="72">
        <v>407000</v>
      </c>
      <c r="L6" s="72"/>
      <c r="M6" s="72"/>
      <c r="N6" s="72"/>
      <c r="O6" s="72">
        <v>4.3899999999999997</v>
      </c>
      <c r="P6" s="72">
        <v>2.72</v>
      </c>
      <c r="Q6" s="72">
        <v>1.69</v>
      </c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6" t="s">
        <v>207</v>
      </c>
      <c r="AH6" s="76"/>
      <c r="AI6" s="76"/>
      <c r="AJ6" s="76"/>
      <c r="AK6" s="76">
        <v>0</v>
      </c>
      <c r="AL6" s="76">
        <v>0</v>
      </c>
      <c r="AM6" s="76">
        <v>0</v>
      </c>
      <c r="AN6" s="76">
        <v>15</v>
      </c>
      <c r="AO6" s="76">
        <v>0</v>
      </c>
      <c r="AP6" s="76">
        <v>0</v>
      </c>
      <c r="AQ6" s="76">
        <v>0</v>
      </c>
      <c r="AR6" s="76">
        <v>0</v>
      </c>
      <c r="AS6" s="76">
        <v>0</v>
      </c>
      <c r="AT6" s="76">
        <v>0</v>
      </c>
      <c r="AU6" s="76">
        <v>24</v>
      </c>
      <c r="AV6" s="76" t="s">
        <v>103</v>
      </c>
      <c r="AW6" s="76">
        <v>12</v>
      </c>
      <c r="AX6" s="76" t="s">
        <v>207</v>
      </c>
      <c r="AY6" s="71" t="s">
        <v>67</v>
      </c>
      <c r="AZ6" s="72" t="s">
        <v>68</v>
      </c>
      <c r="BA6" s="76">
        <v>25</v>
      </c>
      <c r="BB6" s="76" t="s">
        <v>69</v>
      </c>
      <c r="BC6" s="71"/>
      <c r="BD6" t="s">
        <v>26</v>
      </c>
      <c r="BE6" t="s">
        <v>4</v>
      </c>
    </row>
    <row r="7" spans="1:57" x14ac:dyDescent="0.15">
      <c r="A7" s="70">
        <v>1089</v>
      </c>
      <c r="B7" s="126">
        <v>41467</v>
      </c>
      <c r="C7" s="71" t="s">
        <v>211</v>
      </c>
      <c r="D7" s="72" t="s">
        <v>5</v>
      </c>
      <c r="E7" s="73">
        <v>41461</v>
      </c>
      <c r="F7" s="71" t="s">
        <v>27</v>
      </c>
      <c r="G7" s="72" t="s">
        <v>28</v>
      </c>
      <c r="H7" s="72">
        <v>72</v>
      </c>
      <c r="I7" s="74" t="s">
        <v>255</v>
      </c>
      <c r="J7" s="75">
        <v>4500</v>
      </c>
      <c r="K7" s="96">
        <v>4500</v>
      </c>
      <c r="L7" s="75"/>
      <c r="M7" s="75"/>
      <c r="N7" s="75"/>
      <c r="O7" s="72">
        <v>3.88</v>
      </c>
      <c r="P7" s="72">
        <v>1.87</v>
      </c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6" t="s">
        <v>207</v>
      </c>
      <c r="AH7" s="72"/>
      <c r="AI7" s="72"/>
      <c r="AJ7" s="72"/>
      <c r="AK7" s="76">
        <v>0</v>
      </c>
      <c r="AL7" s="76">
        <v>0</v>
      </c>
      <c r="AM7" s="76">
        <v>10</v>
      </c>
      <c r="AN7" s="76">
        <v>0</v>
      </c>
      <c r="AO7" s="76">
        <v>0</v>
      </c>
      <c r="AP7" s="76">
        <v>0</v>
      </c>
      <c r="AQ7" s="76">
        <v>0</v>
      </c>
      <c r="AR7" s="76">
        <v>0</v>
      </c>
      <c r="AS7" s="76">
        <v>0</v>
      </c>
      <c r="AT7" s="76">
        <v>0</v>
      </c>
      <c r="AU7" s="76"/>
      <c r="AV7" s="76" t="s">
        <v>207</v>
      </c>
      <c r="AW7" s="76"/>
      <c r="AX7" s="76" t="s">
        <v>207</v>
      </c>
      <c r="AY7" s="71"/>
      <c r="AZ7" s="72"/>
      <c r="BA7" s="76"/>
      <c r="BB7" s="76" t="s">
        <v>8</v>
      </c>
      <c r="BC7" s="71"/>
      <c r="BD7" t="s">
        <v>29</v>
      </c>
      <c r="BE7" t="s">
        <v>30</v>
      </c>
    </row>
    <row r="8" spans="1:57" x14ac:dyDescent="0.15">
      <c r="A8" s="70">
        <v>401</v>
      </c>
      <c r="B8" s="126">
        <v>41466</v>
      </c>
      <c r="C8" s="71" t="s">
        <v>211</v>
      </c>
      <c r="D8" s="72" t="s">
        <v>89</v>
      </c>
      <c r="E8" s="73">
        <v>41455</v>
      </c>
      <c r="F8" s="71" t="s">
        <v>31</v>
      </c>
      <c r="G8" s="72" t="s">
        <v>32</v>
      </c>
      <c r="H8" s="72">
        <v>71</v>
      </c>
      <c r="I8" s="74" t="s">
        <v>255</v>
      </c>
      <c r="J8" s="75">
        <v>4500</v>
      </c>
      <c r="K8" s="96">
        <v>4500</v>
      </c>
      <c r="L8" s="72"/>
      <c r="M8" s="72"/>
      <c r="N8" s="72"/>
      <c r="O8" s="72">
        <v>3.9</v>
      </c>
      <c r="P8" s="72">
        <v>1.9</v>
      </c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6" t="s">
        <v>207</v>
      </c>
      <c r="AH8" s="76"/>
      <c r="AI8" s="76"/>
      <c r="AJ8" s="76"/>
      <c r="AK8" s="76">
        <v>0</v>
      </c>
      <c r="AL8" s="76">
        <v>0</v>
      </c>
      <c r="AM8" s="76">
        <v>0</v>
      </c>
      <c r="AN8" s="76">
        <v>9</v>
      </c>
      <c r="AO8" s="76">
        <v>0</v>
      </c>
      <c r="AP8" s="76">
        <v>0</v>
      </c>
      <c r="AQ8" s="76">
        <v>0</v>
      </c>
      <c r="AR8" s="76">
        <v>0</v>
      </c>
      <c r="AS8" s="76">
        <v>0</v>
      </c>
      <c r="AT8" s="76">
        <v>0</v>
      </c>
      <c r="AU8" s="72"/>
      <c r="AV8" s="76" t="s">
        <v>207</v>
      </c>
      <c r="AW8" s="76">
        <v>12</v>
      </c>
      <c r="AX8" s="76" t="s">
        <v>207</v>
      </c>
      <c r="AY8" s="71"/>
      <c r="AZ8" s="72"/>
      <c r="BA8" s="76"/>
      <c r="BB8" s="76" t="s">
        <v>2</v>
      </c>
      <c r="BC8" s="71"/>
      <c r="BD8" t="s">
        <v>33</v>
      </c>
      <c r="BE8" t="s">
        <v>4</v>
      </c>
    </row>
    <row r="9" spans="1:57" x14ac:dyDescent="0.15">
      <c r="A9" s="70">
        <v>405</v>
      </c>
      <c r="B9" s="126">
        <v>41466</v>
      </c>
      <c r="C9" s="71" t="s">
        <v>34</v>
      </c>
      <c r="D9" s="72" t="s">
        <v>35</v>
      </c>
      <c r="E9" s="73">
        <v>41455</v>
      </c>
      <c r="F9" s="71" t="s">
        <v>36</v>
      </c>
      <c r="G9" s="72" t="s">
        <v>37</v>
      </c>
      <c r="H9" s="72">
        <v>71</v>
      </c>
      <c r="I9" s="74" t="s">
        <v>255</v>
      </c>
      <c r="J9" s="75">
        <v>4500</v>
      </c>
      <c r="K9" s="96">
        <v>4500</v>
      </c>
      <c r="L9" s="72"/>
      <c r="M9" s="72"/>
      <c r="N9" s="72"/>
      <c r="O9" s="72">
        <v>3.9</v>
      </c>
      <c r="P9" s="72">
        <v>1.9</v>
      </c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6" t="s">
        <v>38</v>
      </c>
      <c r="AH9" s="76"/>
      <c r="AI9" s="76"/>
      <c r="AJ9" s="76"/>
      <c r="AK9" s="76">
        <v>0</v>
      </c>
      <c r="AL9" s="76">
        <v>0</v>
      </c>
      <c r="AM9" s="76">
        <v>0</v>
      </c>
      <c r="AN9" s="76">
        <v>9</v>
      </c>
      <c r="AO9" s="76">
        <v>0</v>
      </c>
      <c r="AP9" s="76">
        <v>0</v>
      </c>
      <c r="AQ9" s="76">
        <v>0</v>
      </c>
      <c r="AR9" s="76">
        <v>0</v>
      </c>
      <c r="AS9" s="76">
        <v>0</v>
      </c>
      <c r="AT9" s="76">
        <v>0</v>
      </c>
      <c r="AU9" s="72"/>
      <c r="AV9" s="76" t="s">
        <v>38</v>
      </c>
      <c r="AW9" s="76">
        <v>12</v>
      </c>
      <c r="AX9" s="76" t="s">
        <v>38</v>
      </c>
      <c r="AY9" s="71"/>
      <c r="AZ9" s="72"/>
      <c r="BA9" s="76"/>
      <c r="BB9" s="76" t="s">
        <v>39</v>
      </c>
      <c r="BC9" s="71"/>
      <c r="BD9" t="s">
        <v>40</v>
      </c>
      <c r="BE9" t="s">
        <v>4</v>
      </c>
    </row>
    <row r="10" spans="1:57" x14ac:dyDescent="0.15">
      <c r="A10" s="70">
        <v>409</v>
      </c>
      <c r="B10" s="126">
        <v>41466</v>
      </c>
      <c r="C10" s="71" t="s">
        <v>34</v>
      </c>
      <c r="D10" s="72" t="s">
        <v>41</v>
      </c>
      <c r="E10" s="73">
        <v>41455</v>
      </c>
      <c r="F10" s="71" t="s">
        <v>36</v>
      </c>
      <c r="G10" s="72" t="s">
        <v>37</v>
      </c>
      <c r="H10" s="72">
        <v>71</v>
      </c>
      <c r="I10" s="74" t="s">
        <v>255</v>
      </c>
      <c r="J10" s="75">
        <v>4500</v>
      </c>
      <c r="K10" s="96">
        <v>4500</v>
      </c>
      <c r="L10" s="72"/>
      <c r="M10" s="72"/>
      <c r="N10" s="72"/>
      <c r="O10" s="72">
        <v>3.9</v>
      </c>
      <c r="P10" s="72">
        <v>1.9</v>
      </c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6" t="s">
        <v>38</v>
      </c>
      <c r="AH10" s="76"/>
      <c r="AI10" s="76"/>
      <c r="AJ10" s="76"/>
      <c r="AK10" s="76">
        <v>0</v>
      </c>
      <c r="AL10" s="76">
        <v>0</v>
      </c>
      <c r="AM10" s="76">
        <v>0</v>
      </c>
      <c r="AN10" s="76">
        <v>9</v>
      </c>
      <c r="AO10" s="76">
        <v>0</v>
      </c>
      <c r="AP10" s="76">
        <v>0</v>
      </c>
      <c r="AQ10" s="76">
        <v>0</v>
      </c>
      <c r="AR10" s="76">
        <v>0</v>
      </c>
      <c r="AS10" s="76">
        <v>0</v>
      </c>
      <c r="AT10" s="76">
        <v>0</v>
      </c>
      <c r="AU10" s="72"/>
      <c r="AV10" s="76" t="s">
        <v>38</v>
      </c>
      <c r="AW10" s="76">
        <v>12</v>
      </c>
      <c r="AX10" s="76" t="s">
        <v>38</v>
      </c>
      <c r="AY10" s="71"/>
      <c r="AZ10" s="72"/>
      <c r="BA10" s="76"/>
      <c r="BB10" s="76" t="s">
        <v>39</v>
      </c>
      <c r="BC10" s="71"/>
      <c r="BD10" t="s">
        <v>64</v>
      </c>
      <c r="BE10" t="s">
        <v>4</v>
      </c>
    </row>
    <row r="11" spans="1:57" x14ac:dyDescent="0.15">
      <c r="A11" s="70">
        <v>413</v>
      </c>
      <c r="B11" s="126">
        <v>41466</v>
      </c>
      <c r="C11" s="71" t="s">
        <v>34</v>
      </c>
      <c r="D11" s="72" t="s">
        <v>42</v>
      </c>
      <c r="E11" s="73">
        <v>41455</v>
      </c>
      <c r="F11" s="71" t="s">
        <v>36</v>
      </c>
      <c r="G11" s="72" t="s">
        <v>37</v>
      </c>
      <c r="H11" s="72">
        <v>71</v>
      </c>
      <c r="I11" s="74" t="s">
        <v>255</v>
      </c>
      <c r="J11" s="75">
        <v>4500</v>
      </c>
      <c r="K11" s="96">
        <v>4500</v>
      </c>
      <c r="L11" s="72"/>
      <c r="M11" s="72"/>
      <c r="N11" s="72"/>
      <c r="O11" s="72">
        <v>3.9</v>
      </c>
      <c r="P11" s="72">
        <v>1.9</v>
      </c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6" t="s">
        <v>38</v>
      </c>
      <c r="AH11" s="76"/>
      <c r="AI11" s="76"/>
      <c r="AJ11" s="76"/>
      <c r="AK11" s="76">
        <v>0</v>
      </c>
      <c r="AL11" s="76">
        <v>0</v>
      </c>
      <c r="AM11" s="76">
        <v>0</v>
      </c>
      <c r="AN11" s="76">
        <v>9</v>
      </c>
      <c r="AO11" s="76">
        <v>0</v>
      </c>
      <c r="AP11" s="76">
        <v>0</v>
      </c>
      <c r="AQ11" s="76">
        <v>0</v>
      </c>
      <c r="AR11" s="76">
        <v>0</v>
      </c>
      <c r="AS11" s="76">
        <v>0</v>
      </c>
      <c r="AT11" s="76">
        <v>0</v>
      </c>
      <c r="AU11" s="72"/>
      <c r="AV11" s="76" t="s">
        <v>38</v>
      </c>
      <c r="AW11" s="76">
        <v>12</v>
      </c>
      <c r="AX11" s="76" t="s">
        <v>38</v>
      </c>
      <c r="AY11" s="71"/>
      <c r="AZ11" s="72"/>
      <c r="BA11" s="76"/>
      <c r="BB11" s="76" t="s">
        <v>39</v>
      </c>
      <c r="BC11" s="71"/>
      <c r="BD11" t="s">
        <v>43</v>
      </c>
      <c r="BE11" t="s">
        <v>4</v>
      </c>
    </row>
  </sheetData>
  <sheetProtection algorithmName="SHA-512" hashValue="g0s9EULjtOqOsdtVircPEnPV/W16K7bL81iITR2SXV+kFHOdDeyfi/2TKKGnLgscK56k8nPmFbrE0AeA6ohXBQ==" saltValue="VbmTDJ1Np8mA7/9eU6NjLw==" spinCount="100000" sheet="1" objects="1" scenarios="1"/>
  <phoneticPr fontId="7" type="noConversion"/>
  <pageMargins left="0.75" right="0.75" top="1" bottom="1" header="0.5" footer="0.5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BE10"/>
  <sheetViews>
    <sheetView topLeftCell="G1" workbookViewId="0">
      <selection activeCell="F21" sqref="F21"/>
    </sheetView>
  </sheetViews>
  <sheetFormatPr baseColWidth="10" defaultRowHeight="13" x14ac:dyDescent="0.15"/>
  <cols>
    <col min="4" max="4" width="15.5" customWidth="1"/>
  </cols>
  <sheetData>
    <row r="1" spans="1:57" ht="70" x14ac:dyDescent="0.15">
      <c r="A1" s="77" t="s">
        <v>138</v>
      </c>
      <c r="B1" s="77" t="s">
        <v>139</v>
      </c>
      <c r="C1" s="78" t="s">
        <v>140</v>
      </c>
      <c r="D1" s="79" t="s">
        <v>141</v>
      </c>
      <c r="E1" s="77" t="s">
        <v>70</v>
      </c>
      <c r="F1" s="78" t="s">
        <v>71</v>
      </c>
      <c r="G1" s="79" t="s">
        <v>143</v>
      </c>
      <c r="H1" s="80" t="s">
        <v>144</v>
      </c>
      <c r="I1" s="81" t="s">
        <v>145</v>
      </c>
      <c r="J1" s="81" t="s">
        <v>146</v>
      </c>
      <c r="K1" s="81" t="s">
        <v>147</v>
      </c>
      <c r="L1" s="81" t="s">
        <v>148</v>
      </c>
      <c r="M1" s="81" t="s">
        <v>149</v>
      </c>
      <c r="N1" s="82" t="s">
        <v>150</v>
      </c>
      <c r="O1" s="83" t="s">
        <v>151</v>
      </c>
      <c r="P1" s="83" t="s">
        <v>152</v>
      </c>
      <c r="Q1" s="83" t="s">
        <v>47</v>
      </c>
      <c r="R1" s="83" t="s">
        <v>48</v>
      </c>
      <c r="S1" s="83" t="s">
        <v>49</v>
      </c>
      <c r="T1" s="84" t="s">
        <v>50</v>
      </c>
      <c r="U1" s="85" t="s">
        <v>51</v>
      </c>
      <c r="V1" s="85" t="s">
        <v>77</v>
      </c>
      <c r="W1" s="85" t="s">
        <v>78</v>
      </c>
      <c r="X1" s="85" t="s">
        <v>52</v>
      </c>
      <c r="Y1" s="85" t="s">
        <v>53</v>
      </c>
      <c r="Z1" s="86" t="s">
        <v>54</v>
      </c>
      <c r="AA1" s="87" t="s">
        <v>55</v>
      </c>
      <c r="AB1" s="87" t="s">
        <v>56</v>
      </c>
      <c r="AC1" s="87" t="s">
        <v>57</v>
      </c>
      <c r="AD1" s="87" t="s">
        <v>58</v>
      </c>
      <c r="AE1" s="87" t="s">
        <v>125</v>
      </c>
      <c r="AF1" s="88" t="s">
        <v>126</v>
      </c>
      <c r="AG1" s="89" t="s">
        <v>127</v>
      </c>
      <c r="AH1" s="89" t="s">
        <v>128</v>
      </c>
      <c r="AI1" s="89" t="s">
        <v>129</v>
      </c>
      <c r="AJ1" s="90" t="s">
        <v>130</v>
      </c>
      <c r="AK1" s="91" t="s">
        <v>13</v>
      </c>
      <c r="AL1" s="92" t="s">
        <v>14</v>
      </c>
      <c r="AM1" s="91" t="s">
        <v>15</v>
      </c>
      <c r="AN1" s="83" t="s">
        <v>16</v>
      </c>
      <c r="AO1" s="93" t="s">
        <v>134</v>
      </c>
      <c r="AP1" s="83" t="s">
        <v>135</v>
      </c>
      <c r="AQ1" s="93" t="s">
        <v>105</v>
      </c>
      <c r="AR1" s="84" t="s">
        <v>106</v>
      </c>
      <c r="AS1" s="93" t="s">
        <v>107</v>
      </c>
      <c r="AT1" s="84" t="s">
        <v>108</v>
      </c>
      <c r="AU1" s="77" t="s">
        <v>110</v>
      </c>
      <c r="AV1" s="94" t="s">
        <v>111</v>
      </c>
      <c r="AW1" s="95" t="s">
        <v>112</v>
      </c>
      <c r="AX1" s="94" t="s">
        <v>113</v>
      </c>
      <c r="AY1" s="77" t="s">
        <v>114</v>
      </c>
      <c r="AZ1" s="78" t="s">
        <v>115</v>
      </c>
      <c r="BA1" s="94" t="s">
        <v>116</v>
      </c>
      <c r="BB1" s="94" t="s">
        <v>98</v>
      </c>
      <c r="BC1" s="78" t="s">
        <v>117</v>
      </c>
      <c r="BD1" s="94" t="s">
        <v>118</v>
      </c>
      <c r="BE1" s="77" t="s">
        <v>119</v>
      </c>
    </row>
    <row r="2" spans="1:57" x14ac:dyDescent="0.15">
      <c r="A2" s="70">
        <v>416</v>
      </c>
      <c r="B2" s="97">
        <v>41101</v>
      </c>
      <c r="C2" s="71" t="s">
        <v>124</v>
      </c>
      <c r="D2" s="72" t="s">
        <v>212</v>
      </c>
      <c r="E2" s="73">
        <v>41090</v>
      </c>
      <c r="F2" s="71" t="s">
        <v>244</v>
      </c>
      <c r="G2" s="72" t="s">
        <v>206</v>
      </c>
      <c r="H2" s="72">
        <v>65.72</v>
      </c>
      <c r="I2" s="74" t="s">
        <v>255</v>
      </c>
      <c r="J2" s="75">
        <v>2500</v>
      </c>
      <c r="K2" s="75">
        <v>4500</v>
      </c>
      <c r="L2" s="72"/>
      <c r="M2" s="72"/>
      <c r="N2" s="72"/>
      <c r="O2" s="72">
        <v>3.851</v>
      </c>
      <c r="P2" s="72">
        <v>2.9950000000000001</v>
      </c>
      <c r="Q2" s="72">
        <v>1.5580000000000001</v>
      </c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6" t="s">
        <v>207</v>
      </c>
      <c r="AH2" s="76"/>
      <c r="AI2" s="76"/>
      <c r="AJ2" s="76"/>
      <c r="AK2" s="76">
        <v>0</v>
      </c>
      <c r="AL2" s="76">
        <v>0</v>
      </c>
      <c r="AM2" s="76">
        <v>0</v>
      </c>
      <c r="AN2" s="76">
        <v>10</v>
      </c>
      <c r="AO2" s="76">
        <v>0</v>
      </c>
      <c r="AP2" s="76">
        <v>0</v>
      </c>
      <c r="AQ2" s="76">
        <v>0</v>
      </c>
      <c r="AR2" s="76">
        <v>0</v>
      </c>
      <c r="AS2" s="76">
        <v>0</v>
      </c>
      <c r="AT2" s="76">
        <v>2</v>
      </c>
      <c r="AU2" s="72">
        <v>0</v>
      </c>
      <c r="AV2" s="76" t="s">
        <v>207</v>
      </c>
      <c r="AW2" s="76">
        <v>12</v>
      </c>
      <c r="AX2" s="76" t="s">
        <v>207</v>
      </c>
      <c r="AY2" s="71" t="s">
        <v>208</v>
      </c>
      <c r="AZ2" s="72" t="s">
        <v>209</v>
      </c>
      <c r="BA2" s="76">
        <v>25</v>
      </c>
      <c r="BB2" s="76" t="s">
        <v>100</v>
      </c>
      <c r="BC2" s="71"/>
      <c r="BD2" t="s">
        <v>44</v>
      </c>
      <c r="BE2" t="s">
        <v>210</v>
      </c>
    </row>
    <row r="3" spans="1:57" x14ac:dyDescent="0.15">
      <c r="A3" s="70">
        <v>426</v>
      </c>
      <c r="B3" s="97">
        <v>41101</v>
      </c>
      <c r="C3" s="71" t="s">
        <v>211</v>
      </c>
      <c r="D3" s="72" t="s">
        <v>212</v>
      </c>
      <c r="E3" s="73">
        <v>41111</v>
      </c>
      <c r="F3" s="71" t="s">
        <v>167</v>
      </c>
      <c r="G3" s="72" t="s">
        <v>168</v>
      </c>
      <c r="H3" s="72">
        <v>63.85</v>
      </c>
      <c r="I3" s="74" t="s">
        <v>255</v>
      </c>
      <c r="J3" s="75">
        <v>2967.032967032967</v>
      </c>
      <c r="K3" s="96">
        <v>2967.032967032967</v>
      </c>
      <c r="L3" s="72"/>
      <c r="M3" s="72"/>
      <c r="N3" s="72"/>
      <c r="O3" s="72">
        <v>3.61</v>
      </c>
      <c r="P3" s="72">
        <v>1.87</v>
      </c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6" t="s">
        <v>169</v>
      </c>
      <c r="AH3" s="76"/>
      <c r="AI3" s="76"/>
      <c r="AJ3" s="76"/>
      <c r="AK3" s="76">
        <v>0</v>
      </c>
      <c r="AL3" s="76">
        <v>0</v>
      </c>
      <c r="AM3" s="76">
        <v>0</v>
      </c>
      <c r="AN3" s="76">
        <v>10</v>
      </c>
      <c r="AO3" s="76">
        <v>0</v>
      </c>
      <c r="AP3" s="76">
        <v>0</v>
      </c>
      <c r="AQ3" s="76">
        <v>0</v>
      </c>
      <c r="AR3" s="76">
        <v>0</v>
      </c>
      <c r="AS3" s="76">
        <v>0</v>
      </c>
      <c r="AT3" s="76">
        <v>0</v>
      </c>
      <c r="AU3" s="72">
        <v>0</v>
      </c>
      <c r="AV3" s="76" t="s">
        <v>169</v>
      </c>
      <c r="AW3" s="76">
        <v>24</v>
      </c>
      <c r="AX3" s="76" t="s">
        <v>169</v>
      </c>
      <c r="AY3" s="71"/>
      <c r="AZ3" s="72"/>
      <c r="BA3" s="76"/>
      <c r="BB3" s="76" t="s">
        <v>101</v>
      </c>
      <c r="BC3" s="71"/>
      <c r="BD3" t="s">
        <v>93</v>
      </c>
      <c r="BE3" t="s">
        <v>94</v>
      </c>
    </row>
    <row r="4" spans="1:57" x14ac:dyDescent="0.15">
      <c r="A4" s="70">
        <v>422</v>
      </c>
      <c r="B4" s="97">
        <v>41101</v>
      </c>
      <c r="C4" s="71" t="s">
        <v>211</v>
      </c>
      <c r="D4" s="72" t="s">
        <v>172</v>
      </c>
      <c r="E4" s="73">
        <v>41117</v>
      </c>
      <c r="F4" s="71" t="s">
        <v>173</v>
      </c>
      <c r="G4" s="72" t="s">
        <v>174</v>
      </c>
      <c r="H4" s="72">
        <v>78.02</v>
      </c>
      <c r="I4" s="74" t="s">
        <v>255</v>
      </c>
      <c r="J4" s="75">
        <v>2500</v>
      </c>
      <c r="K4" s="75">
        <v>4500</v>
      </c>
      <c r="L4" s="72"/>
      <c r="M4" s="72"/>
      <c r="N4" s="72"/>
      <c r="O4" s="72">
        <v>3.6120000000000001</v>
      </c>
      <c r="P4" s="72">
        <v>3.5939000000000001</v>
      </c>
      <c r="Q4" s="72">
        <v>2.2574999999999998</v>
      </c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6" t="s">
        <v>169</v>
      </c>
      <c r="AH4" s="76"/>
      <c r="AI4" s="76"/>
      <c r="AJ4" s="76"/>
      <c r="AK4" s="76">
        <v>0</v>
      </c>
      <c r="AL4" s="76">
        <v>0</v>
      </c>
      <c r="AM4" s="76">
        <v>0</v>
      </c>
      <c r="AN4" s="76">
        <v>13</v>
      </c>
      <c r="AO4" s="76">
        <v>0</v>
      </c>
      <c r="AP4" s="76">
        <v>0</v>
      </c>
      <c r="AQ4" s="76">
        <v>0</v>
      </c>
      <c r="AR4" s="76">
        <v>2</v>
      </c>
      <c r="AS4" s="76">
        <v>0</v>
      </c>
      <c r="AT4" s="76">
        <v>0</v>
      </c>
      <c r="AU4" s="72">
        <v>0</v>
      </c>
      <c r="AV4" s="76" t="s">
        <v>169</v>
      </c>
      <c r="AW4" s="76">
        <v>12</v>
      </c>
      <c r="AX4" s="76" t="s">
        <v>169</v>
      </c>
      <c r="AY4" s="71" t="s">
        <v>175</v>
      </c>
      <c r="AZ4" s="71" t="s">
        <v>209</v>
      </c>
      <c r="BA4" s="76">
        <v>47</v>
      </c>
      <c r="BB4" s="76" t="s">
        <v>102</v>
      </c>
      <c r="BC4" s="71"/>
      <c r="BD4" t="s">
        <v>96</v>
      </c>
      <c r="BE4" t="s">
        <v>210</v>
      </c>
    </row>
    <row r="5" spans="1:57" x14ac:dyDescent="0.15">
      <c r="A5" s="70">
        <v>397</v>
      </c>
      <c r="B5" s="97">
        <v>41101</v>
      </c>
      <c r="C5" s="71" t="s">
        <v>211</v>
      </c>
      <c r="D5" s="72" t="s">
        <v>212</v>
      </c>
      <c r="E5" s="73">
        <v>41090</v>
      </c>
      <c r="F5" s="71" t="s">
        <v>86</v>
      </c>
      <c r="G5" s="72" t="s">
        <v>87</v>
      </c>
      <c r="H5" s="72">
        <v>65</v>
      </c>
      <c r="I5" s="74" t="s">
        <v>255</v>
      </c>
      <c r="J5" s="75">
        <v>4500</v>
      </c>
      <c r="K5" s="96">
        <v>4500</v>
      </c>
      <c r="L5" s="72"/>
      <c r="M5" s="72"/>
      <c r="N5" s="72"/>
      <c r="O5" s="72">
        <v>3.645</v>
      </c>
      <c r="P5" s="72">
        <v>1.633</v>
      </c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6" t="s">
        <v>169</v>
      </c>
      <c r="AH5" s="76"/>
      <c r="AI5" s="76"/>
      <c r="AJ5" s="76"/>
      <c r="AK5" s="76">
        <v>0</v>
      </c>
      <c r="AL5" s="76">
        <v>0</v>
      </c>
      <c r="AM5" s="76">
        <v>0</v>
      </c>
      <c r="AN5" s="76">
        <v>10</v>
      </c>
      <c r="AO5" s="76">
        <v>0</v>
      </c>
      <c r="AP5" s="76">
        <v>0</v>
      </c>
      <c r="AQ5" s="76">
        <v>0</v>
      </c>
      <c r="AR5" s="76">
        <v>0</v>
      </c>
      <c r="AS5" s="76">
        <v>0</v>
      </c>
      <c r="AT5" s="76">
        <v>0</v>
      </c>
      <c r="AU5" s="72">
        <v>0</v>
      </c>
      <c r="AV5" s="76" t="s">
        <v>169</v>
      </c>
      <c r="AW5" s="76">
        <v>12</v>
      </c>
      <c r="AX5" s="76" t="s">
        <v>169</v>
      </c>
      <c r="AY5" s="71"/>
      <c r="AZ5" s="72"/>
      <c r="BA5" s="76"/>
      <c r="BB5" s="76" t="s">
        <v>207</v>
      </c>
      <c r="BC5" s="71"/>
      <c r="BD5" t="s">
        <v>88</v>
      </c>
      <c r="BE5" t="s">
        <v>210</v>
      </c>
    </row>
    <row r="6" spans="1:57" x14ac:dyDescent="0.15">
      <c r="A6" s="70">
        <v>424</v>
      </c>
      <c r="B6" s="97">
        <v>41108</v>
      </c>
      <c r="C6" s="71" t="s">
        <v>211</v>
      </c>
      <c r="D6" s="72" t="s">
        <v>212</v>
      </c>
      <c r="E6" s="73">
        <v>41046</v>
      </c>
      <c r="F6" s="71" t="s">
        <v>74</v>
      </c>
      <c r="G6" s="71" t="s">
        <v>72</v>
      </c>
      <c r="H6" s="72">
        <v>70.56</v>
      </c>
      <c r="I6" s="74" t="s">
        <v>255</v>
      </c>
      <c r="J6" s="75">
        <v>2500</v>
      </c>
      <c r="K6" s="75">
        <v>4500</v>
      </c>
      <c r="L6" s="72"/>
      <c r="M6" s="72"/>
      <c r="N6" s="72"/>
      <c r="O6" s="72">
        <v>4.45</v>
      </c>
      <c r="P6" s="72">
        <v>2.81</v>
      </c>
      <c r="Q6" s="72">
        <v>1.8</v>
      </c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6" t="s">
        <v>137</v>
      </c>
      <c r="AH6" s="76"/>
      <c r="AI6" s="76"/>
      <c r="AJ6" s="76"/>
      <c r="AK6" s="76">
        <v>0</v>
      </c>
      <c r="AL6" s="76">
        <v>0</v>
      </c>
      <c r="AM6" s="76">
        <v>0</v>
      </c>
      <c r="AN6" s="76">
        <v>10</v>
      </c>
      <c r="AO6" s="76">
        <v>0</v>
      </c>
      <c r="AP6" s="76">
        <v>0</v>
      </c>
      <c r="AQ6" s="76">
        <v>0</v>
      </c>
      <c r="AR6" s="76">
        <v>0</v>
      </c>
      <c r="AS6" s="76">
        <v>0</v>
      </c>
      <c r="AT6" s="76">
        <v>0</v>
      </c>
      <c r="AU6" s="76">
        <v>24</v>
      </c>
      <c r="AV6" s="76" t="s">
        <v>73</v>
      </c>
      <c r="AW6" s="76">
        <v>0</v>
      </c>
      <c r="AX6" s="76" t="s">
        <v>137</v>
      </c>
      <c r="AY6" s="71"/>
      <c r="AZ6" s="72"/>
      <c r="BA6" s="76"/>
      <c r="BB6" s="76" t="s">
        <v>103</v>
      </c>
      <c r="BC6" s="71"/>
      <c r="BD6" t="s">
        <v>17</v>
      </c>
      <c r="BE6" t="s">
        <v>136</v>
      </c>
    </row>
    <row r="7" spans="1:57" x14ac:dyDescent="0.15">
      <c r="A7" s="70">
        <v>401</v>
      </c>
      <c r="B7" s="97">
        <v>41101</v>
      </c>
      <c r="C7" s="71" t="s">
        <v>211</v>
      </c>
      <c r="D7" s="72" t="s">
        <v>89</v>
      </c>
      <c r="E7" s="73">
        <v>41090</v>
      </c>
      <c r="F7" s="71" t="s">
        <v>86</v>
      </c>
      <c r="G7" s="72" t="s">
        <v>87</v>
      </c>
      <c r="H7" s="72">
        <v>65</v>
      </c>
      <c r="I7" s="74" t="s">
        <v>255</v>
      </c>
      <c r="J7" s="75">
        <v>4500</v>
      </c>
      <c r="K7" s="96">
        <v>4500</v>
      </c>
      <c r="L7" s="72"/>
      <c r="M7" s="72"/>
      <c r="N7" s="72"/>
      <c r="O7" s="72">
        <v>3.645</v>
      </c>
      <c r="P7" s="72">
        <v>1.633</v>
      </c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6" t="s">
        <v>169</v>
      </c>
      <c r="AH7" s="76"/>
      <c r="AI7" s="76"/>
      <c r="AJ7" s="76"/>
      <c r="AK7" s="76">
        <v>0</v>
      </c>
      <c r="AL7" s="76">
        <v>0</v>
      </c>
      <c r="AM7" s="76">
        <v>0</v>
      </c>
      <c r="AN7" s="76">
        <v>10</v>
      </c>
      <c r="AO7" s="76">
        <v>0</v>
      </c>
      <c r="AP7" s="76">
        <v>0</v>
      </c>
      <c r="AQ7" s="76">
        <v>0</v>
      </c>
      <c r="AR7" s="76">
        <v>0</v>
      </c>
      <c r="AS7" s="76">
        <v>0</v>
      </c>
      <c r="AT7" s="76">
        <v>0</v>
      </c>
      <c r="AU7" s="72">
        <v>0</v>
      </c>
      <c r="AV7" s="76" t="s">
        <v>169</v>
      </c>
      <c r="AW7" s="76">
        <v>12</v>
      </c>
      <c r="AX7" s="76" t="s">
        <v>169</v>
      </c>
      <c r="AY7" s="71"/>
      <c r="AZ7" s="72"/>
      <c r="BA7" s="76"/>
      <c r="BB7" s="76" t="s">
        <v>207</v>
      </c>
      <c r="BC7" s="71"/>
      <c r="BD7" t="s">
        <v>165</v>
      </c>
      <c r="BE7" t="s">
        <v>210</v>
      </c>
    </row>
    <row r="8" spans="1:57" x14ac:dyDescent="0.15">
      <c r="A8" s="70">
        <v>405</v>
      </c>
      <c r="B8" s="97">
        <v>41101</v>
      </c>
      <c r="C8" s="71" t="s">
        <v>124</v>
      </c>
      <c r="D8" s="72" t="s">
        <v>166</v>
      </c>
      <c r="E8" s="73">
        <v>41090</v>
      </c>
      <c r="F8" s="71" t="s">
        <v>85</v>
      </c>
      <c r="G8" s="72" t="s">
        <v>153</v>
      </c>
      <c r="H8" s="72">
        <v>65</v>
      </c>
      <c r="I8" s="74" t="s">
        <v>255</v>
      </c>
      <c r="J8" s="75">
        <v>4500</v>
      </c>
      <c r="K8" s="96">
        <v>4500</v>
      </c>
      <c r="L8" s="72"/>
      <c r="M8" s="72"/>
      <c r="N8" s="72"/>
      <c r="O8" s="72">
        <v>3.645</v>
      </c>
      <c r="P8" s="72">
        <v>1.633</v>
      </c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6" t="s">
        <v>207</v>
      </c>
      <c r="AH8" s="76"/>
      <c r="AI8" s="76"/>
      <c r="AJ8" s="76"/>
      <c r="AK8" s="76">
        <v>0</v>
      </c>
      <c r="AL8" s="76">
        <v>0</v>
      </c>
      <c r="AM8" s="76">
        <v>0</v>
      </c>
      <c r="AN8" s="76">
        <v>10</v>
      </c>
      <c r="AO8" s="76">
        <v>0</v>
      </c>
      <c r="AP8" s="76">
        <v>0</v>
      </c>
      <c r="AQ8" s="76">
        <v>0</v>
      </c>
      <c r="AR8" s="76">
        <v>0</v>
      </c>
      <c r="AS8" s="76">
        <v>0</v>
      </c>
      <c r="AT8" s="76">
        <v>0</v>
      </c>
      <c r="AU8" s="72">
        <v>0</v>
      </c>
      <c r="AV8" s="76" t="s">
        <v>207</v>
      </c>
      <c r="AW8" s="76">
        <v>12</v>
      </c>
      <c r="AX8" s="76" t="s">
        <v>207</v>
      </c>
      <c r="AY8" s="71"/>
      <c r="AZ8" s="72"/>
      <c r="BA8" s="76"/>
      <c r="BB8" s="76" t="s">
        <v>207</v>
      </c>
      <c r="BC8" s="71"/>
      <c r="BD8" t="s">
        <v>155</v>
      </c>
      <c r="BE8" t="s">
        <v>210</v>
      </c>
    </row>
    <row r="9" spans="1:57" x14ac:dyDescent="0.15">
      <c r="A9" s="70">
        <v>409</v>
      </c>
      <c r="B9" s="97">
        <v>41101</v>
      </c>
      <c r="C9" s="71" t="s">
        <v>211</v>
      </c>
      <c r="D9" s="72" t="s">
        <v>156</v>
      </c>
      <c r="E9" s="73">
        <v>41090</v>
      </c>
      <c r="F9" s="71" t="s">
        <v>86</v>
      </c>
      <c r="G9" s="72" t="s">
        <v>87</v>
      </c>
      <c r="H9" s="72">
        <v>65</v>
      </c>
      <c r="I9" s="74" t="s">
        <v>255</v>
      </c>
      <c r="J9" s="75">
        <v>4500</v>
      </c>
      <c r="K9" s="96">
        <v>4500</v>
      </c>
      <c r="L9" s="72"/>
      <c r="M9" s="72"/>
      <c r="N9" s="72"/>
      <c r="O9" s="72">
        <v>3.645</v>
      </c>
      <c r="P9" s="72">
        <v>1.633</v>
      </c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6" t="s">
        <v>207</v>
      </c>
      <c r="AH9" s="76"/>
      <c r="AI9" s="76"/>
      <c r="AJ9" s="76"/>
      <c r="AK9" s="76">
        <v>0</v>
      </c>
      <c r="AL9" s="76">
        <v>0</v>
      </c>
      <c r="AM9" s="76">
        <v>0</v>
      </c>
      <c r="AN9" s="76">
        <v>10</v>
      </c>
      <c r="AO9" s="76">
        <v>0</v>
      </c>
      <c r="AP9" s="76">
        <v>0</v>
      </c>
      <c r="AQ9" s="76">
        <v>0</v>
      </c>
      <c r="AR9" s="76">
        <v>0</v>
      </c>
      <c r="AS9" s="76">
        <v>0</v>
      </c>
      <c r="AT9" s="76">
        <v>0</v>
      </c>
      <c r="AU9" s="72">
        <v>0</v>
      </c>
      <c r="AV9" s="76" t="s">
        <v>207</v>
      </c>
      <c r="AW9" s="76">
        <v>12</v>
      </c>
      <c r="AX9" s="76" t="s">
        <v>207</v>
      </c>
      <c r="AY9" s="71"/>
      <c r="AZ9" s="72"/>
      <c r="BA9" s="76"/>
      <c r="BB9" s="76" t="s">
        <v>104</v>
      </c>
      <c r="BC9" s="71"/>
      <c r="BD9" t="s">
        <v>157</v>
      </c>
      <c r="BE9" t="s">
        <v>210</v>
      </c>
    </row>
    <row r="10" spans="1:57" x14ac:dyDescent="0.15">
      <c r="A10" s="70">
        <v>413</v>
      </c>
      <c r="B10" s="97">
        <v>41101</v>
      </c>
      <c r="C10" s="71" t="s">
        <v>211</v>
      </c>
      <c r="D10" s="72" t="s">
        <v>158</v>
      </c>
      <c r="E10" s="73">
        <v>41090</v>
      </c>
      <c r="F10" s="71" t="s">
        <v>86</v>
      </c>
      <c r="G10" s="72" t="s">
        <v>87</v>
      </c>
      <c r="H10" s="72">
        <v>65</v>
      </c>
      <c r="I10" s="74" t="s">
        <v>255</v>
      </c>
      <c r="J10" s="75">
        <v>4500</v>
      </c>
      <c r="K10" s="96">
        <v>4500</v>
      </c>
      <c r="L10" s="72"/>
      <c r="M10" s="72"/>
      <c r="N10" s="72"/>
      <c r="O10" s="72">
        <v>3.645</v>
      </c>
      <c r="P10" s="72">
        <v>1.633</v>
      </c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6" t="s">
        <v>207</v>
      </c>
      <c r="AH10" s="76"/>
      <c r="AI10" s="76"/>
      <c r="AJ10" s="76"/>
      <c r="AK10" s="76">
        <v>0</v>
      </c>
      <c r="AL10" s="76">
        <v>0</v>
      </c>
      <c r="AM10" s="76">
        <v>0</v>
      </c>
      <c r="AN10" s="76">
        <v>10</v>
      </c>
      <c r="AO10" s="76">
        <v>0</v>
      </c>
      <c r="AP10" s="76">
        <v>0</v>
      </c>
      <c r="AQ10" s="76">
        <v>0</v>
      </c>
      <c r="AR10" s="76">
        <v>0</v>
      </c>
      <c r="AS10" s="76">
        <v>0</v>
      </c>
      <c r="AT10" s="76">
        <v>0</v>
      </c>
      <c r="AU10" s="72">
        <v>0</v>
      </c>
      <c r="AV10" s="76" t="s">
        <v>207</v>
      </c>
      <c r="AW10" s="76">
        <v>12</v>
      </c>
      <c r="AX10" s="76" t="s">
        <v>207</v>
      </c>
      <c r="AY10" s="71"/>
      <c r="AZ10" s="72"/>
      <c r="BA10" s="76"/>
      <c r="BB10" s="76" t="s">
        <v>207</v>
      </c>
      <c r="BC10" s="71"/>
      <c r="BD10" t="s">
        <v>84</v>
      </c>
      <c r="BE10" t="s">
        <v>210</v>
      </c>
    </row>
  </sheetData>
  <sheetProtection algorithmName="SHA-512" hashValue="z01mSI+zt4y+s6Pb1F12k+tMbPEwp9QIOETX0BN5fBh5CM+MZRL5IUuLBtP/tBwc2bUF9Mp9AKyNTDPsVxCCIw==" saltValue="uy4MH3jITGxo25oCtyYKzg==" spinCount="100000" sheet="1" objects="1" scenarios="1"/>
  <phoneticPr fontId="7" type="noConversion"/>
  <pageMargins left="0.75" right="0.75" top="1" bottom="1" header="0.5" footer="0.5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K46"/>
  <sheetViews>
    <sheetView workbookViewId="0">
      <selection activeCell="C19" sqref="C19"/>
    </sheetView>
  </sheetViews>
  <sheetFormatPr baseColWidth="10" defaultRowHeight="13" x14ac:dyDescent="0.15"/>
  <cols>
    <col min="4" max="4" width="2.5" customWidth="1"/>
  </cols>
  <sheetData>
    <row r="1" spans="1:11" x14ac:dyDescent="0.15">
      <c r="A1" t="s">
        <v>201</v>
      </c>
    </row>
    <row r="2" spans="1:11" x14ac:dyDescent="0.15">
      <c r="A2" s="67"/>
      <c r="B2" s="68"/>
      <c r="C2" s="68"/>
      <c r="D2" s="68"/>
      <c r="E2" s="68"/>
      <c r="F2" s="68"/>
      <c r="G2" s="68"/>
      <c r="H2" s="68"/>
      <c r="I2" s="68"/>
      <c r="J2" s="68"/>
      <c r="K2" s="68"/>
    </row>
    <row r="3" spans="1:11" x14ac:dyDescent="0.15">
      <c r="A3" s="3" t="s">
        <v>250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8"/>
      <c r="E4" s="15" t="s">
        <v>292</v>
      </c>
    </row>
    <row r="5" spans="1:11" x14ac:dyDescent="0.15">
      <c r="D5" s="8"/>
    </row>
    <row r="6" spans="1:11" x14ac:dyDescent="0.15">
      <c r="A6" s="6" t="s">
        <v>202</v>
      </c>
      <c r="D6" s="8"/>
      <c r="E6" s="11" t="s">
        <v>269</v>
      </c>
      <c r="F6" s="16" t="s">
        <v>213</v>
      </c>
      <c r="G6" s="11" t="s">
        <v>133</v>
      </c>
      <c r="H6" s="11" t="s">
        <v>273</v>
      </c>
      <c r="I6" s="11" t="s">
        <v>233</v>
      </c>
    </row>
    <row r="7" spans="1:11" x14ac:dyDescent="0.15">
      <c r="A7" t="s">
        <v>131</v>
      </c>
      <c r="D7" s="8"/>
      <c r="E7" s="10">
        <v>4500</v>
      </c>
      <c r="F7" s="10">
        <v>2500</v>
      </c>
      <c r="G7" s="10">
        <v>2500</v>
      </c>
      <c r="H7" s="10">
        <v>4500</v>
      </c>
      <c r="I7" s="10">
        <v>4500</v>
      </c>
    </row>
    <row r="8" spans="1:11" x14ac:dyDescent="0.15">
      <c r="A8" s="7" t="s">
        <v>160</v>
      </c>
      <c r="B8" s="7"/>
      <c r="C8" s="7"/>
      <c r="D8" s="21"/>
      <c r="E8" s="9">
        <v>4500</v>
      </c>
      <c r="F8" s="9">
        <v>4500</v>
      </c>
      <c r="G8" s="9">
        <v>4500</v>
      </c>
      <c r="H8" s="9">
        <v>4500</v>
      </c>
      <c r="I8" s="9">
        <v>4500</v>
      </c>
    </row>
    <row r="9" spans="1:11" x14ac:dyDescent="0.15">
      <c r="A9" t="s">
        <v>203</v>
      </c>
      <c r="D9" s="8"/>
      <c r="E9" s="10">
        <v>4.117</v>
      </c>
      <c r="F9" s="10">
        <v>4.2610000000000001</v>
      </c>
      <c r="G9">
        <v>4</v>
      </c>
      <c r="H9">
        <v>3.49</v>
      </c>
      <c r="I9">
        <v>4.08</v>
      </c>
    </row>
    <row r="10" spans="1:11" x14ac:dyDescent="0.15">
      <c r="A10" t="s">
        <v>279</v>
      </c>
      <c r="D10" s="8"/>
      <c r="E10" s="10">
        <v>0</v>
      </c>
      <c r="F10" s="10">
        <v>3.5369999999999999</v>
      </c>
      <c r="G10">
        <v>3.98</v>
      </c>
      <c r="H10">
        <v>0</v>
      </c>
      <c r="I10">
        <v>0</v>
      </c>
    </row>
    <row r="11" spans="1:11" x14ac:dyDescent="0.15">
      <c r="A11" t="s">
        <v>226</v>
      </c>
      <c r="D11" s="8"/>
      <c r="E11" s="10">
        <v>1.8819999999999999</v>
      </c>
      <c r="F11" s="10">
        <v>1.7450000000000001</v>
      </c>
      <c r="G11">
        <v>2.5</v>
      </c>
      <c r="H11">
        <v>2.38</v>
      </c>
      <c r="I11">
        <v>2.12</v>
      </c>
    </row>
    <row r="12" spans="1:11" x14ac:dyDescent="0.15">
      <c r="A12" t="s">
        <v>214</v>
      </c>
      <c r="D12" s="8"/>
      <c r="E12" s="10">
        <v>68.59</v>
      </c>
      <c r="F12" s="10">
        <v>72.459999999999994</v>
      </c>
      <c r="G12">
        <v>86.4</v>
      </c>
      <c r="H12">
        <v>75.680000000000007</v>
      </c>
      <c r="I12">
        <v>72.209999999999994</v>
      </c>
    </row>
    <row r="13" spans="1:11" x14ac:dyDescent="0.15">
      <c r="D13" s="8"/>
    </row>
    <row r="14" spans="1:11" x14ac:dyDescent="0.15">
      <c r="A14" s="6" t="s">
        <v>215</v>
      </c>
      <c r="D14" s="8"/>
    </row>
    <row r="15" spans="1:11" x14ac:dyDescent="0.15">
      <c r="A15" s="7" t="s">
        <v>131</v>
      </c>
      <c r="B15" s="7"/>
      <c r="C15" s="7"/>
      <c r="D15" s="8"/>
      <c r="E15" s="9">
        <v>4500</v>
      </c>
      <c r="F15" s="18" t="s">
        <v>184</v>
      </c>
      <c r="G15" s="18" t="s">
        <v>184</v>
      </c>
      <c r="H15" s="18" t="s">
        <v>184</v>
      </c>
      <c r="I15" s="18" t="s">
        <v>184</v>
      </c>
    </row>
    <row r="16" spans="1:11" x14ac:dyDescent="0.15">
      <c r="A16" t="s">
        <v>203</v>
      </c>
      <c r="D16" s="8"/>
      <c r="E16" s="10">
        <v>4.117</v>
      </c>
      <c r="F16" s="17" t="s">
        <v>184</v>
      </c>
      <c r="G16" s="17" t="s">
        <v>184</v>
      </c>
      <c r="H16" s="17" t="s">
        <v>184</v>
      </c>
      <c r="I16" s="17" t="s">
        <v>184</v>
      </c>
    </row>
    <row r="17" spans="1:9" x14ac:dyDescent="0.15">
      <c r="A17" t="s">
        <v>226</v>
      </c>
      <c r="D17" s="8"/>
      <c r="E17" s="10">
        <v>1.8819999999999999</v>
      </c>
      <c r="F17" s="17" t="s">
        <v>184</v>
      </c>
      <c r="G17" s="17" t="s">
        <v>184</v>
      </c>
      <c r="H17" s="17" t="s">
        <v>184</v>
      </c>
      <c r="I17" s="17" t="s">
        <v>184</v>
      </c>
    </row>
    <row r="18" spans="1:9" x14ac:dyDescent="0.15">
      <c r="A18" t="s">
        <v>214</v>
      </c>
      <c r="D18" s="8"/>
      <c r="E18" s="10">
        <v>68.59</v>
      </c>
      <c r="F18" s="17" t="s">
        <v>184</v>
      </c>
      <c r="G18" s="17" t="s">
        <v>184</v>
      </c>
      <c r="H18" s="17" t="s">
        <v>184</v>
      </c>
      <c r="I18" s="17" t="s">
        <v>184</v>
      </c>
    </row>
    <row r="19" spans="1:9" x14ac:dyDescent="0.15">
      <c r="D19" s="8"/>
    </row>
    <row r="20" spans="1:9" x14ac:dyDescent="0.15">
      <c r="A20" s="6" t="s">
        <v>132</v>
      </c>
      <c r="D20" s="8"/>
    </row>
    <row r="21" spans="1:9" x14ac:dyDescent="0.15">
      <c r="A21" s="7" t="s">
        <v>131</v>
      </c>
      <c r="B21" s="7"/>
      <c r="C21" s="7"/>
      <c r="D21" s="8"/>
      <c r="E21" s="9">
        <v>4500</v>
      </c>
      <c r="F21" s="18" t="s">
        <v>184</v>
      </c>
      <c r="G21" s="18" t="s">
        <v>184</v>
      </c>
      <c r="H21" s="18" t="s">
        <v>184</v>
      </c>
      <c r="I21" s="18" t="s">
        <v>184</v>
      </c>
    </row>
    <row r="22" spans="1:9" x14ac:dyDescent="0.15">
      <c r="A22" t="s">
        <v>203</v>
      </c>
      <c r="D22" s="8"/>
      <c r="E22" s="10">
        <v>4.117</v>
      </c>
      <c r="F22" s="17" t="s">
        <v>184</v>
      </c>
      <c r="G22" s="17" t="s">
        <v>184</v>
      </c>
      <c r="H22" s="17" t="s">
        <v>184</v>
      </c>
      <c r="I22" s="17" t="s">
        <v>184</v>
      </c>
    </row>
    <row r="23" spans="1:9" x14ac:dyDescent="0.15">
      <c r="A23" t="s">
        <v>226</v>
      </c>
      <c r="D23" s="8"/>
      <c r="E23" s="10">
        <v>1.8819999999999999</v>
      </c>
      <c r="F23" s="17" t="s">
        <v>184</v>
      </c>
      <c r="G23" s="17" t="s">
        <v>184</v>
      </c>
      <c r="H23" s="17" t="s">
        <v>184</v>
      </c>
      <c r="I23" s="17" t="s">
        <v>184</v>
      </c>
    </row>
    <row r="24" spans="1:9" x14ac:dyDescent="0.15">
      <c r="A24" t="s">
        <v>214</v>
      </c>
      <c r="D24" s="8"/>
      <c r="E24" s="10">
        <v>68.59</v>
      </c>
      <c r="F24" s="17" t="s">
        <v>184</v>
      </c>
      <c r="G24" s="17" t="s">
        <v>184</v>
      </c>
      <c r="H24" s="17" t="s">
        <v>184</v>
      </c>
      <c r="I24" s="17" t="s">
        <v>184</v>
      </c>
    </row>
    <row r="25" spans="1:9" x14ac:dyDescent="0.15">
      <c r="D25" s="8"/>
    </row>
    <row r="26" spans="1:9" x14ac:dyDescent="0.15">
      <c r="A26" s="6" t="s">
        <v>205</v>
      </c>
      <c r="D26" s="8"/>
    </row>
    <row r="27" spans="1:9" x14ac:dyDescent="0.15">
      <c r="A27" s="7" t="s">
        <v>131</v>
      </c>
      <c r="B27" s="7"/>
      <c r="C27" s="7"/>
      <c r="D27" s="8"/>
      <c r="E27" s="9">
        <v>4500</v>
      </c>
      <c r="F27" s="18" t="s">
        <v>184</v>
      </c>
      <c r="G27" s="18" t="s">
        <v>184</v>
      </c>
      <c r="H27" s="18" t="s">
        <v>184</v>
      </c>
      <c r="I27" s="18" t="s">
        <v>184</v>
      </c>
    </row>
    <row r="28" spans="1:9" x14ac:dyDescent="0.15">
      <c r="A28" t="s">
        <v>203</v>
      </c>
      <c r="D28" s="8"/>
      <c r="E28" s="10">
        <v>4.117</v>
      </c>
      <c r="F28" s="17" t="s">
        <v>184</v>
      </c>
      <c r="G28" s="17" t="s">
        <v>184</v>
      </c>
      <c r="H28" s="17" t="s">
        <v>184</v>
      </c>
      <c r="I28" s="17" t="s">
        <v>184</v>
      </c>
    </row>
    <row r="29" spans="1:9" x14ac:dyDescent="0.15">
      <c r="A29" t="s">
        <v>226</v>
      </c>
      <c r="D29" s="8"/>
      <c r="E29" s="10">
        <v>1.8819999999999999</v>
      </c>
      <c r="F29" s="17" t="s">
        <v>184</v>
      </c>
      <c r="G29" s="17" t="s">
        <v>184</v>
      </c>
      <c r="H29" s="17" t="s">
        <v>184</v>
      </c>
      <c r="I29" s="17" t="s">
        <v>184</v>
      </c>
    </row>
    <row r="30" spans="1:9" x14ac:dyDescent="0.15">
      <c r="A30" t="s">
        <v>214</v>
      </c>
      <c r="D30" s="8"/>
      <c r="E30" s="10">
        <v>68.59</v>
      </c>
      <c r="F30" s="17" t="s">
        <v>184</v>
      </c>
      <c r="G30" s="17" t="s">
        <v>184</v>
      </c>
      <c r="H30" s="17" t="s">
        <v>184</v>
      </c>
      <c r="I30" s="17" t="s">
        <v>184</v>
      </c>
    </row>
    <row r="31" spans="1:9" x14ac:dyDescent="0.15">
      <c r="D31" s="8"/>
    </row>
    <row r="32" spans="1:9" x14ac:dyDescent="0.15">
      <c r="A32" s="6" t="s">
        <v>268</v>
      </c>
      <c r="D32" s="8"/>
    </row>
    <row r="33" spans="1:9" x14ac:dyDescent="0.15">
      <c r="A33" s="7" t="s">
        <v>131</v>
      </c>
      <c r="B33" s="7"/>
      <c r="C33" s="7"/>
      <c r="D33" s="8"/>
      <c r="E33" s="9">
        <v>4500</v>
      </c>
      <c r="F33" s="18" t="s">
        <v>184</v>
      </c>
      <c r="G33" s="18" t="s">
        <v>184</v>
      </c>
      <c r="H33" s="18" t="s">
        <v>184</v>
      </c>
      <c r="I33" s="18" t="s">
        <v>184</v>
      </c>
    </row>
    <row r="34" spans="1:9" x14ac:dyDescent="0.15">
      <c r="A34" t="s">
        <v>203</v>
      </c>
      <c r="D34" s="8"/>
      <c r="E34" s="10">
        <v>4.117</v>
      </c>
      <c r="F34" s="17" t="s">
        <v>184</v>
      </c>
      <c r="G34" s="17" t="s">
        <v>184</v>
      </c>
      <c r="H34" s="17" t="s">
        <v>184</v>
      </c>
      <c r="I34" s="17" t="s">
        <v>184</v>
      </c>
    </row>
    <row r="35" spans="1:9" x14ac:dyDescent="0.15">
      <c r="A35" t="s">
        <v>226</v>
      </c>
      <c r="D35" s="8"/>
      <c r="E35" s="10">
        <v>1.8819999999999999</v>
      </c>
      <c r="F35" s="17" t="s">
        <v>184</v>
      </c>
      <c r="G35" s="17" t="s">
        <v>184</v>
      </c>
      <c r="H35" s="17" t="s">
        <v>184</v>
      </c>
      <c r="I35" s="17" t="s">
        <v>184</v>
      </c>
    </row>
    <row r="36" spans="1:9" x14ac:dyDescent="0.15">
      <c r="A36" t="s">
        <v>214</v>
      </c>
      <c r="D36" s="8"/>
      <c r="E36" s="10">
        <v>68.59</v>
      </c>
      <c r="F36" s="17" t="s">
        <v>184</v>
      </c>
      <c r="G36" s="17" t="s">
        <v>184</v>
      </c>
      <c r="H36" s="17" t="s">
        <v>184</v>
      </c>
      <c r="I36" s="17" t="s">
        <v>184</v>
      </c>
    </row>
    <row r="37" spans="1:9" x14ac:dyDescent="0.15">
      <c r="D37" s="8"/>
    </row>
    <row r="38" spans="1:9" x14ac:dyDescent="0.15">
      <c r="A38" s="8"/>
      <c r="B38" s="8"/>
      <c r="C38" s="8"/>
      <c r="D38" s="8"/>
      <c r="E38" s="8"/>
      <c r="F38" s="8"/>
      <c r="G38" s="8"/>
      <c r="H38" s="8"/>
      <c r="I38" s="8"/>
    </row>
    <row r="39" spans="1:9" x14ac:dyDescent="0.15">
      <c r="A39" s="6" t="s">
        <v>161</v>
      </c>
      <c r="D39" s="8"/>
      <c r="E39" s="11" t="s">
        <v>269</v>
      </c>
      <c r="F39" s="16" t="s">
        <v>213</v>
      </c>
      <c r="G39" s="11" t="s">
        <v>133</v>
      </c>
      <c r="H39" s="11" t="s">
        <v>273</v>
      </c>
      <c r="I39" s="11" t="s">
        <v>233</v>
      </c>
    </row>
    <row r="40" spans="1:9" x14ac:dyDescent="0.15">
      <c r="A40" t="s">
        <v>248</v>
      </c>
      <c r="D40" s="8"/>
      <c r="E40" t="s">
        <v>284</v>
      </c>
      <c r="F40" s="14" t="s">
        <v>239</v>
      </c>
      <c r="G40" t="s">
        <v>284</v>
      </c>
      <c r="H40" s="12" t="s">
        <v>197</v>
      </c>
      <c r="I40" s="12" t="s">
        <v>283</v>
      </c>
    </row>
    <row r="41" spans="1:9" x14ac:dyDescent="0.15">
      <c r="A41" t="s">
        <v>236</v>
      </c>
      <c r="D41" s="8"/>
      <c r="E41" s="12" t="s">
        <v>285</v>
      </c>
      <c r="F41" s="12" t="s">
        <v>240</v>
      </c>
      <c r="G41" s="12" t="s">
        <v>285</v>
      </c>
      <c r="H41" s="12" t="s">
        <v>254</v>
      </c>
      <c r="I41" s="12" t="s">
        <v>283</v>
      </c>
    </row>
    <row r="42" spans="1:9" x14ac:dyDescent="0.15">
      <c r="A42" t="s">
        <v>258</v>
      </c>
      <c r="D42" s="8"/>
      <c r="E42" s="13" t="s">
        <v>284</v>
      </c>
      <c r="F42" s="12" t="s">
        <v>241</v>
      </c>
      <c r="G42" s="13" t="s">
        <v>284</v>
      </c>
      <c r="H42" s="13" t="s">
        <v>282</v>
      </c>
      <c r="I42" s="13" t="s">
        <v>283</v>
      </c>
    </row>
    <row r="43" spans="1:9" x14ac:dyDescent="0.15">
      <c r="A43" t="s">
        <v>198</v>
      </c>
      <c r="D43" s="8"/>
      <c r="E43" s="12" t="s">
        <v>265</v>
      </c>
      <c r="F43" s="12" t="s">
        <v>238</v>
      </c>
      <c r="G43" s="14" t="s">
        <v>242</v>
      </c>
      <c r="H43" s="14" t="s">
        <v>281</v>
      </c>
      <c r="I43" s="14" t="s">
        <v>235</v>
      </c>
    </row>
    <row r="44" spans="1:9" x14ac:dyDescent="0.15">
      <c r="A44" t="s">
        <v>267</v>
      </c>
      <c r="D44" s="8"/>
      <c r="E44" s="13">
        <v>12</v>
      </c>
      <c r="F44" s="13">
        <v>12.73</v>
      </c>
      <c r="G44" s="13">
        <v>12</v>
      </c>
      <c r="H44" s="14" t="s">
        <v>283</v>
      </c>
      <c r="I44" t="s">
        <v>283</v>
      </c>
    </row>
    <row r="45" spans="1:9" x14ac:dyDescent="0.15">
      <c r="A45" t="s">
        <v>287</v>
      </c>
      <c r="D45" s="8"/>
      <c r="E45" s="12" t="s">
        <v>266</v>
      </c>
      <c r="F45" s="12" t="s">
        <v>183</v>
      </c>
      <c r="G45" s="12" t="s">
        <v>197</v>
      </c>
      <c r="H45" s="12" t="s">
        <v>122</v>
      </c>
      <c r="I45" s="12" t="s">
        <v>283</v>
      </c>
    </row>
    <row r="46" spans="1:9" x14ac:dyDescent="0.15">
      <c r="A46" s="8"/>
      <c r="B46" s="8"/>
      <c r="C46" s="8"/>
      <c r="D46" s="8"/>
      <c r="E46" s="8"/>
      <c r="F46" s="8"/>
      <c r="G46" s="8"/>
      <c r="H46" s="8"/>
      <c r="I46" s="8"/>
    </row>
  </sheetData>
  <sheetProtection algorithmName="SHA-512" hashValue="WP4Vi1TCFV1msBxvwuyC8rDOQyhRg0C7P9DIhzsZCVtYqUGL0G8gTEgtZdAlAyzfzFdKysQ4ybhiY6Rcl8pZDw==" saltValue="vHVAsPzyaadilSN3+kF+XA==" spinCount="100000" sheet="1" objects="1" scenarios="1"/>
  <phoneticPr fontId="7" type="noConversion"/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K46"/>
  <sheetViews>
    <sheetView workbookViewId="0">
      <selection activeCell="J23" sqref="J23"/>
    </sheetView>
  </sheetViews>
  <sheetFormatPr baseColWidth="10" defaultRowHeight="13" x14ac:dyDescent="0.15"/>
  <cols>
    <col min="4" max="4" width="2.5" customWidth="1"/>
  </cols>
  <sheetData>
    <row r="1" spans="1:11" x14ac:dyDescent="0.15">
      <c r="A1" t="s">
        <v>201</v>
      </c>
    </row>
    <row r="2" spans="1:11" x14ac:dyDescent="0.15">
      <c r="A2" s="63"/>
      <c r="B2" s="64"/>
      <c r="C2" s="64"/>
      <c r="D2" s="64"/>
      <c r="E2" s="64"/>
      <c r="F2" s="64"/>
      <c r="G2" s="64"/>
      <c r="H2" s="64"/>
      <c r="I2" s="64"/>
      <c r="J2" s="64"/>
      <c r="K2" s="64"/>
    </row>
    <row r="3" spans="1:11" x14ac:dyDescent="0.15">
      <c r="A3" s="3" t="s">
        <v>250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8"/>
      <c r="E4" s="15" t="s">
        <v>193</v>
      </c>
    </row>
    <row r="5" spans="1:11" x14ac:dyDescent="0.15">
      <c r="D5" s="8"/>
    </row>
    <row r="6" spans="1:11" x14ac:dyDescent="0.15">
      <c r="A6" s="6" t="s">
        <v>202</v>
      </c>
      <c r="D6" s="8"/>
      <c r="E6" s="16" t="s">
        <v>213</v>
      </c>
      <c r="F6" s="11" t="s">
        <v>269</v>
      </c>
      <c r="G6" s="11" t="s">
        <v>133</v>
      </c>
      <c r="H6" s="11" t="s">
        <v>273</v>
      </c>
      <c r="I6" s="11" t="s">
        <v>233</v>
      </c>
    </row>
    <row r="7" spans="1:11" x14ac:dyDescent="0.15">
      <c r="A7" t="s">
        <v>131</v>
      </c>
      <c r="D7" s="8"/>
      <c r="E7" s="10">
        <v>2500</v>
      </c>
      <c r="F7" s="10">
        <v>4500</v>
      </c>
      <c r="G7" s="10">
        <v>2500</v>
      </c>
      <c r="H7" s="10">
        <v>4500</v>
      </c>
      <c r="I7" s="10">
        <v>4500</v>
      </c>
    </row>
    <row r="8" spans="1:11" x14ac:dyDescent="0.15">
      <c r="A8" s="7" t="s">
        <v>160</v>
      </c>
      <c r="B8" s="7"/>
      <c r="C8" s="7"/>
      <c r="D8" s="21"/>
      <c r="E8" s="9">
        <v>4500</v>
      </c>
      <c r="F8" s="9">
        <v>4500</v>
      </c>
      <c r="G8" s="9">
        <v>4500</v>
      </c>
      <c r="H8" s="9">
        <v>4500</v>
      </c>
      <c r="I8" s="9">
        <v>4500</v>
      </c>
    </row>
    <row r="9" spans="1:11" x14ac:dyDescent="0.15">
      <c r="A9" t="s">
        <v>203</v>
      </c>
      <c r="D9" s="8"/>
      <c r="E9" s="10">
        <v>4.6508000000000003</v>
      </c>
      <c r="F9" s="10">
        <v>4.5540000000000003</v>
      </c>
      <c r="G9">
        <v>4.4770000000000003</v>
      </c>
      <c r="H9">
        <v>3.5287999999999999</v>
      </c>
      <c r="I9">
        <v>3.9159999999999999</v>
      </c>
    </row>
    <row r="10" spans="1:11" x14ac:dyDescent="0.15">
      <c r="A10" t="s">
        <v>279</v>
      </c>
      <c r="D10" s="8"/>
      <c r="E10" s="10">
        <v>3.9699</v>
      </c>
      <c r="F10" s="10">
        <v>0</v>
      </c>
      <c r="G10">
        <v>4.4550000000000001</v>
      </c>
      <c r="H10">
        <v>0</v>
      </c>
      <c r="I10">
        <v>0</v>
      </c>
    </row>
    <row r="11" spans="1:11" x14ac:dyDescent="0.15">
      <c r="A11" t="s">
        <v>226</v>
      </c>
      <c r="D11" s="8"/>
      <c r="E11" s="10">
        <v>2.0074999999999998</v>
      </c>
      <c r="F11" s="10">
        <v>2.2121</v>
      </c>
      <c r="G11">
        <v>2.64</v>
      </c>
      <c r="H11">
        <v>2.4045999999999998</v>
      </c>
      <c r="I11">
        <v>2.0459999999999998</v>
      </c>
    </row>
    <row r="12" spans="1:11" x14ac:dyDescent="0.15">
      <c r="A12" t="s">
        <v>214</v>
      </c>
      <c r="D12" s="8"/>
      <c r="E12" s="10">
        <v>79.816000000000003</v>
      </c>
      <c r="F12" s="10">
        <v>74.942999999999998</v>
      </c>
      <c r="G12">
        <v>99</v>
      </c>
      <c r="H12">
        <v>86.469899999999996</v>
      </c>
      <c r="I12">
        <v>83.941000000000003</v>
      </c>
    </row>
    <row r="13" spans="1:11" x14ac:dyDescent="0.15">
      <c r="D13" s="8"/>
    </row>
    <row r="14" spans="1:11" x14ac:dyDescent="0.15">
      <c r="A14" s="6" t="s">
        <v>215</v>
      </c>
      <c r="D14" s="8"/>
    </row>
    <row r="15" spans="1:11" x14ac:dyDescent="0.15">
      <c r="A15" s="7" t="s">
        <v>131</v>
      </c>
      <c r="B15" s="7"/>
      <c r="C15" s="7"/>
      <c r="D15" s="8"/>
      <c r="E15" s="18" t="s">
        <v>184</v>
      </c>
      <c r="F15" s="9">
        <v>4500</v>
      </c>
      <c r="G15" s="18" t="s">
        <v>184</v>
      </c>
      <c r="H15" s="18" t="s">
        <v>184</v>
      </c>
      <c r="I15" s="18" t="s">
        <v>184</v>
      </c>
    </row>
    <row r="16" spans="1:11" x14ac:dyDescent="0.15">
      <c r="A16" t="s">
        <v>203</v>
      </c>
      <c r="D16" s="8"/>
      <c r="E16" s="17" t="s">
        <v>184</v>
      </c>
      <c r="F16" s="10">
        <v>4.5540000000000003</v>
      </c>
      <c r="G16" s="17" t="s">
        <v>184</v>
      </c>
      <c r="H16" s="17" t="s">
        <v>184</v>
      </c>
      <c r="I16" s="17" t="s">
        <v>184</v>
      </c>
    </row>
    <row r="17" spans="1:9" x14ac:dyDescent="0.15">
      <c r="A17" t="s">
        <v>226</v>
      </c>
      <c r="D17" s="8"/>
      <c r="E17" s="17" t="s">
        <v>184</v>
      </c>
      <c r="F17" s="10">
        <v>2.2121</v>
      </c>
      <c r="G17" s="17" t="s">
        <v>184</v>
      </c>
      <c r="H17" s="17" t="s">
        <v>184</v>
      </c>
      <c r="I17" s="17" t="s">
        <v>184</v>
      </c>
    </row>
    <row r="18" spans="1:9" x14ac:dyDescent="0.15">
      <c r="A18" t="s">
        <v>214</v>
      </c>
      <c r="D18" s="8"/>
      <c r="E18" s="17" t="s">
        <v>184</v>
      </c>
      <c r="F18" s="10">
        <v>74.942999999999998</v>
      </c>
      <c r="G18" s="17" t="s">
        <v>184</v>
      </c>
      <c r="H18" s="17" t="s">
        <v>184</v>
      </c>
      <c r="I18" s="17" t="s">
        <v>184</v>
      </c>
    </row>
    <row r="19" spans="1:9" x14ac:dyDescent="0.15">
      <c r="D19" s="8"/>
    </row>
    <row r="20" spans="1:9" x14ac:dyDescent="0.15">
      <c r="A20" s="6" t="s">
        <v>132</v>
      </c>
      <c r="D20" s="8"/>
    </row>
    <row r="21" spans="1:9" x14ac:dyDescent="0.15">
      <c r="A21" s="7" t="s">
        <v>131</v>
      </c>
      <c r="B21" s="7"/>
      <c r="C21" s="7"/>
      <c r="D21" s="8"/>
      <c r="E21" s="18" t="s">
        <v>184</v>
      </c>
      <c r="F21" s="9">
        <v>4500</v>
      </c>
      <c r="G21" s="18" t="s">
        <v>184</v>
      </c>
      <c r="H21" s="18" t="s">
        <v>184</v>
      </c>
      <c r="I21" s="18" t="s">
        <v>184</v>
      </c>
    </row>
    <row r="22" spans="1:9" x14ac:dyDescent="0.15">
      <c r="A22" t="s">
        <v>203</v>
      </c>
      <c r="D22" s="8"/>
      <c r="E22" s="17" t="s">
        <v>184</v>
      </c>
      <c r="F22" s="10">
        <v>4.5540000000000003</v>
      </c>
      <c r="G22" s="17" t="s">
        <v>184</v>
      </c>
      <c r="H22" s="17" t="s">
        <v>184</v>
      </c>
      <c r="I22" s="17" t="s">
        <v>184</v>
      </c>
    </row>
    <row r="23" spans="1:9" x14ac:dyDescent="0.15">
      <c r="A23" t="s">
        <v>226</v>
      </c>
      <c r="D23" s="8"/>
      <c r="E23" s="17" t="s">
        <v>184</v>
      </c>
      <c r="F23" s="10">
        <v>2.2121</v>
      </c>
      <c r="G23" s="17" t="s">
        <v>184</v>
      </c>
      <c r="H23" s="17" t="s">
        <v>184</v>
      </c>
      <c r="I23" s="17" t="s">
        <v>184</v>
      </c>
    </row>
    <row r="24" spans="1:9" x14ac:dyDescent="0.15">
      <c r="A24" t="s">
        <v>214</v>
      </c>
      <c r="D24" s="8"/>
      <c r="E24" s="17" t="s">
        <v>184</v>
      </c>
      <c r="F24" s="10">
        <v>74.942999999999998</v>
      </c>
      <c r="G24" s="17" t="s">
        <v>184</v>
      </c>
      <c r="H24" s="17" t="s">
        <v>184</v>
      </c>
      <c r="I24" s="17" t="s">
        <v>184</v>
      </c>
    </row>
    <row r="25" spans="1:9" x14ac:dyDescent="0.15">
      <c r="D25" s="8"/>
    </row>
    <row r="26" spans="1:9" x14ac:dyDescent="0.15">
      <c r="A26" s="6" t="s">
        <v>205</v>
      </c>
      <c r="D26" s="8"/>
    </row>
    <row r="27" spans="1:9" x14ac:dyDescent="0.15">
      <c r="A27" s="7" t="s">
        <v>131</v>
      </c>
      <c r="B27" s="7"/>
      <c r="C27" s="7"/>
      <c r="D27" s="8"/>
      <c r="E27" s="18" t="s">
        <v>184</v>
      </c>
      <c r="F27" s="9">
        <v>4500</v>
      </c>
      <c r="G27" s="18" t="s">
        <v>184</v>
      </c>
      <c r="H27" s="18" t="s">
        <v>184</v>
      </c>
      <c r="I27" s="18" t="s">
        <v>184</v>
      </c>
    </row>
    <row r="28" spans="1:9" x14ac:dyDescent="0.15">
      <c r="A28" t="s">
        <v>203</v>
      </c>
      <c r="D28" s="8"/>
      <c r="E28" s="17" t="s">
        <v>184</v>
      </c>
      <c r="F28" s="10">
        <v>4.5540000000000003</v>
      </c>
      <c r="G28" s="17" t="s">
        <v>184</v>
      </c>
      <c r="H28" s="17" t="s">
        <v>184</v>
      </c>
      <c r="I28" s="17" t="s">
        <v>184</v>
      </c>
    </row>
    <row r="29" spans="1:9" x14ac:dyDescent="0.15">
      <c r="A29" t="s">
        <v>226</v>
      </c>
      <c r="D29" s="8"/>
      <c r="E29" s="17" t="s">
        <v>184</v>
      </c>
      <c r="F29" s="10">
        <v>2.2121</v>
      </c>
      <c r="G29" s="17" t="s">
        <v>184</v>
      </c>
      <c r="H29" s="17" t="s">
        <v>184</v>
      </c>
      <c r="I29" s="17" t="s">
        <v>184</v>
      </c>
    </row>
    <row r="30" spans="1:9" x14ac:dyDescent="0.15">
      <c r="A30" t="s">
        <v>214</v>
      </c>
      <c r="D30" s="8"/>
      <c r="E30" s="17" t="s">
        <v>184</v>
      </c>
      <c r="F30" s="10">
        <v>74.942999999999998</v>
      </c>
      <c r="G30" s="17" t="s">
        <v>184</v>
      </c>
      <c r="H30" s="17" t="s">
        <v>184</v>
      </c>
      <c r="I30" s="17" t="s">
        <v>184</v>
      </c>
    </row>
    <row r="31" spans="1:9" x14ac:dyDescent="0.15">
      <c r="D31" s="8"/>
    </row>
    <row r="32" spans="1:9" x14ac:dyDescent="0.15">
      <c r="A32" s="6" t="s">
        <v>268</v>
      </c>
      <c r="D32" s="8"/>
    </row>
    <row r="33" spans="1:9" x14ac:dyDescent="0.15">
      <c r="A33" s="7" t="s">
        <v>131</v>
      </c>
      <c r="B33" s="7"/>
      <c r="C33" s="7"/>
      <c r="D33" s="8"/>
      <c r="E33" s="18" t="s">
        <v>184</v>
      </c>
      <c r="F33" s="9">
        <v>4500</v>
      </c>
      <c r="G33" s="18" t="s">
        <v>184</v>
      </c>
      <c r="H33" s="18" t="s">
        <v>184</v>
      </c>
      <c r="I33" s="18" t="s">
        <v>184</v>
      </c>
    </row>
    <row r="34" spans="1:9" x14ac:dyDescent="0.15">
      <c r="A34" t="s">
        <v>203</v>
      </c>
      <c r="D34" s="8"/>
      <c r="E34" s="17" t="s">
        <v>184</v>
      </c>
      <c r="F34" s="10">
        <v>4.5540000000000003</v>
      </c>
      <c r="G34" s="17" t="s">
        <v>184</v>
      </c>
      <c r="H34" s="17" t="s">
        <v>184</v>
      </c>
      <c r="I34" s="17" t="s">
        <v>184</v>
      </c>
    </row>
    <row r="35" spans="1:9" x14ac:dyDescent="0.15">
      <c r="A35" t="s">
        <v>226</v>
      </c>
      <c r="D35" s="8"/>
      <c r="E35" s="17" t="s">
        <v>184</v>
      </c>
      <c r="F35" s="10">
        <v>2.2121</v>
      </c>
      <c r="G35" s="17" t="s">
        <v>184</v>
      </c>
      <c r="H35" s="17" t="s">
        <v>184</v>
      </c>
      <c r="I35" s="17" t="s">
        <v>184</v>
      </c>
    </row>
    <row r="36" spans="1:9" x14ac:dyDescent="0.15">
      <c r="A36" t="s">
        <v>214</v>
      </c>
      <c r="D36" s="8"/>
      <c r="E36" s="17" t="s">
        <v>184</v>
      </c>
      <c r="F36" s="10">
        <v>74.942999999999998</v>
      </c>
      <c r="G36" s="17" t="s">
        <v>184</v>
      </c>
      <c r="H36" s="17" t="s">
        <v>184</v>
      </c>
      <c r="I36" s="17" t="s">
        <v>184</v>
      </c>
    </row>
    <row r="37" spans="1:9" x14ac:dyDescent="0.15">
      <c r="D37" s="8"/>
    </row>
    <row r="38" spans="1:9" x14ac:dyDescent="0.15">
      <c r="A38" s="8"/>
      <c r="B38" s="8"/>
      <c r="C38" s="8"/>
      <c r="D38" s="8"/>
      <c r="E38" s="8"/>
      <c r="F38" s="8"/>
      <c r="G38" s="8"/>
      <c r="H38" s="8"/>
      <c r="I38" s="8"/>
    </row>
    <row r="39" spans="1:9" x14ac:dyDescent="0.15">
      <c r="A39" s="6" t="s">
        <v>161</v>
      </c>
      <c r="D39" s="8"/>
      <c r="E39" s="16" t="s">
        <v>213</v>
      </c>
      <c r="F39" s="11" t="s">
        <v>269</v>
      </c>
      <c r="G39" s="11" t="s">
        <v>133</v>
      </c>
      <c r="H39" s="11" t="s">
        <v>273</v>
      </c>
      <c r="I39" s="11" t="s">
        <v>233</v>
      </c>
    </row>
    <row r="40" spans="1:9" x14ac:dyDescent="0.15">
      <c r="A40" t="s">
        <v>248</v>
      </c>
      <c r="D40" s="8"/>
      <c r="E40" s="14" t="s">
        <v>259</v>
      </c>
      <c r="F40" t="s">
        <v>284</v>
      </c>
      <c r="G40" s="12" t="s">
        <v>170</v>
      </c>
      <c r="H40" s="12" t="s">
        <v>197</v>
      </c>
      <c r="I40" s="12" t="s">
        <v>283</v>
      </c>
    </row>
    <row r="41" spans="1:9" x14ac:dyDescent="0.15">
      <c r="A41" t="s">
        <v>236</v>
      </c>
      <c r="D41" s="8"/>
      <c r="E41" s="12" t="s">
        <v>254</v>
      </c>
      <c r="F41" s="12" t="s">
        <v>285</v>
      </c>
      <c r="G41" s="12" t="s">
        <v>286</v>
      </c>
      <c r="H41" s="12" t="s">
        <v>254</v>
      </c>
      <c r="I41" s="12" t="s">
        <v>283</v>
      </c>
    </row>
    <row r="42" spans="1:9" x14ac:dyDescent="0.15">
      <c r="A42" t="s">
        <v>258</v>
      </c>
      <c r="D42" s="8"/>
      <c r="E42" s="12" t="s">
        <v>195</v>
      </c>
      <c r="F42" s="13" t="s">
        <v>284</v>
      </c>
      <c r="G42" s="13" t="s">
        <v>176</v>
      </c>
      <c r="H42" s="13" t="s">
        <v>282</v>
      </c>
      <c r="I42" s="13" t="s">
        <v>283</v>
      </c>
    </row>
    <row r="43" spans="1:9" x14ac:dyDescent="0.15">
      <c r="A43" t="s">
        <v>198</v>
      </c>
      <c r="D43" s="8"/>
      <c r="E43" s="12" t="s">
        <v>260</v>
      </c>
      <c r="F43" s="12" t="s">
        <v>171</v>
      </c>
      <c r="G43" s="14" t="s">
        <v>261</v>
      </c>
      <c r="H43" s="14" t="s">
        <v>281</v>
      </c>
      <c r="I43" s="14" t="s">
        <v>235</v>
      </c>
    </row>
    <row r="44" spans="1:9" x14ac:dyDescent="0.15">
      <c r="A44" t="s">
        <v>267</v>
      </c>
      <c r="D44" s="8"/>
      <c r="E44" s="13">
        <v>14</v>
      </c>
      <c r="F44" s="13">
        <v>12</v>
      </c>
      <c r="G44" s="14" t="s">
        <v>283</v>
      </c>
      <c r="H44" s="14" t="s">
        <v>283</v>
      </c>
      <c r="I44" t="s">
        <v>283</v>
      </c>
    </row>
    <row r="45" spans="1:9" x14ac:dyDescent="0.15">
      <c r="A45" t="s">
        <v>287</v>
      </c>
      <c r="D45" s="8"/>
      <c r="E45" s="12" t="s">
        <v>183</v>
      </c>
      <c r="F45" s="12" t="s">
        <v>183</v>
      </c>
      <c r="G45" s="12" t="s">
        <v>197</v>
      </c>
      <c r="H45" s="12" t="s">
        <v>122</v>
      </c>
      <c r="I45" s="12" t="s">
        <v>283</v>
      </c>
    </row>
    <row r="46" spans="1:9" x14ac:dyDescent="0.15">
      <c r="A46" s="8"/>
      <c r="B46" s="8"/>
      <c r="C46" s="8"/>
      <c r="D46" s="8"/>
      <c r="E46" s="8"/>
      <c r="F46" s="8"/>
      <c r="G46" s="8"/>
      <c r="H46" s="8"/>
      <c r="I46" s="8"/>
    </row>
  </sheetData>
  <sheetProtection algorithmName="SHA-512" hashValue="ZPr0YBunSqElF8zh90N0aJs9AzNhMZhzirYtk8TL9WZ0VPEFSFN/7qhb81infgyjsqgvsltFeAnDJ2TVwnBGoQ==" saltValue="cPYDLi2++zfxwwSym02qzA==" spinCount="100000" sheet="1" objects="1" scenarios="1"/>
  <phoneticPr fontId="7" type="noConversion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K46"/>
  <sheetViews>
    <sheetView workbookViewId="0">
      <selection activeCell="K27" sqref="K27"/>
    </sheetView>
  </sheetViews>
  <sheetFormatPr baseColWidth="10" defaultRowHeight="13" x14ac:dyDescent="0.15"/>
  <cols>
    <col min="4" max="4" width="2.5" customWidth="1"/>
  </cols>
  <sheetData>
    <row r="1" spans="1:11" x14ac:dyDescent="0.15">
      <c r="A1" t="s">
        <v>201</v>
      </c>
    </row>
    <row r="2" spans="1:11" x14ac:dyDescent="0.15">
      <c r="A2" s="19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x14ac:dyDescent="0.15">
      <c r="A3" s="3" t="s">
        <v>250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8"/>
      <c r="E4" s="15" t="s">
        <v>222</v>
      </c>
    </row>
    <row r="5" spans="1:11" x14ac:dyDescent="0.15">
      <c r="D5" s="8"/>
    </row>
    <row r="6" spans="1:11" x14ac:dyDescent="0.15">
      <c r="A6" s="6" t="s">
        <v>202</v>
      </c>
      <c r="D6" s="8"/>
      <c r="E6" s="16" t="s">
        <v>213</v>
      </c>
      <c r="F6" s="11" t="s">
        <v>269</v>
      </c>
      <c r="G6" s="11" t="s">
        <v>216</v>
      </c>
      <c r="H6" s="11" t="s">
        <v>273</v>
      </c>
      <c r="I6" s="11" t="s">
        <v>233</v>
      </c>
    </row>
    <row r="7" spans="1:11" x14ac:dyDescent="0.15">
      <c r="A7" t="s">
        <v>131</v>
      </c>
      <c r="D7" s="8"/>
      <c r="E7" s="10">
        <v>2500</v>
      </c>
      <c r="F7" s="10">
        <v>4500</v>
      </c>
      <c r="G7" s="10">
        <v>4500</v>
      </c>
      <c r="H7" s="10">
        <v>4500</v>
      </c>
      <c r="I7" s="10">
        <v>4500</v>
      </c>
    </row>
    <row r="8" spans="1:11" x14ac:dyDescent="0.15">
      <c r="A8" s="7" t="s">
        <v>160</v>
      </c>
      <c r="B8" s="7"/>
      <c r="C8" s="7"/>
      <c r="D8" s="21"/>
      <c r="E8" s="9">
        <v>4500</v>
      </c>
      <c r="F8" s="9">
        <v>4500</v>
      </c>
      <c r="G8" s="9">
        <v>4500</v>
      </c>
      <c r="H8" s="9">
        <v>4500</v>
      </c>
      <c r="I8" s="9">
        <v>4500</v>
      </c>
    </row>
    <row r="9" spans="1:11" x14ac:dyDescent="0.15">
      <c r="A9" t="s">
        <v>203</v>
      </c>
      <c r="D9" s="8"/>
      <c r="E9" s="10">
        <v>4.1547000000000001</v>
      </c>
      <c r="F9" s="10">
        <v>3.9687999999999999</v>
      </c>
      <c r="G9">
        <v>4.1360000000000001</v>
      </c>
      <c r="H9">
        <v>3.5287999999999999</v>
      </c>
      <c r="I9">
        <v>3.9159999999999999</v>
      </c>
    </row>
    <row r="10" spans="1:11" x14ac:dyDescent="0.15">
      <c r="A10" t="s">
        <v>279</v>
      </c>
      <c r="D10" s="8"/>
      <c r="E10" s="10">
        <v>3.6025</v>
      </c>
      <c r="F10" s="10">
        <v>0</v>
      </c>
      <c r="G10">
        <v>0</v>
      </c>
      <c r="H10">
        <v>0</v>
      </c>
      <c r="I10">
        <v>0</v>
      </c>
    </row>
    <row r="11" spans="1:11" x14ac:dyDescent="0.15">
      <c r="A11" t="s">
        <v>226</v>
      </c>
      <c r="D11" s="8"/>
      <c r="E11" s="10">
        <v>1.7721</v>
      </c>
      <c r="F11" s="10">
        <v>1.7512000000000001</v>
      </c>
      <c r="G11">
        <v>2.42</v>
      </c>
      <c r="H11">
        <v>2.4045999999999998</v>
      </c>
      <c r="I11">
        <v>2.0459999999999998</v>
      </c>
    </row>
    <row r="12" spans="1:11" x14ac:dyDescent="0.15">
      <c r="A12" t="s">
        <v>214</v>
      </c>
      <c r="D12" s="8"/>
      <c r="E12" s="10">
        <v>74.436999999999998</v>
      </c>
      <c r="F12" s="10">
        <v>72.225999999999999</v>
      </c>
      <c r="G12">
        <v>86.9</v>
      </c>
      <c r="H12">
        <v>86.469899999999996</v>
      </c>
      <c r="I12">
        <v>83.941000000000003</v>
      </c>
    </row>
    <row r="13" spans="1:11" x14ac:dyDescent="0.15">
      <c r="D13" s="8"/>
    </row>
    <row r="14" spans="1:11" x14ac:dyDescent="0.15">
      <c r="A14" s="6" t="s">
        <v>215</v>
      </c>
      <c r="D14" s="8"/>
    </row>
    <row r="15" spans="1:11" x14ac:dyDescent="0.15">
      <c r="A15" s="7" t="s">
        <v>131</v>
      </c>
      <c r="B15" s="7"/>
      <c r="C15" s="7"/>
      <c r="D15" s="8"/>
      <c r="E15" s="18" t="s">
        <v>184</v>
      </c>
      <c r="F15" s="9">
        <v>4500</v>
      </c>
      <c r="G15" s="18" t="s">
        <v>184</v>
      </c>
      <c r="H15" s="18" t="s">
        <v>184</v>
      </c>
      <c r="I15" s="18" t="s">
        <v>184</v>
      </c>
    </row>
    <row r="16" spans="1:11" x14ac:dyDescent="0.15">
      <c r="A16" t="s">
        <v>203</v>
      </c>
      <c r="D16" s="8"/>
      <c r="E16" s="17" t="s">
        <v>184</v>
      </c>
      <c r="F16" s="10">
        <v>4.0315000000000003</v>
      </c>
      <c r="G16" s="17" t="s">
        <v>184</v>
      </c>
      <c r="H16" s="17" t="s">
        <v>184</v>
      </c>
      <c r="I16" s="17" t="s">
        <v>184</v>
      </c>
    </row>
    <row r="17" spans="1:9" x14ac:dyDescent="0.15">
      <c r="A17" t="s">
        <v>226</v>
      </c>
      <c r="D17" s="8"/>
      <c r="E17" s="17" t="s">
        <v>184</v>
      </c>
      <c r="F17" s="10">
        <v>1.7423999999999999</v>
      </c>
      <c r="G17" s="17" t="s">
        <v>184</v>
      </c>
      <c r="H17" s="17" t="s">
        <v>184</v>
      </c>
      <c r="I17" s="17" t="s">
        <v>184</v>
      </c>
    </row>
    <row r="18" spans="1:9" x14ac:dyDescent="0.15">
      <c r="A18" t="s">
        <v>214</v>
      </c>
      <c r="D18" s="8"/>
      <c r="E18" s="17" t="s">
        <v>184</v>
      </c>
      <c r="F18" s="10">
        <v>72.225999999999999</v>
      </c>
      <c r="G18" s="17" t="s">
        <v>184</v>
      </c>
      <c r="H18" s="17" t="s">
        <v>184</v>
      </c>
      <c r="I18" s="17" t="s">
        <v>184</v>
      </c>
    </row>
    <row r="19" spans="1:9" x14ac:dyDescent="0.15">
      <c r="D19" s="8"/>
    </row>
    <row r="20" spans="1:9" x14ac:dyDescent="0.15">
      <c r="A20" s="6" t="s">
        <v>132</v>
      </c>
      <c r="D20" s="8"/>
    </row>
    <row r="21" spans="1:9" x14ac:dyDescent="0.15">
      <c r="A21" s="7" t="s">
        <v>131</v>
      </c>
      <c r="B21" s="7"/>
      <c r="C21" s="7"/>
      <c r="D21" s="8"/>
      <c r="E21" s="18" t="s">
        <v>184</v>
      </c>
      <c r="F21" s="9">
        <v>4500</v>
      </c>
      <c r="G21" s="18" t="s">
        <v>184</v>
      </c>
      <c r="H21" s="18" t="s">
        <v>184</v>
      </c>
      <c r="I21" s="18" t="s">
        <v>184</v>
      </c>
    </row>
    <row r="22" spans="1:9" x14ac:dyDescent="0.15">
      <c r="A22" t="s">
        <v>203</v>
      </c>
      <c r="D22" s="8"/>
      <c r="E22" s="17" t="s">
        <v>184</v>
      </c>
      <c r="F22" s="10">
        <v>4.0315000000000003</v>
      </c>
      <c r="G22" s="17" t="s">
        <v>184</v>
      </c>
      <c r="H22" s="17" t="s">
        <v>184</v>
      </c>
      <c r="I22" s="17" t="s">
        <v>184</v>
      </c>
    </row>
    <row r="23" spans="1:9" x14ac:dyDescent="0.15">
      <c r="A23" t="s">
        <v>226</v>
      </c>
      <c r="D23" s="8"/>
      <c r="E23" s="17" t="s">
        <v>184</v>
      </c>
      <c r="F23" s="10">
        <v>1.7633000000000001</v>
      </c>
      <c r="G23" s="17" t="s">
        <v>184</v>
      </c>
      <c r="H23" s="17" t="s">
        <v>184</v>
      </c>
      <c r="I23" s="17" t="s">
        <v>184</v>
      </c>
    </row>
    <row r="24" spans="1:9" x14ac:dyDescent="0.15">
      <c r="A24" t="s">
        <v>214</v>
      </c>
      <c r="D24" s="8"/>
      <c r="E24" s="17" t="s">
        <v>184</v>
      </c>
      <c r="F24" s="10">
        <v>72.225999999999999</v>
      </c>
      <c r="G24" s="17" t="s">
        <v>184</v>
      </c>
      <c r="H24" s="17" t="s">
        <v>184</v>
      </c>
      <c r="I24" s="17" t="s">
        <v>184</v>
      </c>
    </row>
    <row r="25" spans="1:9" x14ac:dyDescent="0.15">
      <c r="D25" s="8"/>
    </row>
    <row r="26" spans="1:9" x14ac:dyDescent="0.15">
      <c r="A26" s="6" t="s">
        <v>205</v>
      </c>
      <c r="D26" s="8"/>
    </row>
    <row r="27" spans="1:9" x14ac:dyDescent="0.15">
      <c r="A27" s="7" t="s">
        <v>131</v>
      </c>
      <c r="B27" s="7"/>
      <c r="C27" s="7"/>
      <c r="D27" s="8"/>
      <c r="E27" s="18" t="s">
        <v>184</v>
      </c>
      <c r="F27" s="9">
        <v>4500</v>
      </c>
      <c r="G27" s="18" t="s">
        <v>184</v>
      </c>
      <c r="H27" s="18" t="s">
        <v>184</v>
      </c>
      <c r="I27" s="18" t="s">
        <v>184</v>
      </c>
    </row>
    <row r="28" spans="1:9" x14ac:dyDescent="0.15">
      <c r="A28" t="s">
        <v>203</v>
      </c>
      <c r="D28" s="8"/>
      <c r="E28" s="17" t="s">
        <v>184</v>
      </c>
      <c r="F28" s="10">
        <v>4.0326000000000004</v>
      </c>
      <c r="G28" s="17" t="s">
        <v>184</v>
      </c>
      <c r="H28" s="17" t="s">
        <v>184</v>
      </c>
      <c r="I28" s="17" t="s">
        <v>184</v>
      </c>
    </row>
    <row r="29" spans="1:9" x14ac:dyDescent="0.15">
      <c r="A29" t="s">
        <v>226</v>
      </c>
      <c r="D29" s="8"/>
      <c r="E29" s="17" t="s">
        <v>184</v>
      </c>
      <c r="F29" s="10">
        <v>1.7677</v>
      </c>
      <c r="G29" s="17" t="s">
        <v>184</v>
      </c>
      <c r="H29" s="17" t="s">
        <v>184</v>
      </c>
      <c r="I29" s="17" t="s">
        <v>184</v>
      </c>
    </row>
    <row r="30" spans="1:9" x14ac:dyDescent="0.15">
      <c r="A30" t="s">
        <v>214</v>
      </c>
      <c r="D30" s="8"/>
      <c r="E30" s="17" t="s">
        <v>184</v>
      </c>
      <c r="F30" s="10">
        <v>72.225999999999999</v>
      </c>
      <c r="G30" s="17" t="s">
        <v>184</v>
      </c>
      <c r="H30" s="17" t="s">
        <v>184</v>
      </c>
      <c r="I30" s="17" t="s">
        <v>184</v>
      </c>
    </row>
    <row r="31" spans="1:9" x14ac:dyDescent="0.15">
      <c r="D31" s="8"/>
    </row>
    <row r="32" spans="1:9" x14ac:dyDescent="0.15">
      <c r="A32" s="6" t="s">
        <v>268</v>
      </c>
      <c r="D32" s="8"/>
    </row>
    <row r="33" spans="1:9" x14ac:dyDescent="0.15">
      <c r="A33" s="7" t="s">
        <v>131</v>
      </c>
      <c r="B33" s="7"/>
      <c r="C33" s="7"/>
      <c r="D33" s="8"/>
      <c r="E33" s="18" t="s">
        <v>184</v>
      </c>
      <c r="F33" s="9">
        <v>4500</v>
      </c>
      <c r="G33" s="18" t="s">
        <v>184</v>
      </c>
      <c r="H33" s="18" t="s">
        <v>184</v>
      </c>
      <c r="I33" s="18" t="s">
        <v>184</v>
      </c>
    </row>
    <row r="34" spans="1:9" x14ac:dyDescent="0.15">
      <c r="A34" t="s">
        <v>203</v>
      </c>
      <c r="D34" s="8"/>
      <c r="E34" s="17" t="s">
        <v>184</v>
      </c>
      <c r="F34" s="10">
        <v>4.0579000000000001</v>
      </c>
      <c r="G34" s="17" t="s">
        <v>184</v>
      </c>
      <c r="H34" s="17" t="s">
        <v>184</v>
      </c>
      <c r="I34" s="17" t="s">
        <v>184</v>
      </c>
    </row>
    <row r="35" spans="1:9" x14ac:dyDescent="0.15">
      <c r="A35" t="s">
        <v>226</v>
      </c>
      <c r="D35" s="8"/>
      <c r="E35" s="17" t="s">
        <v>184</v>
      </c>
      <c r="F35" s="10">
        <v>1.804</v>
      </c>
      <c r="G35" s="17" t="s">
        <v>184</v>
      </c>
      <c r="H35" s="17" t="s">
        <v>184</v>
      </c>
      <c r="I35" s="17" t="s">
        <v>184</v>
      </c>
    </row>
    <row r="36" spans="1:9" x14ac:dyDescent="0.15">
      <c r="A36" t="s">
        <v>214</v>
      </c>
      <c r="D36" s="8"/>
      <c r="E36" s="17" t="s">
        <v>184</v>
      </c>
      <c r="F36" s="10">
        <v>72.225999999999999</v>
      </c>
      <c r="G36" s="17" t="s">
        <v>184</v>
      </c>
      <c r="H36" s="17" t="s">
        <v>184</v>
      </c>
      <c r="I36" s="17" t="s">
        <v>184</v>
      </c>
    </row>
    <row r="37" spans="1:9" x14ac:dyDescent="0.15">
      <c r="D37" s="8"/>
    </row>
    <row r="38" spans="1:9" x14ac:dyDescent="0.15">
      <c r="A38" s="8"/>
      <c r="B38" s="8"/>
      <c r="C38" s="8"/>
      <c r="D38" s="8"/>
      <c r="E38" s="8"/>
      <c r="F38" s="8"/>
      <c r="G38" s="8"/>
      <c r="H38" s="8"/>
      <c r="I38" s="8"/>
    </row>
    <row r="39" spans="1:9" x14ac:dyDescent="0.15">
      <c r="A39" s="6" t="s">
        <v>161</v>
      </c>
      <c r="D39" s="8"/>
      <c r="E39" s="16" t="s">
        <v>213</v>
      </c>
      <c r="F39" s="11" t="s">
        <v>269</v>
      </c>
      <c r="G39" s="11" t="s">
        <v>216</v>
      </c>
      <c r="H39" s="11" t="s">
        <v>273</v>
      </c>
      <c r="I39" s="11" t="s">
        <v>233</v>
      </c>
    </row>
    <row r="40" spans="1:9" x14ac:dyDescent="0.15">
      <c r="A40" t="s">
        <v>248</v>
      </c>
      <c r="D40" s="8"/>
      <c r="E40" s="14" t="s">
        <v>289</v>
      </c>
      <c r="F40" s="12" t="s">
        <v>196</v>
      </c>
      <c r="G40" s="12" t="s">
        <v>217</v>
      </c>
      <c r="H40" s="12" t="s">
        <v>197</v>
      </c>
      <c r="I40" s="12" t="s">
        <v>234</v>
      </c>
    </row>
    <row r="41" spans="1:9" x14ac:dyDescent="0.15">
      <c r="A41" t="s">
        <v>236</v>
      </c>
      <c r="D41" s="8"/>
      <c r="E41" s="12" t="s">
        <v>254</v>
      </c>
      <c r="F41" s="12" t="s">
        <v>285</v>
      </c>
      <c r="G41" s="12" t="s">
        <v>286</v>
      </c>
      <c r="H41" s="12" t="s">
        <v>254</v>
      </c>
      <c r="I41" s="12" t="s">
        <v>234</v>
      </c>
    </row>
    <row r="42" spans="1:9" x14ac:dyDescent="0.15">
      <c r="A42" t="s">
        <v>258</v>
      </c>
      <c r="D42" s="8"/>
      <c r="E42" s="12" t="s">
        <v>195</v>
      </c>
      <c r="F42" s="13">
        <v>70</v>
      </c>
      <c r="G42" s="13" t="s">
        <v>176</v>
      </c>
      <c r="H42" s="13" t="s">
        <v>282</v>
      </c>
      <c r="I42" s="13" t="s">
        <v>234</v>
      </c>
    </row>
    <row r="43" spans="1:9" x14ac:dyDescent="0.15">
      <c r="A43" t="s">
        <v>198</v>
      </c>
      <c r="D43" s="8"/>
      <c r="E43" s="12" t="s">
        <v>272</v>
      </c>
      <c r="F43" s="14">
        <v>0.02</v>
      </c>
      <c r="G43" s="14" t="s">
        <v>218</v>
      </c>
      <c r="H43" s="14" t="s">
        <v>281</v>
      </c>
      <c r="I43" s="14" t="s">
        <v>235</v>
      </c>
    </row>
    <row r="44" spans="1:9" x14ac:dyDescent="0.15">
      <c r="A44" t="s">
        <v>267</v>
      </c>
      <c r="D44" s="8"/>
      <c r="E44" s="13">
        <v>14</v>
      </c>
      <c r="F44" s="13">
        <v>12</v>
      </c>
      <c r="G44" s="14" t="s">
        <v>181</v>
      </c>
      <c r="H44" s="14" t="s">
        <v>283</v>
      </c>
      <c r="I44" t="s">
        <v>234</v>
      </c>
    </row>
    <row r="45" spans="1:9" x14ac:dyDescent="0.15">
      <c r="A45" t="s">
        <v>287</v>
      </c>
      <c r="D45" s="8"/>
      <c r="E45" s="12" t="s">
        <v>288</v>
      </c>
      <c r="F45" s="12" t="s">
        <v>183</v>
      </c>
      <c r="G45" s="12" t="s">
        <v>197</v>
      </c>
      <c r="H45" s="12" t="s">
        <v>122</v>
      </c>
      <c r="I45" s="12" t="s">
        <v>234</v>
      </c>
    </row>
    <row r="46" spans="1:9" x14ac:dyDescent="0.15">
      <c r="A46" s="8"/>
      <c r="B46" s="8"/>
      <c r="C46" s="8"/>
      <c r="D46" s="8"/>
      <c r="E46" s="8"/>
      <c r="F46" s="8"/>
      <c r="G46" s="8"/>
      <c r="H46" s="8"/>
      <c r="I46" s="8"/>
    </row>
  </sheetData>
  <sheetProtection algorithmName="SHA-512" hashValue="6fUaTVpI90u3o5//8rsbRShHvBoyYU+xM6RQFJhA/7/KnFAaGXRQsoJaj4Xbp/Mje2fMfqGXcusisrGJKlB/Lg==" saltValue="ujCLGKPesClrXGW48i4ldQ==" spinCount="100000" sheet="1" objects="1" scenarios="1"/>
  <phoneticPr fontId="7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K44"/>
  <sheetViews>
    <sheetView workbookViewId="0">
      <selection activeCell="M24" sqref="M24"/>
    </sheetView>
  </sheetViews>
  <sheetFormatPr baseColWidth="10" defaultRowHeight="13" x14ac:dyDescent="0.15"/>
  <cols>
    <col min="4" max="4" width="2.5" customWidth="1"/>
  </cols>
  <sheetData>
    <row r="1" spans="1:11" x14ac:dyDescent="0.15">
      <c r="A1" t="s">
        <v>201</v>
      </c>
    </row>
    <row r="2" spans="1:11" x14ac:dyDescent="0.15">
      <c r="A2" s="1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15">
      <c r="A3" s="3" t="s">
        <v>250</v>
      </c>
      <c r="B3" s="4"/>
      <c r="C3" s="4"/>
      <c r="D3" s="5"/>
      <c r="E3" s="4"/>
      <c r="F3" s="4"/>
      <c r="G3" s="4"/>
      <c r="H3" s="4"/>
      <c r="I3" s="4"/>
      <c r="J3" s="4"/>
      <c r="K3" s="4"/>
    </row>
    <row r="4" spans="1:11" x14ac:dyDescent="0.15">
      <c r="D4" s="8"/>
      <c r="E4" s="15" t="s">
        <v>225</v>
      </c>
    </row>
    <row r="5" spans="1:11" x14ac:dyDescent="0.15">
      <c r="D5" s="8"/>
    </row>
    <row r="6" spans="1:11" x14ac:dyDescent="0.15">
      <c r="A6" s="6" t="s">
        <v>202</v>
      </c>
      <c r="D6" s="8"/>
      <c r="E6" s="16" t="s">
        <v>213</v>
      </c>
      <c r="F6" s="11" t="s">
        <v>269</v>
      </c>
      <c r="G6" s="11" t="s">
        <v>162</v>
      </c>
      <c r="H6" s="11" t="s">
        <v>273</v>
      </c>
    </row>
    <row r="7" spans="1:11" x14ac:dyDescent="0.15">
      <c r="A7" s="7" t="s">
        <v>131</v>
      </c>
      <c r="B7" s="7"/>
      <c r="C7" s="7"/>
      <c r="D7" s="8"/>
      <c r="E7" s="9">
        <v>4500</v>
      </c>
      <c r="F7" s="9">
        <v>4500</v>
      </c>
      <c r="G7" s="9">
        <v>4500</v>
      </c>
      <c r="H7" s="9">
        <v>4500</v>
      </c>
    </row>
    <row r="8" spans="1:11" x14ac:dyDescent="0.15">
      <c r="A8" t="s">
        <v>203</v>
      </c>
      <c r="D8" s="8"/>
      <c r="E8" s="10">
        <v>3.3197999999999999</v>
      </c>
      <c r="F8" s="10">
        <v>3.3197999999999999</v>
      </c>
      <c r="G8">
        <v>3.355</v>
      </c>
      <c r="H8">
        <v>3.1823000000000001</v>
      </c>
    </row>
    <row r="9" spans="1:11" x14ac:dyDescent="0.15">
      <c r="A9" t="s">
        <v>226</v>
      </c>
      <c r="D9" s="8"/>
      <c r="E9" s="10">
        <v>1.7358</v>
      </c>
      <c r="F9" s="10">
        <v>1.7358</v>
      </c>
      <c r="G9">
        <v>2.1339999999999999</v>
      </c>
      <c r="H9">
        <v>2.1680999999999999</v>
      </c>
    </row>
    <row r="10" spans="1:11" x14ac:dyDescent="0.15">
      <c r="A10" t="s">
        <v>214</v>
      </c>
      <c r="D10" s="8"/>
      <c r="E10" s="10">
        <v>71.070999999999998</v>
      </c>
      <c r="F10" s="10">
        <v>71.070999999999998</v>
      </c>
      <c r="G10">
        <v>84.7</v>
      </c>
      <c r="H10">
        <v>77.043999999999997</v>
      </c>
    </row>
    <row r="11" spans="1:11" x14ac:dyDescent="0.15">
      <c r="D11" s="8"/>
    </row>
    <row r="12" spans="1:11" x14ac:dyDescent="0.15">
      <c r="A12" s="6" t="s">
        <v>215</v>
      </c>
      <c r="D12" s="8"/>
    </row>
    <row r="13" spans="1:11" x14ac:dyDescent="0.15">
      <c r="A13" s="7" t="s">
        <v>131</v>
      </c>
      <c r="B13" s="7"/>
      <c r="C13" s="7"/>
      <c r="D13" s="8"/>
      <c r="E13" s="18" t="s">
        <v>184</v>
      </c>
      <c r="F13" s="9">
        <v>4500</v>
      </c>
      <c r="G13" s="18" t="s">
        <v>184</v>
      </c>
      <c r="H13" s="18" t="s">
        <v>184</v>
      </c>
    </row>
    <row r="14" spans="1:11" x14ac:dyDescent="0.15">
      <c r="A14" t="s">
        <v>203</v>
      </c>
      <c r="D14" s="8"/>
      <c r="E14" s="17" t="s">
        <v>184</v>
      </c>
      <c r="F14" s="10">
        <v>3.3814000000000002</v>
      </c>
      <c r="G14" s="17" t="s">
        <v>184</v>
      </c>
      <c r="H14" s="17" t="s">
        <v>184</v>
      </c>
    </row>
    <row r="15" spans="1:11" x14ac:dyDescent="0.15">
      <c r="A15" t="s">
        <v>226</v>
      </c>
      <c r="D15" s="8"/>
      <c r="E15" s="17" t="s">
        <v>184</v>
      </c>
      <c r="F15" s="10">
        <v>1.7270000000000001</v>
      </c>
      <c r="G15" s="17" t="s">
        <v>184</v>
      </c>
      <c r="H15" s="17" t="s">
        <v>184</v>
      </c>
    </row>
    <row r="16" spans="1:11" x14ac:dyDescent="0.15">
      <c r="A16" t="s">
        <v>214</v>
      </c>
      <c r="D16" s="8"/>
      <c r="E16" s="17" t="s">
        <v>184</v>
      </c>
      <c r="F16" s="10">
        <v>71.070999999999998</v>
      </c>
      <c r="G16" s="17" t="s">
        <v>184</v>
      </c>
      <c r="H16" s="17" t="s">
        <v>184</v>
      </c>
    </row>
    <row r="17" spans="1:8" x14ac:dyDescent="0.15">
      <c r="D17" s="8"/>
    </row>
    <row r="18" spans="1:8" x14ac:dyDescent="0.15">
      <c r="A18" s="6" t="s">
        <v>132</v>
      </c>
      <c r="D18" s="8"/>
    </row>
    <row r="19" spans="1:8" x14ac:dyDescent="0.15">
      <c r="A19" s="7" t="s">
        <v>131</v>
      </c>
      <c r="B19" s="7"/>
      <c r="C19" s="7"/>
      <c r="D19" s="8"/>
      <c r="E19" s="18" t="s">
        <v>184</v>
      </c>
      <c r="F19" s="9">
        <v>4500</v>
      </c>
      <c r="G19" s="18" t="s">
        <v>184</v>
      </c>
      <c r="H19" s="18" t="s">
        <v>184</v>
      </c>
    </row>
    <row r="20" spans="1:8" x14ac:dyDescent="0.15">
      <c r="A20" t="s">
        <v>203</v>
      </c>
      <c r="D20" s="8"/>
      <c r="E20" s="17" t="s">
        <v>184</v>
      </c>
      <c r="F20" s="10">
        <v>3.3814000000000002</v>
      </c>
      <c r="G20" s="17" t="s">
        <v>184</v>
      </c>
      <c r="H20" s="17" t="s">
        <v>184</v>
      </c>
    </row>
    <row r="21" spans="1:8" x14ac:dyDescent="0.15">
      <c r="A21" t="s">
        <v>226</v>
      </c>
      <c r="D21" s="8"/>
      <c r="E21" s="17" t="s">
        <v>184</v>
      </c>
      <c r="F21" s="10">
        <v>1.7479</v>
      </c>
      <c r="G21" s="17" t="s">
        <v>184</v>
      </c>
      <c r="H21" s="17" t="s">
        <v>184</v>
      </c>
    </row>
    <row r="22" spans="1:8" x14ac:dyDescent="0.15">
      <c r="A22" t="s">
        <v>214</v>
      </c>
      <c r="D22" s="8"/>
      <c r="E22" s="17" t="s">
        <v>184</v>
      </c>
      <c r="F22" s="10">
        <v>71.070999999999998</v>
      </c>
      <c r="G22" s="17" t="s">
        <v>184</v>
      </c>
      <c r="H22" s="17" t="s">
        <v>184</v>
      </c>
    </row>
    <row r="23" spans="1:8" x14ac:dyDescent="0.15">
      <c r="D23" s="8"/>
    </row>
    <row r="24" spans="1:8" x14ac:dyDescent="0.15">
      <c r="A24" s="6" t="s">
        <v>205</v>
      </c>
      <c r="D24" s="8"/>
    </row>
    <row r="25" spans="1:8" x14ac:dyDescent="0.15">
      <c r="A25" s="7" t="s">
        <v>131</v>
      </c>
      <c r="B25" s="7"/>
      <c r="C25" s="7"/>
      <c r="D25" s="8"/>
      <c r="E25" s="18" t="s">
        <v>184</v>
      </c>
      <c r="F25" s="9">
        <v>4500</v>
      </c>
      <c r="G25" s="18" t="s">
        <v>184</v>
      </c>
      <c r="H25" s="18" t="s">
        <v>184</v>
      </c>
    </row>
    <row r="26" spans="1:8" x14ac:dyDescent="0.15">
      <c r="A26" t="s">
        <v>203</v>
      </c>
      <c r="D26" s="8"/>
      <c r="E26" s="17" t="s">
        <v>184</v>
      </c>
      <c r="F26" s="10">
        <v>3.3835999999999999</v>
      </c>
      <c r="G26" s="17" t="s">
        <v>184</v>
      </c>
      <c r="H26" s="17" t="s">
        <v>184</v>
      </c>
    </row>
    <row r="27" spans="1:8" x14ac:dyDescent="0.15">
      <c r="A27" t="s">
        <v>226</v>
      </c>
      <c r="D27" s="8"/>
      <c r="E27" s="17" t="s">
        <v>184</v>
      </c>
      <c r="F27" s="10">
        <v>1.7523</v>
      </c>
      <c r="G27" s="17" t="s">
        <v>184</v>
      </c>
      <c r="H27" s="17" t="s">
        <v>184</v>
      </c>
    </row>
    <row r="28" spans="1:8" x14ac:dyDescent="0.15">
      <c r="A28" t="s">
        <v>214</v>
      </c>
      <c r="D28" s="8"/>
      <c r="E28" s="17" t="s">
        <v>184</v>
      </c>
      <c r="F28" s="10">
        <v>71.070999999999998</v>
      </c>
      <c r="G28" s="17" t="s">
        <v>184</v>
      </c>
      <c r="H28" s="17" t="s">
        <v>184</v>
      </c>
    </row>
    <row r="29" spans="1:8" x14ac:dyDescent="0.15">
      <c r="D29" s="8"/>
    </row>
    <row r="30" spans="1:8" x14ac:dyDescent="0.15">
      <c r="A30" s="6" t="s">
        <v>268</v>
      </c>
      <c r="D30" s="8"/>
    </row>
    <row r="31" spans="1:8" x14ac:dyDescent="0.15">
      <c r="A31" s="7" t="s">
        <v>131</v>
      </c>
      <c r="B31" s="7"/>
      <c r="C31" s="7"/>
      <c r="D31" s="8"/>
      <c r="E31" s="18" t="s">
        <v>184</v>
      </c>
      <c r="F31" s="9">
        <v>4500</v>
      </c>
      <c r="G31" s="18" t="s">
        <v>184</v>
      </c>
      <c r="H31" s="18" t="s">
        <v>184</v>
      </c>
    </row>
    <row r="32" spans="1:8" x14ac:dyDescent="0.15">
      <c r="A32" t="s">
        <v>203</v>
      </c>
      <c r="D32" s="8"/>
      <c r="E32" s="17" t="s">
        <v>184</v>
      </c>
      <c r="F32" s="10">
        <v>3.4077999999999999</v>
      </c>
      <c r="G32" s="17" t="s">
        <v>184</v>
      </c>
      <c r="H32" s="17" t="s">
        <v>184</v>
      </c>
    </row>
    <row r="33" spans="1:8" x14ac:dyDescent="0.15">
      <c r="A33" t="s">
        <v>226</v>
      </c>
      <c r="D33" s="8"/>
      <c r="E33" s="17" t="s">
        <v>184</v>
      </c>
      <c r="F33" s="10">
        <v>1.7886</v>
      </c>
      <c r="G33" s="17" t="s">
        <v>184</v>
      </c>
      <c r="H33" s="17" t="s">
        <v>184</v>
      </c>
    </row>
    <row r="34" spans="1:8" x14ac:dyDescent="0.15">
      <c r="A34" t="s">
        <v>214</v>
      </c>
      <c r="D34" s="8"/>
      <c r="E34" s="17" t="s">
        <v>184</v>
      </c>
      <c r="F34" s="10">
        <v>71.070999999999998</v>
      </c>
      <c r="G34" s="17" t="s">
        <v>184</v>
      </c>
      <c r="H34" s="17" t="s">
        <v>184</v>
      </c>
    </row>
    <row r="35" spans="1:8" x14ac:dyDescent="0.15">
      <c r="D35" s="8"/>
    </row>
    <row r="36" spans="1:8" x14ac:dyDescent="0.15">
      <c r="A36" s="8"/>
      <c r="B36" s="8"/>
      <c r="C36" s="8"/>
      <c r="D36" s="8"/>
      <c r="E36" s="8"/>
      <c r="F36" s="8"/>
      <c r="G36" s="8"/>
      <c r="H36" s="8"/>
    </row>
    <row r="37" spans="1:8" x14ac:dyDescent="0.15">
      <c r="A37" s="6" t="s">
        <v>161</v>
      </c>
      <c r="D37" s="8"/>
      <c r="E37" s="16" t="s">
        <v>213</v>
      </c>
      <c r="F37" s="11" t="s">
        <v>269</v>
      </c>
      <c r="G37" s="11" t="s">
        <v>162</v>
      </c>
      <c r="H37" s="11" t="s">
        <v>273</v>
      </c>
    </row>
    <row r="38" spans="1:8" x14ac:dyDescent="0.15">
      <c r="A38" t="s">
        <v>248</v>
      </c>
      <c r="D38" s="8"/>
      <c r="E38" s="14" t="s">
        <v>249</v>
      </c>
      <c r="F38" s="12" t="s">
        <v>196</v>
      </c>
      <c r="G38" s="12" t="s">
        <v>177</v>
      </c>
      <c r="H38" s="12" t="s">
        <v>197</v>
      </c>
    </row>
    <row r="39" spans="1:8" x14ac:dyDescent="0.15">
      <c r="A39" t="s">
        <v>236</v>
      </c>
      <c r="D39" s="8"/>
      <c r="E39" s="12" t="s">
        <v>254</v>
      </c>
      <c r="F39" s="12" t="s">
        <v>285</v>
      </c>
      <c r="G39" s="12" t="s">
        <v>286</v>
      </c>
      <c r="H39" s="12" t="s">
        <v>254</v>
      </c>
    </row>
    <row r="40" spans="1:8" x14ac:dyDescent="0.15">
      <c r="A40" t="s">
        <v>258</v>
      </c>
      <c r="D40" s="8"/>
      <c r="E40" s="12" t="s">
        <v>195</v>
      </c>
      <c r="F40" s="13">
        <v>70</v>
      </c>
      <c r="G40" s="13" t="s">
        <v>176</v>
      </c>
      <c r="H40" s="13" t="s">
        <v>282</v>
      </c>
    </row>
    <row r="41" spans="1:8" x14ac:dyDescent="0.15">
      <c r="A41" t="s">
        <v>198</v>
      </c>
      <c r="D41" s="8"/>
      <c r="E41" s="12" t="s">
        <v>197</v>
      </c>
      <c r="F41" s="14">
        <v>0.02</v>
      </c>
      <c r="G41" s="14" t="s">
        <v>180</v>
      </c>
      <c r="H41" s="14" t="s">
        <v>123</v>
      </c>
    </row>
    <row r="42" spans="1:8" x14ac:dyDescent="0.15">
      <c r="A42" t="s">
        <v>267</v>
      </c>
      <c r="D42" s="8"/>
      <c r="E42" s="13">
        <v>14</v>
      </c>
      <c r="F42" s="13">
        <v>12</v>
      </c>
      <c r="G42" s="14" t="s">
        <v>181</v>
      </c>
      <c r="H42" s="14" t="s">
        <v>283</v>
      </c>
    </row>
    <row r="43" spans="1:8" x14ac:dyDescent="0.15">
      <c r="A43" t="s">
        <v>287</v>
      </c>
      <c r="D43" s="8"/>
      <c r="E43" s="12" t="s">
        <v>288</v>
      </c>
      <c r="F43" s="12" t="s">
        <v>183</v>
      </c>
      <c r="G43" s="12" t="s">
        <v>197</v>
      </c>
      <c r="H43" s="12" t="s">
        <v>122</v>
      </c>
    </row>
    <row r="44" spans="1:8" x14ac:dyDescent="0.15">
      <c r="A44" s="8"/>
      <c r="B44" s="8"/>
      <c r="C44" s="8"/>
      <c r="D44" s="8"/>
      <c r="E44" s="8"/>
      <c r="F44" s="8"/>
      <c r="G44" s="8"/>
      <c r="H44" s="8"/>
    </row>
  </sheetData>
  <sheetProtection algorithmName="SHA-512" hashValue="692r5wvRXSTl0fIptSdEhFC2ybivnyYb3GVF+TDMY6zbdxeATV+pAJUIEkrPMaBKgM2FnxRBvrVPeqb+UHfxqg==" saltValue="7oWfl9FpOJ1wfYzQY8bAiA==" spinCount="100000" sheet="1" objects="1" scenarios="1"/>
  <phoneticPr fontId="7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AF57C-6289-6847-BF68-A1DD06202A22}">
  <sheetPr codeName="Sheet23"/>
  <dimension ref="A1:UH5196"/>
  <sheetViews>
    <sheetView zoomScale="130" zoomScaleNormal="130" workbookViewId="0">
      <selection activeCell="K8" sqref="K8:K14"/>
    </sheetView>
  </sheetViews>
  <sheetFormatPr baseColWidth="10" defaultRowHeight="13" x14ac:dyDescent="0.15"/>
  <cols>
    <col min="1" max="1" width="14.83203125" style="231" customWidth="1"/>
    <col min="2" max="2" width="19.1640625" style="231" customWidth="1"/>
    <col min="3" max="3" width="18.1640625" style="231" bestFit="1" customWidth="1"/>
    <col min="4" max="8" width="11.83203125" style="231" customWidth="1"/>
    <col min="9" max="10" width="11.83203125" style="231" hidden="1" customWidth="1"/>
    <col min="11" max="15" width="11.83203125" style="231" customWidth="1"/>
    <col min="16" max="19" width="11.83203125" style="231" hidden="1" customWidth="1"/>
    <col min="20" max="24" width="11.83203125" style="231" customWidth="1"/>
    <col min="555" max="16384" width="10.83203125" style="231"/>
  </cols>
  <sheetData>
    <row r="1" spans="1:41" customFormat="1" x14ac:dyDescent="0.15">
      <c r="A1" s="311" t="s">
        <v>12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</row>
    <row r="2" spans="1:41" customFormat="1" x14ac:dyDescent="0.15">
      <c r="A2" s="311" t="s">
        <v>97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</row>
    <row r="3" spans="1:41" customFormat="1" ht="14" thickBot="1" x14ac:dyDescent="0.2">
      <c r="A3" s="311"/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0"/>
      <c r="Z3" s="310"/>
      <c r="AA3" s="310"/>
      <c r="AB3" s="310"/>
      <c r="AC3" s="310"/>
      <c r="AD3" s="310"/>
      <c r="AE3" s="310"/>
      <c r="AF3" s="310"/>
      <c r="AG3" s="310"/>
      <c r="AH3" s="310"/>
      <c r="AI3" s="310"/>
      <c r="AJ3" s="310"/>
      <c r="AK3" s="310"/>
      <c r="AL3" s="310"/>
      <c r="AM3" s="310"/>
      <c r="AN3" s="310"/>
      <c r="AO3" s="310"/>
    </row>
    <row r="4" spans="1:41" ht="14" x14ac:dyDescent="0.15">
      <c r="A4" s="207" t="s">
        <v>25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</row>
    <row r="5" spans="1:41" ht="14" x14ac:dyDescent="0.15">
      <c r="A5" s="211" t="s">
        <v>358</v>
      </c>
      <c r="B5" s="212"/>
      <c r="C5" s="280">
        <v>7500</v>
      </c>
      <c r="D5" s="213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4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</row>
    <row r="6" spans="1:41" ht="14" x14ac:dyDescent="0.15">
      <c r="A6" s="211"/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4"/>
      <c r="Y6" s="310"/>
      <c r="Z6" s="310"/>
      <c r="AA6" s="310"/>
      <c r="AB6" s="310"/>
      <c r="AC6" s="310"/>
      <c r="AD6" s="310"/>
      <c r="AE6" s="310"/>
      <c r="AF6" s="310"/>
      <c r="AG6" s="310"/>
      <c r="AH6" s="310"/>
      <c r="AI6" s="310"/>
      <c r="AJ6" s="310"/>
      <c r="AK6" s="310"/>
      <c r="AL6" s="310"/>
      <c r="AM6" s="310"/>
      <c r="AN6" s="310"/>
      <c r="AO6" s="310"/>
    </row>
    <row r="7" spans="1:41" ht="75" x14ac:dyDescent="0.15">
      <c r="A7" s="237" t="s">
        <v>71</v>
      </c>
      <c r="B7" s="238" t="s">
        <v>75</v>
      </c>
      <c r="C7" s="238" t="s">
        <v>45</v>
      </c>
      <c r="D7" s="239" t="s">
        <v>46</v>
      </c>
      <c r="E7" s="239" t="s">
        <v>90</v>
      </c>
      <c r="F7" s="239" t="s">
        <v>91</v>
      </c>
      <c r="G7" s="239" t="s">
        <v>92</v>
      </c>
      <c r="H7" s="240" t="s">
        <v>276</v>
      </c>
      <c r="I7" s="249" t="s">
        <v>79</v>
      </c>
      <c r="J7" s="250" t="s">
        <v>18</v>
      </c>
      <c r="K7" s="241" t="s">
        <v>378</v>
      </c>
      <c r="L7" s="242" t="s">
        <v>19</v>
      </c>
      <c r="M7" s="243" t="s">
        <v>20</v>
      </c>
      <c r="N7" s="243" t="s">
        <v>21</v>
      </c>
      <c r="O7" s="243" t="s">
        <v>22</v>
      </c>
      <c r="P7" s="244" t="s">
        <v>355</v>
      </c>
      <c r="Q7" s="244" t="s">
        <v>356</v>
      </c>
      <c r="R7" s="251" t="s">
        <v>80</v>
      </c>
      <c r="S7" s="251" t="s">
        <v>81</v>
      </c>
      <c r="T7" s="245" t="s">
        <v>82</v>
      </c>
      <c r="U7" s="245" t="s">
        <v>83</v>
      </c>
      <c r="V7" s="246" t="s">
        <v>23</v>
      </c>
      <c r="W7" s="247" t="s">
        <v>24</v>
      </c>
      <c r="X7" s="248" t="s">
        <v>99</v>
      </c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</row>
    <row r="8" spans="1:41" ht="20" customHeight="1" x14ac:dyDescent="0.15">
      <c r="A8" s="215" t="str">
        <f>'Tariffs 2022'!F3</f>
        <v>AGL</v>
      </c>
      <c r="B8" s="213" t="str">
        <f>'Tariffs 2022'!D3</f>
        <v>AGN SA</v>
      </c>
      <c r="C8" s="213" t="str">
        <f>'Tariffs 2022'!G3</f>
        <v>Value Saver</v>
      </c>
      <c r="D8" s="216">
        <f>91*'Tariffs 2022'!H3/100</f>
        <v>68.001818181818166</v>
      </c>
      <c r="E8" s="216">
        <f>IF('Tariffs 2022'!K3="",$C$5*'Tariffs 2022'!W3/100,IF($C$5&gt;='Tariffs 2022'!L3*1.5,('Tariffs 2022'!L3*1.5*'Tariffs 2022'!W3/100),($C$5*'Tariffs 2022'!W3/100)))</f>
        <v>297.95454545454544</v>
      </c>
      <c r="F8" s="216">
        <f>IF(AND('Tariffs 2022'!L3*1.5&gt;0,'Tariffs 2022'!M3*1.5&gt;0),IF($C$5&lt;'Tariffs 2022'!L3*1.5,0,IF(($C$5-'Tariffs 2022'!L3*1.5)&lt;=('Tariffs 2022'!M3*1.5+'Tariffs 2022'!L3*1.5),(($C$5-'Tariffs 2022'!L3*1.5)*'Tariffs 2022'!X3/100),(('Tariffs 2022'!M3*1.5)*'Tariffs 2022'!X3/100))),0)</f>
        <v>0</v>
      </c>
      <c r="G8" s="216">
        <f>IF(AND('Tariffs 2022'!P3&gt;0,'Tariffs 2022'!O3&gt;0),IF(($C$5&lt;(SUM('Tariffs 2022'!L3:P3))*1.5),(0),($C$5-(SUM('Tariffs 2022'!L3:P3)*1.5))*'Tariffs 2022'!AB3/100),IF(AND('Tariffs 2022'!O3&gt;0,'Tariffs 2022'!P3=""),IF(($C$5&lt; (SUM('Tariffs 2022'!L3:O3))*1.5),(0),($C$5-(SUM('Tariffs 2022'!L3:O3))*1.5)*'Tariffs 2022'!AA3/100),IF(AND('Tariffs 2022'!N3&gt;0,'Tariffs 2022'!O3=""),IF(($C$5&lt;(SUM('Tariffs 2022'!L3:N3))*1.5),(0),($C$5-(SUM('Tariffs 2022'!L3:N3))*1.5)*'Tariffs 2022'!Z3/100),IF(AND('Tariffs 2022'!M3&gt;0,'Tariffs 2022'!N3=""),IF(($C$5&lt;'Tariffs 2022'!M3*1.5+'Tariffs 2022'!L3*1.5),(0),(($C$5-('Tariffs 2022'!M3*1.5+'Tariffs 2022'!L3*1.5))*'Tariffs 2022'!Y3/100)),IF(AND('Tariffs 2022'!L3&gt;0,'Tariffs 2022'!M3=""&gt;0),IF(($C$5&lt;'Tariffs 2022'!L3*1.5),(0),($C$5-('Tariffs 2022'!L3*1.5))*'Tariffs 2022'!X3/100),0)))))</f>
        <v>0</v>
      </c>
      <c r="H8" s="216">
        <f>SUM(D8:G8)</f>
        <v>365.95636363636362</v>
      </c>
      <c r="I8" s="216">
        <f t="shared" ref="I8:I14" si="0">(H8-D8)*4</f>
        <v>1191.8181818181818</v>
      </c>
      <c r="J8" s="252">
        <f>H8*4</f>
        <v>1463.8254545454545</v>
      </c>
      <c r="K8" s="256">
        <f>J8*1.1</f>
        <v>1610.2080000000001</v>
      </c>
      <c r="L8" s="213">
        <f>'Tariffs 2022'!AT3</f>
        <v>0</v>
      </c>
      <c r="M8" s="213">
        <f>'Tariffs 2022'!AU3</f>
        <v>0</v>
      </c>
      <c r="N8" s="213">
        <f>'Tariffs 2022'!AV3</f>
        <v>0</v>
      </c>
      <c r="O8" s="213">
        <f>'Tariffs 2022'!AW3</f>
        <v>0</v>
      </c>
      <c r="P8" s="217" t="str">
        <f t="shared" ref="P8" si="1">IF(SUM(L8:O8)=0,"No discount",IF(L8&gt;0,"Guaranteed off bill",IF(M8&gt;0,"Guaranteed off usage",IF(N8&gt;0,"Pay-on-time off bill","Pay-on-time off usage"))))</f>
        <v>No discount</v>
      </c>
      <c r="Q8" s="217" t="str">
        <f t="shared" ref="Q8:Q14" si="2">IF(OR(A8="Origin Energy",A8="Red Energy",A8="Powershop"),"Inclusive","Exclusive")</f>
        <v>Exclusive</v>
      </c>
      <c r="R8" s="253">
        <f t="shared" ref="R8:R18" si="3">IF(AND(P8="Guaranteed off bill",Q8="Inclusive"),((J8*1.1)-((J8*1.1)*L8/100))/1.1,IF(AND(P8="Guaranteed off usage",Q8="Inclusive"),((J8*1.1)-((I8*1.1)*M8/100))/1.1,IF(AND(P8="Guaranteed off bill",Q8="Exclusive"),J8-(J8*L8/100),IF(AND(P8="Guaranteed off usage",Q8="Exclusive"),J8-(I8*M8/100),IF(Q8="Inclusive",((J8*1.1))/1.1,J8)))))</f>
        <v>1463.8254545454545</v>
      </c>
      <c r="S8" s="253">
        <f t="shared" ref="S8:S18" si="4">IF(AND(P8="Pay-on-time off bill",Q8="Inclusive"),((R8*1.1)-((R8*1.1)*N8/100))/1.1,IF(AND(P8="Pay-on-time off usage",Q8="Inclusive"),((R8*1.1)-((I8*1.1)*O8/100))/1.1,IF(AND(P8="Pay-on-time off bill",Q8="Exclusive"),R8-(R8*N8/100),IF(AND(P8="Pay-on-time off usage",Q8="Exclusive"),R8-(I8*O8/100),IF(Q8="Inclusive",((R8*1.1))/1.1,R8)))))</f>
        <v>1463.8254545454545</v>
      </c>
      <c r="T8" s="259">
        <f t="shared" ref="T8:U18" si="5">R8*1.1</f>
        <v>1610.2080000000001</v>
      </c>
      <c r="U8" s="259">
        <f t="shared" si="5"/>
        <v>1610.2080000000001</v>
      </c>
      <c r="V8" s="218">
        <f>'Tariffs 2022'!BF3</f>
        <v>0</v>
      </c>
      <c r="W8" s="218" t="str">
        <f>'Tariffs 2022'!BG3</f>
        <v>n</v>
      </c>
      <c r="X8" s="219" t="str">
        <f>'Tariffs 2022'!BP3</f>
        <v>N</v>
      </c>
      <c r="Y8" s="310"/>
      <c r="Z8" s="310"/>
      <c r="AA8" s="310"/>
      <c r="AB8" s="310"/>
      <c r="AC8" s="310"/>
      <c r="AD8" s="310"/>
      <c r="AE8" s="310"/>
      <c r="AF8" s="310"/>
      <c r="AG8" s="310"/>
      <c r="AH8" s="310"/>
      <c r="AI8" s="310"/>
      <c r="AJ8" s="310"/>
      <c r="AK8" s="310"/>
      <c r="AL8" s="310"/>
      <c r="AM8" s="310"/>
      <c r="AN8" s="310"/>
      <c r="AO8" s="310"/>
    </row>
    <row r="9" spans="1:41" ht="20" customHeight="1" x14ac:dyDescent="0.15">
      <c r="A9" s="215" t="str">
        <f>'Tariffs 2022'!F4</f>
        <v>EnergyAustralia</v>
      </c>
      <c r="B9" s="213" t="str">
        <f>'Tariffs 2022'!D4</f>
        <v>AGN Metro</v>
      </c>
      <c r="C9" s="213" t="str">
        <f>'Tariffs 2022'!G4</f>
        <v>Flexi Plan</v>
      </c>
      <c r="D9" s="216">
        <f>91*'Tariffs 2022'!H4/100</f>
        <v>79.542272727272717</v>
      </c>
      <c r="E9" s="216">
        <f>IF('Tariffs 2022'!K4="",$C$5*'Tariffs 2022'!W4/100,IF($C$5&gt;='Tariffs 2022'!L4*1.5,('Tariffs 2022'!L4*1.5*'Tariffs 2022'!W4/100),($C$5*'Tariffs 2022'!W4/100)))</f>
        <v>121.9549090909091</v>
      </c>
      <c r="F9" s="216">
        <f>IF(AND('Tariffs 2022'!L4*1.5&gt;0,'Tariffs 2022'!M4*1.5&gt;0),IF($C$5&lt;'Tariffs 2022'!L4*1.5,0,IF(($C$5-'Tariffs 2022'!L4*1.5)&lt;=('Tariffs 2022'!M4*1.5+'Tariffs 2022'!L4*1.5),(($C$5-'Tariffs 2022'!L4*1.5)*'Tariffs 2022'!X4/100),(('Tariffs 2022'!M4*1.5)*'Tariffs 2022'!X4/100))),0)</f>
        <v>81.169363636363627</v>
      </c>
      <c r="G9" s="216">
        <f>IF(AND('Tariffs 2022'!P4&gt;0,'Tariffs 2022'!O4&gt;0),IF(($C$5&lt;(SUM('Tariffs 2022'!L4:P4))*1.5),(0),($C$5-(SUM('Tariffs 2022'!L4:P4)*1.5))*'Tariffs 2022'!AB4/100),IF(AND('Tariffs 2022'!O4&gt;0,'Tariffs 2022'!P4=""),IF(($C$5&lt; (SUM('Tariffs 2022'!L4:O4))*1.5),(0),($C$5-(SUM('Tariffs 2022'!L4:O4))*1.5)*'Tariffs 2022'!AA4/100),IF(AND('Tariffs 2022'!N4&gt;0,'Tariffs 2022'!O4=""),IF(($C$5&lt;(SUM('Tariffs 2022'!L4:N4))*1.5),(0),($C$5-(SUM('Tariffs 2022'!L4:N4))*1.5)*'Tariffs 2022'!Z4/100),IF(AND('Tariffs 2022'!M4&gt;0,'Tariffs 2022'!N4=""),IF(($C$5&lt;'Tariffs 2022'!M4*1.5+'Tariffs 2022'!L4*1.5),(0),(($C$5-('Tariffs 2022'!M4*1.5+'Tariffs 2022'!L4*1.5))*'Tariffs 2022'!Y4/100)),IF(AND('Tariffs 2022'!L4&gt;0,'Tariffs 2022'!M4=""&gt;0),IF(($C$5&lt;'Tariffs 2022'!L4*1.5),(0),($C$5-('Tariffs 2022'!L4*1.5))*'Tariffs 2022'!X4/100),0)))))</f>
        <v>75.739636363636365</v>
      </c>
      <c r="H9" s="216">
        <f t="shared" ref="H9:H18" si="6">SUM(D9:G9)</f>
        <v>358.40618181818178</v>
      </c>
      <c r="I9" s="216">
        <f t="shared" si="0"/>
        <v>1115.4556363636361</v>
      </c>
      <c r="J9" s="252">
        <f t="shared" ref="J9:J18" si="7">H9*4</f>
        <v>1433.6247272727271</v>
      </c>
      <c r="K9" s="257">
        <f t="shared" ref="K9:K18" si="8">J9*1.1</f>
        <v>1576.9872</v>
      </c>
      <c r="L9" s="213">
        <f>'Tariffs 2022'!AT4</f>
        <v>4</v>
      </c>
      <c r="M9" s="213">
        <f>'Tariffs 2022'!AU4</f>
        <v>0</v>
      </c>
      <c r="N9" s="213">
        <f>'Tariffs 2022'!AV4</f>
        <v>0</v>
      </c>
      <c r="O9" s="213">
        <f>'Tariffs 2022'!AW4</f>
        <v>0</v>
      </c>
      <c r="P9" s="217" t="str">
        <f t="shared" ref="P9:P18" si="9">IF(SUM(L9:O9)=0,"No discount",IF(L9&gt;0,"Guaranteed off bill",IF(M9&gt;0,"Guaranteed off usage",IF(N9&gt;0,"Pay-on-time off bill","Pay-on-time off usage"))))</f>
        <v>Guaranteed off bill</v>
      </c>
      <c r="Q9" s="217" t="str">
        <f t="shared" si="2"/>
        <v>Exclusive</v>
      </c>
      <c r="R9" s="253">
        <f t="shared" si="3"/>
        <v>1376.2797381818179</v>
      </c>
      <c r="S9" s="253">
        <f t="shared" si="4"/>
        <v>1376.2797381818179</v>
      </c>
      <c r="T9" s="260">
        <f t="shared" si="5"/>
        <v>1513.9077119999999</v>
      </c>
      <c r="U9" s="260">
        <f t="shared" si="5"/>
        <v>1513.9077119999999</v>
      </c>
      <c r="V9" s="218">
        <f>'Tariffs 2022'!BF4</f>
        <v>0</v>
      </c>
      <c r="W9" s="218" t="str">
        <f>'Tariffs 2022'!BG4</f>
        <v>n</v>
      </c>
      <c r="X9" s="219" t="str">
        <f>'Tariffs 2022'!BP4</f>
        <v>N</v>
      </c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</row>
    <row r="10" spans="1:41" ht="20" customHeight="1" x14ac:dyDescent="0.15">
      <c r="A10" s="215" t="str">
        <f>'Tariffs 2022'!F5</f>
        <v>Origin Energy</v>
      </c>
      <c r="B10" s="213" t="str">
        <f>'Tariffs 2022'!D5</f>
        <v>AGN SA</v>
      </c>
      <c r="C10" s="213" t="str">
        <f>'Tariffs 2022'!G5</f>
        <v>Go Variable</v>
      </c>
      <c r="D10" s="216">
        <f>91*'Tariffs 2022'!H5/100</f>
        <v>67.249000000000009</v>
      </c>
      <c r="E10" s="216">
        <f>IF('Tariffs 2022'!K5="",$C$5*'Tariffs 2022'!W5/100,IF($C$5&gt;='Tariffs 2022'!L5*1.5,('Tariffs 2022'!L5*1.5*'Tariffs 2022'!W5/100),($C$5*'Tariffs 2022'!W5/100)))</f>
        <v>188.43449999999996</v>
      </c>
      <c r="F10" s="216">
        <f>IF(AND('Tariffs 2022'!L5*1.5&gt;0,'Tariffs 2022'!M5*1.5&gt;0),IF($C$5&lt;'Tariffs 2022'!L5*1.5,0,IF(($C$5-'Tariffs 2022'!L5*1.5)&lt;=('Tariffs 2022'!M5*1.5+'Tariffs 2022'!L5*1.5),(($C$5-'Tariffs 2022'!L5*1.5)*'Tariffs 2022'!X5/100),(('Tariffs 2022'!M5*1.5)*'Tariffs 2022'!X5/100))),0)</f>
        <v>0</v>
      </c>
      <c r="G10" s="216">
        <f>IF(AND('Tariffs 2022'!P5&gt;0,'Tariffs 2022'!O5&gt;0),IF(($C$5&lt;(SUM('Tariffs 2022'!L5:P5))*1.5),(0),($C$5-(SUM('Tariffs 2022'!L5:P5)*1.5))*'Tariffs 2022'!AB5/100),IF(AND('Tariffs 2022'!O5&gt;0,'Tariffs 2022'!P5=""),IF(($C$5&lt; (SUM('Tariffs 2022'!L5:O5))*1.5),(0),($C$5-(SUM('Tariffs 2022'!L5:O5))*1.5)*'Tariffs 2022'!AA5/100),IF(AND('Tariffs 2022'!N5&gt;0,'Tariffs 2022'!O5=""),IF(($C$5&lt;(SUM('Tariffs 2022'!L5:N5))*1.5),(0),($C$5-(SUM('Tariffs 2022'!L5:N5))*1.5)*'Tariffs 2022'!Z5/100),IF(AND('Tariffs 2022'!M5&gt;0,'Tariffs 2022'!N5=""),IF(($C$5&lt;'Tariffs 2022'!M5*1.5+'Tariffs 2022'!L5*1.5),(0),(($C$5-('Tariffs 2022'!M5*1.5+'Tariffs 2022'!L5*1.5))*'Tariffs 2022'!Y5/100)),IF(AND('Tariffs 2022'!L5&gt;0,'Tariffs 2022'!M5=""&gt;0),IF(($C$5&lt;'Tariffs 2022'!L5*1.5),(0),($C$5-('Tariffs 2022'!L5*1.5))*'Tariffs 2022'!X5/100),0)))))</f>
        <v>66.518045454545458</v>
      </c>
      <c r="H10" s="216">
        <f t="shared" si="6"/>
        <v>322.20154545454545</v>
      </c>
      <c r="I10" s="216">
        <f t="shared" si="0"/>
        <v>1019.8101818181817</v>
      </c>
      <c r="J10" s="252">
        <f t="shared" si="7"/>
        <v>1288.8061818181818</v>
      </c>
      <c r="K10" s="257">
        <f t="shared" si="8"/>
        <v>1417.6868000000002</v>
      </c>
      <c r="L10" s="213">
        <f>'Tariffs 2022'!AT5</f>
        <v>0</v>
      </c>
      <c r="M10" s="213">
        <f>'Tariffs 2022'!AU5</f>
        <v>0</v>
      </c>
      <c r="N10" s="213">
        <f>'Tariffs 2022'!AV5</f>
        <v>0</v>
      </c>
      <c r="O10" s="213">
        <f>'Tariffs 2022'!AW5</f>
        <v>0</v>
      </c>
      <c r="P10" s="217" t="str">
        <f t="shared" si="9"/>
        <v>No discount</v>
      </c>
      <c r="Q10" s="217" t="str">
        <f t="shared" si="2"/>
        <v>Inclusive</v>
      </c>
      <c r="R10" s="253">
        <f t="shared" si="3"/>
        <v>1288.8061818181818</v>
      </c>
      <c r="S10" s="253">
        <f t="shared" si="4"/>
        <v>1288.8061818181818</v>
      </c>
      <c r="T10" s="260">
        <f t="shared" si="5"/>
        <v>1417.6868000000002</v>
      </c>
      <c r="U10" s="260">
        <f t="shared" si="5"/>
        <v>1417.6868000000002</v>
      </c>
      <c r="V10" s="218">
        <f>'Tariffs 2022'!BF5</f>
        <v>0</v>
      </c>
      <c r="W10" s="218" t="str">
        <f>'Tariffs 2022'!BG5</f>
        <v>n</v>
      </c>
      <c r="X10" s="219" t="str">
        <f>'Tariffs 2022'!BP5</f>
        <v>N</v>
      </c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  <c r="AM10" s="310"/>
      <c r="AN10" s="310"/>
      <c r="AO10" s="310"/>
    </row>
    <row r="11" spans="1:41" ht="20" customHeight="1" x14ac:dyDescent="0.15">
      <c r="A11" s="215" t="str">
        <f>'Tariffs 2022'!F6</f>
        <v>Simply Energy</v>
      </c>
      <c r="B11" s="213" t="str">
        <f>'Tariffs 2022'!D6</f>
        <v>AGN Metro</v>
      </c>
      <c r="C11" s="213" t="str">
        <f>'Tariffs 2022'!G6</f>
        <v>Basic</v>
      </c>
      <c r="D11" s="216">
        <f>91*'Tariffs 2022'!H6/100</f>
        <v>53.441818181818171</v>
      </c>
      <c r="E11" s="216">
        <f>IF('Tariffs 2022'!K6="",$C$5*'Tariffs 2022'!W6/100,IF($C$5&gt;='Tariffs 2022'!L6*1.5,('Tariffs 2022'!L6*1.5*'Tariffs 2022'!W6/100),($C$5*'Tariffs 2022'!W6/100)))</f>
        <v>159.71727272727273</v>
      </c>
      <c r="F11" s="216">
        <f>IF(AND('Tariffs 2022'!L6*1.5&gt;0,'Tariffs 2022'!M6*1.5&gt;0),IF($C$5&lt;'Tariffs 2022'!L6*1.5,0,IF(($C$5-'Tariffs 2022'!L6*1.5)&lt;=('Tariffs 2022'!M6*1.5+'Tariffs 2022'!L6*1.5),(($C$5-'Tariffs 2022'!L6*1.5)*'Tariffs 2022'!X6/100),(('Tariffs 2022'!M6*1.5)*'Tariffs 2022'!X6/100))),0)</f>
        <v>80.640000000000015</v>
      </c>
      <c r="G11" s="216">
        <f>IF(AND('Tariffs 2022'!P6&gt;0,'Tariffs 2022'!O6&gt;0),IF(($C$5&lt;(SUM('Tariffs 2022'!L6:P6))*1.5),(0),($C$5-(SUM('Tariffs 2022'!L6:P6)*1.5))*'Tariffs 2022'!AB6/100),IF(AND('Tariffs 2022'!O6&gt;0,'Tariffs 2022'!P6=""),IF(($C$5&lt; (SUM('Tariffs 2022'!L6:O6))*1.5),(0),($C$5-(SUM('Tariffs 2022'!L6:O6))*1.5)*'Tariffs 2022'!AA6/100),IF(AND('Tariffs 2022'!N6&gt;0,'Tariffs 2022'!O6=""),IF(($C$5&lt;(SUM('Tariffs 2022'!L6:N6))*1.5),(0),($C$5-(SUM('Tariffs 2022'!L6:N6))*1.5)*'Tariffs 2022'!Z6/100),IF(AND('Tariffs 2022'!M6&gt;0,'Tariffs 2022'!N6=""),IF(($C$5&lt;'Tariffs 2022'!M6*1.5+'Tariffs 2022'!L6*1.5),(0),(($C$5-('Tariffs 2022'!M6*1.5+'Tariffs 2022'!L6*1.5))*'Tariffs 2022'!Y6/100)),IF(AND('Tariffs 2022'!L6&gt;0,'Tariffs 2022'!M6=""&gt;0),IF(($C$5&lt;'Tariffs 2022'!L6*1.5),(0),($C$5-('Tariffs 2022'!L6*1.5))*'Tariffs 2022'!X6/100),0)))))</f>
        <v>78.373636363636365</v>
      </c>
      <c r="H11" s="216">
        <f t="shared" si="6"/>
        <v>372.17272727272729</v>
      </c>
      <c r="I11" s="216">
        <f t="shared" si="0"/>
        <v>1274.9236363636364</v>
      </c>
      <c r="J11" s="252">
        <f t="shared" si="7"/>
        <v>1488.6909090909091</v>
      </c>
      <c r="K11" s="257">
        <f t="shared" si="8"/>
        <v>1637.5600000000002</v>
      </c>
      <c r="L11" s="213">
        <f>'Tariffs 2022'!AT6</f>
        <v>0</v>
      </c>
      <c r="M11" s="213">
        <f>'Tariffs 2022'!AU6</f>
        <v>0</v>
      </c>
      <c r="N11" s="213">
        <f>'Tariffs 2022'!AV6</f>
        <v>0</v>
      </c>
      <c r="O11" s="213">
        <f>'Tariffs 2022'!AW6</f>
        <v>0</v>
      </c>
      <c r="P11" s="217" t="str">
        <f t="shared" si="9"/>
        <v>No discount</v>
      </c>
      <c r="Q11" s="217" t="str">
        <f t="shared" si="2"/>
        <v>Exclusive</v>
      </c>
      <c r="R11" s="253">
        <f t="shared" si="3"/>
        <v>1488.6909090909091</v>
      </c>
      <c r="S11" s="253">
        <f t="shared" si="4"/>
        <v>1488.6909090909091</v>
      </c>
      <c r="T11" s="260">
        <f t="shared" si="5"/>
        <v>1637.5600000000002</v>
      </c>
      <c r="U11" s="260">
        <f t="shared" si="5"/>
        <v>1637.5600000000002</v>
      </c>
      <c r="V11" s="218">
        <f>'Tariffs 2022'!BF6</f>
        <v>0</v>
      </c>
      <c r="W11" s="227" t="str">
        <f>'Tariffs 2022'!BG6</f>
        <v>n</v>
      </c>
      <c r="X11" s="219" t="str">
        <f>'Tariffs 2022'!BP6</f>
        <v>N</v>
      </c>
      <c r="Y11" s="310"/>
      <c r="Z11" s="310"/>
      <c r="AA11" s="310"/>
      <c r="AB11" s="310"/>
      <c r="AC11" s="310"/>
      <c r="AD11" s="310"/>
      <c r="AE11" s="310"/>
      <c r="AF11" s="310"/>
      <c r="AG11" s="310"/>
      <c r="AH11" s="310"/>
      <c r="AI11" s="310"/>
      <c r="AJ11" s="310"/>
      <c r="AK11" s="310"/>
      <c r="AL11" s="310"/>
      <c r="AM11" s="310"/>
      <c r="AN11" s="310"/>
      <c r="AO11" s="310"/>
    </row>
    <row r="12" spans="1:41" ht="20" customHeight="1" x14ac:dyDescent="0.15">
      <c r="A12" s="215" t="str">
        <f>'Tariffs 2022'!F7</f>
        <v>Red Energy</v>
      </c>
      <c r="B12" s="213" t="str">
        <f>'Tariffs 2022'!D7</f>
        <v>AGN Metro</v>
      </c>
      <c r="C12" s="213" t="str">
        <f>'Tariffs 2022'!G7</f>
        <v>Living Energy Saver</v>
      </c>
      <c r="D12" s="216">
        <f>91*'Tariffs 2022'!H7/100</f>
        <v>61.879999999999988</v>
      </c>
      <c r="E12" s="216">
        <f>IF('Tariffs 2022'!K7="",$C$5*'Tariffs 2022'!W7/100,IF($C$5&gt;='Tariffs 2022'!L7*1.5,('Tariffs 2022'!L7*1.5*'Tariffs 2022'!W7/100),($C$5*'Tariffs 2022'!W7/100)))</f>
        <v>164.22450000000001</v>
      </c>
      <c r="F12" s="216">
        <f>IF(AND('Tariffs 2022'!L7*1.5&gt;0,'Tariffs 2022'!M7*1.5&gt;0),IF($C$5&lt;'Tariffs 2022'!L7*1.5,0,IF(($C$5-'Tariffs 2022'!L7*1.5)&lt;=('Tariffs 2022'!M7*1.5+'Tariffs 2022'!L7*1.5),(($C$5-'Tariffs 2022'!L7*1.5)*'Tariffs 2022'!X7/100),(('Tariffs 2022'!M7*1.5)*'Tariffs 2022'!X7/100))),0)</f>
        <v>0</v>
      </c>
      <c r="G12" s="216">
        <f>IF(AND('Tariffs 2022'!P7&gt;0,'Tariffs 2022'!O7&gt;0),IF(($C$5&lt;(SUM('Tariffs 2022'!L7:P7))*1.5),(0),($C$5-(SUM('Tariffs 2022'!L7:P7)*1.5))*'Tariffs 2022'!AB7/100),IF(AND('Tariffs 2022'!O7&gt;0,'Tariffs 2022'!P7=""),IF(($C$5&lt; (SUM('Tariffs 2022'!L7:O7))*1.5),(0),($C$5-(SUM('Tariffs 2022'!L7:O7))*1.5)*'Tariffs 2022'!AA7/100),IF(AND('Tariffs 2022'!N7&gt;0,'Tariffs 2022'!O7=""),IF(($C$5&lt;(SUM('Tariffs 2022'!L7:N7))*1.5),(0),($C$5-(SUM('Tariffs 2022'!L7:N7))*1.5)*'Tariffs 2022'!Z7/100),IF(AND('Tariffs 2022'!M7&gt;0,'Tariffs 2022'!N7=""),IF(($C$5&lt;'Tariffs 2022'!M7*1.5+'Tariffs 2022'!L7*1.5),(0),(($C$5-('Tariffs 2022'!M7*1.5+'Tariffs 2022'!L7*1.5))*'Tariffs 2022'!Y7/100)),IF(AND('Tariffs 2022'!L7&gt;0,'Tariffs 2022'!M7=""&gt;0),IF(($C$5&lt;'Tariffs 2022'!L7*1.5),(0),($C$5-('Tariffs 2022'!L7*1.5))*'Tariffs 2022'!X7/100),0)))))</f>
        <v>55.106999999999999</v>
      </c>
      <c r="H12" s="216">
        <f t="shared" si="6"/>
        <v>281.2115</v>
      </c>
      <c r="I12" s="216">
        <f t="shared" si="0"/>
        <v>877.32600000000002</v>
      </c>
      <c r="J12" s="252">
        <f t="shared" si="7"/>
        <v>1124.846</v>
      </c>
      <c r="K12" s="257">
        <f t="shared" si="8"/>
        <v>1237.3306</v>
      </c>
      <c r="L12" s="213">
        <f>'Tariffs 2022'!AT7</f>
        <v>0</v>
      </c>
      <c r="M12" s="213">
        <f>'Tariffs 2022'!AU7</f>
        <v>0</v>
      </c>
      <c r="N12" s="213">
        <f>'Tariffs 2022'!AV7</f>
        <v>0</v>
      </c>
      <c r="O12" s="213">
        <f>'Tariffs 2022'!AW7</f>
        <v>0</v>
      </c>
      <c r="P12" s="217" t="str">
        <f t="shared" si="9"/>
        <v>No discount</v>
      </c>
      <c r="Q12" s="217" t="str">
        <f t="shared" si="2"/>
        <v>Inclusive</v>
      </c>
      <c r="R12" s="253">
        <f t="shared" si="3"/>
        <v>1124.846</v>
      </c>
      <c r="S12" s="253">
        <f t="shared" si="4"/>
        <v>1124.846</v>
      </c>
      <c r="T12" s="260">
        <f t="shared" si="5"/>
        <v>1237.3306</v>
      </c>
      <c r="U12" s="260">
        <f t="shared" si="5"/>
        <v>1237.3306</v>
      </c>
      <c r="V12" s="218">
        <f>'Tariffs 2022'!BF7</f>
        <v>0</v>
      </c>
      <c r="W12" s="218" t="str">
        <f>'Tariffs 2022'!BG7</f>
        <v>n</v>
      </c>
      <c r="X12" s="219" t="str">
        <f>'Tariffs 2022'!BP7</f>
        <v>N</v>
      </c>
      <c r="Y12" s="310"/>
      <c r="Z12" s="310"/>
      <c r="AA12" s="310"/>
      <c r="AB12" s="310"/>
      <c r="AC12" s="310"/>
      <c r="AD12" s="310"/>
      <c r="AE12" s="310"/>
      <c r="AF12" s="310"/>
      <c r="AG12" s="310"/>
      <c r="AH12" s="310"/>
      <c r="AI12" s="310"/>
      <c r="AJ12" s="310"/>
      <c r="AK12" s="310"/>
      <c r="AL12" s="310"/>
      <c r="AM12" s="310"/>
      <c r="AN12" s="310"/>
      <c r="AO12" s="310"/>
    </row>
    <row r="13" spans="1:41" ht="20" customHeight="1" x14ac:dyDescent="0.15">
      <c r="A13" s="213" t="str">
        <f>'Tariffs 2022'!F8</f>
        <v>Lumo Energy</v>
      </c>
      <c r="B13" s="213" t="str">
        <f>'Tariffs 2022'!D8</f>
        <v>AGN Metro</v>
      </c>
      <c r="C13" s="213" t="str">
        <f>'Tariffs 2022'!G8</f>
        <v>Plus</v>
      </c>
      <c r="D13" s="216">
        <f>91*'Tariffs 2022'!H8/100</f>
        <v>67.34</v>
      </c>
      <c r="E13" s="216">
        <f>IF('Tariffs 2022'!K8="",$C$5*'Tariffs 2022'!W8/100,IF($C$5&gt;='Tariffs 2022'!L8*1.5,('Tariffs 2022'!L8*1.5*'Tariffs 2022'!W8/100),($C$5*'Tariffs 2022'!W8/100)))</f>
        <v>154.94399999999999</v>
      </c>
      <c r="F13" s="216">
        <f>IF(AND('Tariffs 2022'!L8*1.5&gt;0,'Tariffs 2022'!M8*1.5&gt;0),IF($C$5&lt;'Tariffs 2022'!L8*1.5,0,IF(($C$5-'Tariffs 2022'!L8*1.5)&lt;=('Tariffs 2022'!M8*1.5+'Tariffs 2022'!L8*1.5),(($C$5-'Tariffs 2022'!L8*1.5)*'Tariffs 2022'!X8/100),(('Tariffs 2022'!M8*1.5)*'Tariffs 2022'!X8/100))),0)</f>
        <v>0</v>
      </c>
      <c r="G13" s="216">
        <f>IF(AND('Tariffs 2022'!P8&gt;0,'Tariffs 2022'!O8&gt;0),IF(($C$5&lt;(SUM('Tariffs 2022'!L8:P8))*1.5),(0),($C$5-(SUM('Tariffs 2022'!L8:P8)*1.5))*'Tariffs 2022'!AB8/100),IF(AND('Tariffs 2022'!O8&gt;0,'Tariffs 2022'!P8=""),IF(($C$5&lt; (SUM('Tariffs 2022'!L8:O8))*1.5),(0),($C$5-(SUM('Tariffs 2022'!L8:O8))*1.5)*'Tariffs 2022'!AA8/100),IF(AND('Tariffs 2022'!N8&gt;0,'Tariffs 2022'!O8=""),IF(($C$5&lt;(SUM('Tariffs 2022'!L8:N8))*1.5),(0),($C$5-(SUM('Tariffs 2022'!L8:N8))*1.5)*'Tariffs 2022'!Z8/100),IF(AND('Tariffs 2022'!M8&gt;0,'Tariffs 2022'!N8=""),IF(($C$5&lt;'Tariffs 2022'!M8*1.5+'Tariffs 2022'!L8*1.5),(0),(($C$5-('Tariffs 2022'!M8*1.5+'Tariffs 2022'!L8*1.5))*'Tariffs 2022'!Y8/100)),IF(AND('Tariffs 2022'!L8&gt;0,'Tariffs 2022'!M8=""&gt;0),IF(($C$5&lt;'Tariffs 2022'!L8*1.5),(0),($C$5-('Tariffs 2022'!L8*1.5))*'Tariffs 2022'!X8/100),0)))))</f>
        <v>57.333545454545444</v>
      </c>
      <c r="H13" s="216">
        <f t="shared" si="6"/>
        <v>279.61754545454545</v>
      </c>
      <c r="I13" s="216">
        <f t="shared" si="0"/>
        <v>849.11018181818179</v>
      </c>
      <c r="J13" s="252">
        <f t="shared" si="7"/>
        <v>1118.4701818181818</v>
      </c>
      <c r="K13" s="257">
        <f t="shared" si="8"/>
        <v>1230.3172000000002</v>
      </c>
      <c r="L13" s="213">
        <f>'Tariffs 2022'!AT8</f>
        <v>0</v>
      </c>
      <c r="M13" s="213">
        <f>'Tariffs 2022'!AU8</f>
        <v>0</v>
      </c>
      <c r="N13" s="213">
        <f>'Tariffs 2022'!AV8</f>
        <v>0</v>
      </c>
      <c r="O13" s="213">
        <f>'Tariffs 2022'!AW8</f>
        <v>0</v>
      </c>
      <c r="P13" s="217" t="str">
        <f t="shared" si="9"/>
        <v>No discount</v>
      </c>
      <c r="Q13" s="217" t="str">
        <f t="shared" si="2"/>
        <v>Exclusive</v>
      </c>
      <c r="R13" s="253">
        <f t="shared" si="3"/>
        <v>1118.4701818181818</v>
      </c>
      <c r="S13" s="253">
        <f t="shared" si="4"/>
        <v>1118.4701818181818</v>
      </c>
      <c r="T13" s="260">
        <f t="shared" si="5"/>
        <v>1230.3172000000002</v>
      </c>
      <c r="U13" s="260">
        <f t="shared" si="5"/>
        <v>1230.3172000000002</v>
      </c>
      <c r="V13" s="218">
        <f>'Tariffs 2022'!BF8</f>
        <v>0</v>
      </c>
      <c r="W13" s="218" t="str">
        <f>'Tariffs 2022'!BG8</f>
        <v>n</v>
      </c>
      <c r="X13" s="219" t="str">
        <f>'Tariffs 2022'!BP8</f>
        <v>N</v>
      </c>
      <c r="Y13" s="310"/>
      <c r="Z13" s="310"/>
      <c r="AA13" s="310"/>
      <c r="AB13" s="310"/>
      <c r="AC13" s="310"/>
      <c r="AD13" s="310"/>
      <c r="AE13" s="310"/>
      <c r="AF13" s="310"/>
      <c r="AG13" s="310"/>
      <c r="AH13" s="310"/>
      <c r="AI13" s="310"/>
      <c r="AJ13" s="310"/>
      <c r="AK13" s="310"/>
      <c r="AL13" s="310"/>
      <c r="AM13" s="310"/>
      <c r="AN13" s="310"/>
      <c r="AO13" s="310"/>
    </row>
    <row r="14" spans="1:41" ht="20" customHeight="1" thickBot="1" x14ac:dyDescent="0.2">
      <c r="A14" s="281" t="str">
        <f>'Tariffs 2022'!F9</f>
        <v>GloBird Energy</v>
      </c>
      <c r="B14" s="281" t="str">
        <f>'Tariffs 2022'!D9</f>
        <v>AGN SA</v>
      </c>
      <c r="C14" s="281" t="str">
        <f>'Tariffs 2022'!G9</f>
        <v>Boost</v>
      </c>
      <c r="D14" s="282">
        <f>91*'Tariffs 2022'!H9/100</f>
        <v>61.879999999999988</v>
      </c>
      <c r="E14" s="282">
        <f>IF('Tariffs 2022'!K9="",$C$5*'Tariffs 2022'!W9/100,IF($C$5&gt;='Tariffs 2022'!L9*1.5,('Tariffs 2022'!L9*1.5*'Tariffs 2022'!W9/100),($C$5*'Tariffs 2022'!W9/100)))</f>
        <v>269.03999999999996</v>
      </c>
      <c r="F14" s="282">
        <f>IF(AND('Tariffs 2022'!L9*1.5&gt;0,'Tariffs 2022'!M9*1.5&gt;0),IF($C$5&lt;'Tariffs 2022'!L9*1.5,0,IF(($C$5-'Tariffs 2022'!L9*1.5)&lt;=('Tariffs 2022'!M9*1.5+'Tariffs 2022'!L9*1.5),(($C$5-'Tariffs 2022'!L9*1.5)*'Tariffs 2022'!X9/100),(('Tariffs 2022'!M9*1.5)*'Tariffs 2022'!X9/100))),0)</f>
        <v>0</v>
      </c>
      <c r="G14" s="282">
        <f>IF(AND('Tariffs 2022'!P9&gt;0,'Tariffs 2022'!O9&gt;0),IF(($C$5&lt;(SUM('Tariffs 2022'!L9:P9))*1.5),(0),($C$5-(SUM('Tariffs 2022'!L9:P9)*1.5))*'Tariffs 2022'!AB9/100),IF(AND('Tariffs 2022'!O9&gt;0,'Tariffs 2022'!P9=""),IF(($C$5&lt; (SUM('Tariffs 2022'!L9:O9))*1.5),(0),($C$5-(SUM('Tariffs 2022'!L9:O9))*1.5)*'Tariffs 2022'!AA9/100),IF(AND('Tariffs 2022'!N9&gt;0,'Tariffs 2022'!O9=""),IF(($C$5&lt;(SUM('Tariffs 2022'!L9:N9))*1.5),(0),($C$5-(SUM('Tariffs 2022'!L9:N9))*1.5)*'Tariffs 2022'!Z9/100),IF(AND('Tariffs 2022'!M9&gt;0,'Tariffs 2022'!N9=""),IF(($C$5&lt;'Tariffs 2022'!M9*1.5+'Tariffs 2022'!L9*1.5),(0),(($C$5-('Tariffs 2022'!M9*1.5+'Tariffs 2022'!L9*1.5))*'Tariffs 2022'!Y9/100)),IF(AND('Tariffs 2022'!L9&gt;0,'Tariffs 2022'!M9=""&gt;0),IF(($C$5&lt;'Tariffs 2022'!L9*1.5),(0),($C$5-('Tariffs 2022'!L9*1.5))*'Tariffs 2022'!X9/100),0)))))</f>
        <v>114.66</v>
      </c>
      <c r="H14" s="282">
        <f t="shared" ref="H14" si="10">SUM(D14:G14)</f>
        <v>445.57999999999993</v>
      </c>
      <c r="I14" s="282">
        <f t="shared" si="0"/>
        <v>1534.7999999999997</v>
      </c>
      <c r="J14" s="283">
        <f t="shared" si="7"/>
        <v>1782.3199999999997</v>
      </c>
      <c r="K14" s="284">
        <f t="shared" si="8"/>
        <v>1960.5519999999999</v>
      </c>
      <c r="L14" s="281">
        <f>'Tariffs 2022'!AT9</f>
        <v>0</v>
      </c>
      <c r="M14" s="281">
        <f>'Tariffs 2022'!AU9</f>
        <v>0</v>
      </c>
      <c r="N14" s="281">
        <f>'Tariffs 2022'!AV9</f>
        <v>0</v>
      </c>
      <c r="O14" s="281">
        <f>'Tariffs 2022'!AW9</f>
        <v>0</v>
      </c>
      <c r="P14" s="285" t="str">
        <f t="shared" si="9"/>
        <v>No discount</v>
      </c>
      <c r="Q14" s="285" t="str">
        <f t="shared" si="2"/>
        <v>Exclusive</v>
      </c>
      <c r="R14" s="286">
        <f t="shared" si="3"/>
        <v>1782.3199999999997</v>
      </c>
      <c r="S14" s="286">
        <f t="shared" si="4"/>
        <v>1782.3199999999997</v>
      </c>
      <c r="T14" s="287">
        <f t="shared" si="5"/>
        <v>1960.5519999999999</v>
      </c>
      <c r="U14" s="287">
        <f t="shared" si="5"/>
        <v>1960.5519999999999</v>
      </c>
      <c r="V14" s="288">
        <f>'Tariffs 2022'!BF9</f>
        <v>0</v>
      </c>
      <c r="W14" s="288" t="str">
        <f>'Tariffs 2022'!BG9</f>
        <v>n</v>
      </c>
      <c r="X14" s="289" t="str">
        <f>'Tariffs 2022'!BP9</f>
        <v>N</v>
      </c>
      <c r="Y14" s="310"/>
      <c r="Z14" s="310"/>
      <c r="AA14" s="310"/>
      <c r="AB14" s="310"/>
      <c r="AC14" s="310"/>
      <c r="AD14" s="310"/>
      <c r="AE14" s="310"/>
      <c r="AF14" s="310"/>
      <c r="AG14" s="310"/>
      <c r="AH14" s="310"/>
      <c r="AI14" s="310"/>
      <c r="AJ14" s="310"/>
      <c r="AK14" s="310"/>
      <c r="AL14" s="310"/>
      <c r="AM14" s="310"/>
      <c r="AN14" s="310"/>
      <c r="AO14" s="310"/>
    </row>
    <row r="15" spans="1:41" ht="20" customHeight="1" thickTop="1" thickBot="1" x14ac:dyDescent="0.2">
      <c r="A15" s="290" t="str">
        <f>'Tariffs 2022'!F10</f>
        <v>Origin Energy</v>
      </c>
      <c r="B15" s="281" t="str">
        <f>'Tariffs 2022'!D10</f>
        <v>Envestra Port Pirie</v>
      </c>
      <c r="C15" s="281" t="str">
        <f>'Tariffs 2022'!G10</f>
        <v>Go Variable</v>
      </c>
      <c r="D15" s="282">
        <f>91*'Tariffs 2022'!H10/100</f>
        <v>67.249000000000009</v>
      </c>
      <c r="E15" s="282">
        <f>IF('Tariffs 2022'!K10="",$C$5*'Tariffs 2022'!W10/100,IF($C$5&gt;='Tariffs 2022'!L10*1.5,('Tariffs 2022'!L10*1.5*'Tariffs 2022'!W10/100),($C$5*'Tariffs 2022'!W10/100)))</f>
        <v>188.43449999999996</v>
      </c>
      <c r="F15" s="282">
        <f>IF(AND('Tariffs 2022'!L10*1.5&gt;0,'Tariffs 2022'!M10*1.5&gt;0),IF($C$5&lt;'Tariffs 2022'!L10*1.5,0,IF(($C$5-'Tariffs 2022'!L10*1.5)&lt;=('Tariffs 2022'!M10*1.5+'Tariffs 2022'!L10*1.5),(($C$5-'Tariffs 2022'!L10*1.5)*'Tariffs 2022'!X10/100),(('Tariffs 2022'!M10*1.5)*'Tariffs 2022'!X10/100))),0)</f>
        <v>0</v>
      </c>
      <c r="G15" s="282">
        <f>IF(AND('Tariffs 2022'!P10&gt;0,'Tariffs 2022'!O10&gt;0),IF(($C$5&lt;(SUM('Tariffs 2022'!L10:P10))*1.5),(0),($C$5-(SUM('Tariffs 2022'!L10:P10)*1.5))*'Tariffs 2022'!AB10/100),IF(AND('Tariffs 2022'!O10&gt;0,'Tariffs 2022'!P10=""),IF(($C$5&lt; (SUM('Tariffs 2022'!L10:O10))*1.5),(0),($C$5-(SUM('Tariffs 2022'!L10:O10))*1.5)*'Tariffs 2022'!AA10/100),IF(AND('Tariffs 2022'!N10&gt;0,'Tariffs 2022'!O10=""),IF(($C$5&lt;(SUM('Tariffs 2022'!L10:N10))*1.5),(0),($C$5-(SUM('Tariffs 2022'!L10:N10))*1.5)*'Tariffs 2022'!Z10/100),IF(AND('Tariffs 2022'!M10&gt;0,'Tariffs 2022'!N10=""),IF(($C$5&lt;'Tariffs 2022'!M10*1.5+'Tariffs 2022'!L10*1.5),(0),(($C$5-('Tariffs 2022'!M10*1.5+'Tariffs 2022'!L10*1.5))*'Tariffs 2022'!Y10/100)),IF(AND('Tariffs 2022'!L10&gt;0,'Tariffs 2022'!M10=""&gt;0),IF(($C$5&lt;'Tariffs 2022'!L10*1.5),(0),($C$5-('Tariffs 2022'!L10*1.5))*'Tariffs 2022'!X10/100),0)))))</f>
        <v>66.518045454545458</v>
      </c>
      <c r="H15" s="282">
        <f t="shared" si="6"/>
        <v>322.20154545454545</v>
      </c>
      <c r="I15" s="282">
        <f>(H15-D15)*4</f>
        <v>1019.8101818181817</v>
      </c>
      <c r="J15" s="283">
        <f t="shared" si="7"/>
        <v>1288.8061818181818</v>
      </c>
      <c r="K15" s="284">
        <f t="shared" si="8"/>
        <v>1417.6868000000002</v>
      </c>
      <c r="L15" s="281">
        <f>'Tariffs 2022'!AT10</f>
        <v>0</v>
      </c>
      <c r="M15" s="281">
        <f>'Tariffs 2022'!AU10</f>
        <v>0</v>
      </c>
      <c r="N15" s="281">
        <f>'Tariffs 2022'!AV10</f>
        <v>0</v>
      </c>
      <c r="O15" s="281">
        <f>'Tariffs 2022'!AW10</f>
        <v>0</v>
      </c>
      <c r="P15" s="285" t="str">
        <f t="shared" si="9"/>
        <v>No discount</v>
      </c>
      <c r="Q15" s="285" t="str">
        <f>IF(OR(A15="Origin Energy",A15="Red Energy",A15="Powershop"),"Inclusive","Exclusive")</f>
        <v>Inclusive</v>
      </c>
      <c r="R15" s="286">
        <f t="shared" si="3"/>
        <v>1288.8061818181818</v>
      </c>
      <c r="S15" s="286">
        <f t="shared" si="4"/>
        <v>1288.8061818181818</v>
      </c>
      <c r="T15" s="287">
        <f t="shared" si="5"/>
        <v>1417.6868000000002</v>
      </c>
      <c r="U15" s="287">
        <f t="shared" si="5"/>
        <v>1417.6868000000002</v>
      </c>
      <c r="V15" s="288">
        <f>'Tariffs 2022'!BF10</f>
        <v>0</v>
      </c>
      <c r="W15" s="293" t="str">
        <f>'Tariffs 2022'!BG10</f>
        <v>n</v>
      </c>
      <c r="X15" s="289" t="str">
        <f>'Tariffs 2022'!BP10</f>
        <v>N</v>
      </c>
      <c r="Y15" s="310"/>
      <c r="Z15" s="310"/>
      <c r="AA15" s="310"/>
      <c r="AB15" s="310"/>
      <c r="AC15" s="310"/>
      <c r="AD15" s="310"/>
      <c r="AE15" s="310"/>
      <c r="AF15" s="310"/>
      <c r="AG15" s="310"/>
      <c r="AH15" s="310"/>
      <c r="AI15" s="310"/>
      <c r="AJ15" s="310"/>
      <c r="AK15" s="310"/>
      <c r="AL15" s="310"/>
      <c r="AM15" s="310"/>
      <c r="AN15" s="310"/>
      <c r="AO15" s="310"/>
    </row>
    <row r="16" spans="1:41" ht="20" customHeight="1" thickTop="1" thickBot="1" x14ac:dyDescent="0.2">
      <c r="A16" s="290" t="str">
        <f>'Tariffs 2022'!F11</f>
        <v>Origin Energy</v>
      </c>
      <c r="B16" s="281" t="str">
        <f>'Tariffs 2022'!D11</f>
        <v>Envestra Whyalla</v>
      </c>
      <c r="C16" s="281" t="str">
        <f>'Tariffs 2022'!G11</f>
        <v>Go Variable</v>
      </c>
      <c r="D16" s="282">
        <f>91*'Tariffs 2022'!H11/100</f>
        <v>67.249000000000009</v>
      </c>
      <c r="E16" s="282">
        <f>IF('Tariffs 2022'!K11="",$C$5*'Tariffs 2022'!W11/100,IF($C$5&gt;='Tariffs 2022'!L11*1.5,('Tariffs 2022'!L11*1.5*'Tariffs 2022'!W11/100),($C$5*'Tariffs 2022'!W11/100)))</f>
        <v>188.43449999999996</v>
      </c>
      <c r="F16" s="282">
        <f>IF(AND('Tariffs 2022'!L11*1.5&gt;0,'Tariffs 2022'!M11*1.5&gt;0),IF($C$5&lt;'Tariffs 2022'!L11*1.5,0,IF(($C$5-'Tariffs 2022'!L11*1.5)&lt;=('Tariffs 2022'!M11*1.5+'Tariffs 2022'!L11*1.5),(($C$5-'Tariffs 2022'!L11*1.5)*'Tariffs 2022'!X11/100),(('Tariffs 2022'!M11*1.5)*'Tariffs 2022'!X11/100))),0)</f>
        <v>0</v>
      </c>
      <c r="G16" s="282">
        <f>IF(AND('Tariffs 2022'!P11&gt;0,'Tariffs 2022'!O11&gt;0),IF(($C$5&lt;(SUM('Tariffs 2022'!L11:P11))*1.5),(0),($C$5-(SUM('Tariffs 2022'!L11:P11)*1.5))*'Tariffs 2022'!AB11/100),IF(AND('Tariffs 2022'!O11&gt;0,'Tariffs 2022'!P11=""),IF(($C$5&lt; (SUM('Tariffs 2022'!L11:O11))*1.5),(0),($C$5-(SUM('Tariffs 2022'!L11:O11))*1.5)*'Tariffs 2022'!AA11/100),IF(AND('Tariffs 2022'!N11&gt;0,'Tariffs 2022'!O11=""),IF(($C$5&lt;(SUM('Tariffs 2022'!L11:N11))*1.5),(0),($C$5-(SUM('Tariffs 2022'!L11:N11))*1.5)*'Tariffs 2022'!Z11/100),IF(AND('Tariffs 2022'!M11&gt;0,'Tariffs 2022'!N11=""),IF(($C$5&lt;'Tariffs 2022'!M11*1.5+'Tariffs 2022'!L11*1.5),(0),(($C$5-('Tariffs 2022'!M11*1.5+'Tariffs 2022'!L11*1.5))*'Tariffs 2022'!Y11/100)),IF(AND('Tariffs 2022'!L11&gt;0,'Tariffs 2022'!M11=""&gt;0),IF(($C$5&lt;'Tariffs 2022'!L11*1.5),(0),($C$5-('Tariffs 2022'!L11*1.5))*'Tariffs 2022'!X11/100),0)))))</f>
        <v>66.518045454545458</v>
      </c>
      <c r="H16" s="282">
        <f t="shared" si="6"/>
        <v>322.20154545454545</v>
      </c>
      <c r="I16" s="282">
        <f>(H16-D16)*4</f>
        <v>1019.8101818181817</v>
      </c>
      <c r="J16" s="283">
        <f t="shared" si="7"/>
        <v>1288.8061818181818</v>
      </c>
      <c r="K16" s="291">
        <f t="shared" si="8"/>
        <v>1417.6868000000002</v>
      </c>
      <c r="L16" s="281">
        <f>'Tariffs 2022'!AT11</f>
        <v>0</v>
      </c>
      <c r="M16" s="281">
        <f>'Tariffs 2022'!AU11</f>
        <v>0</v>
      </c>
      <c r="N16" s="281">
        <f>'Tariffs 2022'!AV11</f>
        <v>0</v>
      </c>
      <c r="O16" s="281">
        <f>'Tariffs 2022'!AW11</f>
        <v>0</v>
      </c>
      <c r="P16" s="285" t="str">
        <f t="shared" si="9"/>
        <v>No discount</v>
      </c>
      <c r="Q16" s="285" t="str">
        <f>IF(OR(A16="Origin Energy",A16="Red Energy",A16="Powershop"),"Inclusive","Exclusive")</f>
        <v>Inclusive</v>
      </c>
      <c r="R16" s="286">
        <f t="shared" si="3"/>
        <v>1288.8061818181818</v>
      </c>
      <c r="S16" s="286">
        <f t="shared" si="4"/>
        <v>1288.8061818181818</v>
      </c>
      <c r="T16" s="292">
        <f t="shared" si="5"/>
        <v>1417.6868000000002</v>
      </c>
      <c r="U16" s="292">
        <f t="shared" si="5"/>
        <v>1417.6868000000002</v>
      </c>
      <c r="V16" s="288">
        <f>'Tariffs 2022'!BF11</f>
        <v>0</v>
      </c>
      <c r="W16" s="293" t="str">
        <f>'Tariffs 2022'!BG11</f>
        <v>n</v>
      </c>
      <c r="X16" s="289" t="str">
        <f>'Tariffs 2022'!BP11</f>
        <v>N</v>
      </c>
      <c r="Y16" s="310"/>
      <c r="Z16" s="310"/>
      <c r="AA16" s="310"/>
      <c r="AB16" s="310"/>
      <c r="AC16" s="310"/>
      <c r="AD16" s="310"/>
      <c r="AE16" s="310"/>
      <c r="AF16" s="310"/>
      <c r="AG16" s="310"/>
      <c r="AH16" s="310"/>
      <c r="AI16" s="310"/>
      <c r="AJ16" s="310"/>
      <c r="AK16" s="310"/>
      <c r="AL16" s="310"/>
      <c r="AM16" s="310"/>
      <c r="AN16" s="310"/>
      <c r="AO16" s="310"/>
    </row>
    <row r="17" spans="1:41" ht="20" customHeight="1" thickTop="1" thickBot="1" x14ac:dyDescent="0.2">
      <c r="A17" s="290" t="str">
        <f>'Tariffs 2022'!F12</f>
        <v>Origin Energy</v>
      </c>
      <c r="B17" s="281" t="str">
        <f>'Tariffs 2022'!D12</f>
        <v>Envestra Mt Gambier</v>
      </c>
      <c r="C17" s="281" t="str">
        <f>'Tariffs 2022'!G12</f>
        <v>Go Variable</v>
      </c>
      <c r="D17" s="282">
        <f>91*'Tariffs 2022'!H12/100</f>
        <v>67.249000000000009</v>
      </c>
      <c r="E17" s="282">
        <f>IF('Tariffs 2022'!K12="",$C$5*'Tariffs 2022'!W12/100,IF($C$5&gt;='Tariffs 2022'!L12*1.5,('Tariffs 2022'!L12*1.5*'Tariffs 2022'!W12/100),($C$5*'Tariffs 2022'!W12/100)))</f>
        <v>188.43449999999996</v>
      </c>
      <c r="F17" s="282">
        <f>IF(AND('Tariffs 2022'!L12*1.5&gt;0,'Tariffs 2022'!M12*1.5&gt;0),IF($C$5&lt;'Tariffs 2022'!L12*1.5,0,IF(($C$5-'Tariffs 2022'!L12*1.5)&lt;=('Tariffs 2022'!M12*1.5+'Tariffs 2022'!L12*1.5),(($C$5-'Tariffs 2022'!L12*1.5)*'Tariffs 2022'!X12/100),(('Tariffs 2022'!M12*1.5)*'Tariffs 2022'!X12/100))),0)</f>
        <v>0</v>
      </c>
      <c r="G17" s="282">
        <f>IF(AND('Tariffs 2022'!P12&gt;0,'Tariffs 2022'!O12&gt;0),IF(($C$5&lt;(SUM('Tariffs 2022'!L12:P12))*1.5),(0),($C$5-(SUM('Tariffs 2022'!L12:P12)*1.5))*'Tariffs 2022'!AB12/100),IF(AND('Tariffs 2022'!O12&gt;0,'Tariffs 2022'!P12=""),IF(($C$5&lt; (SUM('Tariffs 2022'!L12:O12))*1.5),(0),($C$5-(SUM('Tariffs 2022'!L12:O12))*1.5)*'Tariffs 2022'!AA12/100),IF(AND('Tariffs 2022'!N12&gt;0,'Tariffs 2022'!O12=""),IF(($C$5&lt;(SUM('Tariffs 2022'!L12:N12))*1.5),(0),($C$5-(SUM('Tariffs 2022'!L12:N12))*1.5)*'Tariffs 2022'!Z12/100),IF(AND('Tariffs 2022'!M12&gt;0,'Tariffs 2022'!N12=""),IF(($C$5&lt;'Tariffs 2022'!M12*1.5+'Tariffs 2022'!L12*1.5),(0),(($C$5-('Tariffs 2022'!M12*1.5+'Tariffs 2022'!L12*1.5))*'Tariffs 2022'!Y12/100)),IF(AND('Tariffs 2022'!L12&gt;0,'Tariffs 2022'!M12=""&gt;0),IF(($C$5&lt;'Tariffs 2022'!L12*1.5),(0),($C$5-('Tariffs 2022'!L12*1.5))*'Tariffs 2022'!X12/100),0)))))</f>
        <v>66.518045454545458</v>
      </c>
      <c r="H17" s="282">
        <f t="shared" si="6"/>
        <v>322.20154545454545</v>
      </c>
      <c r="I17" s="282">
        <f>(H17-D17)*4</f>
        <v>1019.8101818181817</v>
      </c>
      <c r="J17" s="283">
        <f t="shared" si="7"/>
        <v>1288.8061818181818</v>
      </c>
      <c r="K17" s="291">
        <f t="shared" si="8"/>
        <v>1417.6868000000002</v>
      </c>
      <c r="L17" s="281">
        <f>'Tariffs 2022'!AT12</f>
        <v>0</v>
      </c>
      <c r="M17" s="281">
        <f>'Tariffs 2022'!AU12</f>
        <v>0</v>
      </c>
      <c r="N17" s="281">
        <f>'Tariffs 2022'!AV12</f>
        <v>0</v>
      </c>
      <c r="O17" s="281">
        <f>'Tariffs 2022'!AW12</f>
        <v>0</v>
      </c>
      <c r="P17" s="285" t="str">
        <f t="shared" si="9"/>
        <v>No discount</v>
      </c>
      <c r="Q17" s="285" t="str">
        <f>IF(OR(A17="Origin Energy",A17="Red Energy",A17="Powershop"),"Inclusive","Exclusive")</f>
        <v>Inclusive</v>
      </c>
      <c r="R17" s="286">
        <f t="shared" si="3"/>
        <v>1288.8061818181818</v>
      </c>
      <c r="S17" s="286">
        <f t="shared" si="4"/>
        <v>1288.8061818181818</v>
      </c>
      <c r="T17" s="292">
        <f t="shared" si="5"/>
        <v>1417.6868000000002</v>
      </c>
      <c r="U17" s="292">
        <f t="shared" si="5"/>
        <v>1417.6868000000002</v>
      </c>
      <c r="V17" s="288">
        <f>'Tariffs 2022'!BF12</f>
        <v>0</v>
      </c>
      <c r="W17" s="293" t="str">
        <f>'Tariffs 2022'!BG12</f>
        <v>n</v>
      </c>
      <c r="X17" s="289" t="str">
        <f>'Tariffs 2022'!BP12</f>
        <v>N</v>
      </c>
      <c r="Y17" s="310"/>
      <c r="Z17" s="310"/>
      <c r="AA17" s="310"/>
      <c r="AB17" s="310"/>
      <c r="AC17" s="310"/>
      <c r="AD17" s="310"/>
      <c r="AE17" s="310"/>
      <c r="AF17" s="310"/>
      <c r="AG17" s="310"/>
      <c r="AH17" s="310"/>
      <c r="AI17" s="310"/>
      <c r="AJ17" s="310"/>
      <c r="AK17" s="310"/>
      <c r="AL17" s="310"/>
      <c r="AM17" s="310"/>
      <c r="AN17" s="310"/>
      <c r="AO17" s="310"/>
    </row>
    <row r="18" spans="1:41" ht="20" customHeight="1" thickTop="1" thickBot="1" x14ac:dyDescent="0.2">
      <c r="A18" s="220" t="str">
        <f>'Tariffs 2022'!F13</f>
        <v>Origin Energy</v>
      </c>
      <c r="B18" s="221" t="str">
        <f>'Tariffs 2022'!D13</f>
        <v>Envestra Riverland</v>
      </c>
      <c r="C18" s="221" t="str">
        <f>'Tariffs 2022'!G13</f>
        <v>Go Variable</v>
      </c>
      <c r="D18" s="222">
        <f>91*'Tariffs 2022'!H13/100</f>
        <v>67.249000000000009</v>
      </c>
      <c r="E18" s="222">
        <f>IF('Tariffs 2022'!K13="",$C$5*'Tariffs 2022'!W13/100,IF($C$5&gt;='Tariffs 2022'!L13*1.5,('Tariffs 2022'!L13*1.5*'Tariffs 2022'!W13/100),($C$5*'Tariffs 2022'!W13/100)))</f>
        <v>188.43449999999996</v>
      </c>
      <c r="F18" s="222">
        <f>IF(AND('Tariffs 2022'!L13*1.5&gt;0,'Tariffs 2022'!M13*1.5&gt;0),IF($C$5&lt;'Tariffs 2022'!L13*1.5,0,IF(($C$5-'Tariffs 2022'!L13*1.5)&lt;=('Tariffs 2022'!M13*1.5+'Tariffs 2022'!L13*1.5),(($C$5-'Tariffs 2022'!L13*1.5)*'Tariffs 2022'!X13/100),(('Tariffs 2022'!M13*1.5)*'Tariffs 2022'!X13/100))),0)</f>
        <v>0</v>
      </c>
      <c r="G18" s="222">
        <f>IF(AND('Tariffs 2022'!P13&gt;0,'Tariffs 2022'!O13&gt;0),IF(($C$5&lt;(SUM('Tariffs 2022'!L13:P13))*1.5),(0),($C$5-(SUM('Tariffs 2022'!L13:P13)*1.5))*'Tariffs 2022'!AB13/100),IF(AND('Tariffs 2022'!O13&gt;0,'Tariffs 2022'!P13=""),IF(($C$5&lt; (SUM('Tariffs 2022'!L13:O13))*1.5),(0),($C$5-(SUM('Tariffs 2022'!L13:O13))*1.5)*'Tariffs 2022'!AA13/100),IF(AND('Tariffs 2022'!N13&gt;0,'Tariffs 2022'!O13=""),IF(($C$5&lt;(SUM('Tariffs 2022'!L13:N13))*1.5),(0),($C$5-(SUM('Tariffs 2022'!L13:N13))*1.5)*'Tariffs 2022'!Z13/100),IF(AND('Tariffs 2022'!M13&gt;0,'Tariffs 2022'!N13=""),IF(($C$5&lt;'Tariffs 2022'!M13*1.5+'Tariffs 2022'!L13*1.5),(0),(($C$5-('Tariffs 2022'!M13*1.5+'Tariffs 2022'!L13*1.5))*'Tariffs 2022'!Y13/100)),IF(AND('Tariffs 2022'!L13&gt;0,'Tariffs 2022'!M13=""&gt;0),IF(($C$5&lt;'Tariffs 2022'!L13*1.5),(0),($C$5-('Tariffs 2022'!L13*1.5))*'Tariffs 2022'!X13/100),0)))))</f>
        <v>66.518045454545458</v>
      </c>
      <c r="H18" s="222">
        <f t="shared" si="6"/>
        <v>322.20154545454545</v>
      </c>
      <c r="I18" s="222">
        <f>(H18-D18)*4</f>
        <v>1019.8101818181817</v>
      </c>
      <c r="J18" s="223">
        <f t="shared" si="7"/>
        <v>1288.8061818181818</v>
      </c>
      <c r="K18" s="258">
        <f t="shared" si="8"/>
        <v>1417.6868000000002</v>
      </c>
      <c r="L18" s="221">
        <f>'Tariffs 2022'!AT13</f>
        <v>0</v>
      </c>
      <c r="M18" s="221">
        <f>'Tariffs 2022'!AU13</f>
        <v>0</v>
      </c>
      <c r="N18" s="221">
        <f>'Tariffs 2022'!AV13</f>
        <v>0</v>
      </c>
      <c r="O18" s="221">
        <f>'Tariffs 2022'!AW13</f>
        <v>0</v>
      </c>
      <c r="P18" s="224" t="str">
        <f t="shared" si="9"/>
        <v>No discount</v>
      </c>
      <c r="Q18" s="224" t="str">
        <f>IF(OR(A18="Origin Energy",A18="Red Energy",A18="Powershop"),"Inclusive","Exclusive")</f>
        <v>Inclusive</v>
      </c>
      <c r="R18" s="254">
        <f t="shared" si="3"/>
        <v>1288.8061818181818</v>
      </c>
      <c r="S18" s="255">
        <f t="shared" si="4"/>
        <v>1288.8061818181818</v>
      </c>
      <c r="T18" s="261">
        <f t="shared" si="5"/>
        <v>1417.6868000000002</v>
      </c>
      <c r="U18" s="261">
        <f t="shared" si="5"/>
        <v>1417.6868000000002</v>
      </c>
      <c r="V18" s="225">
        <f>'Tariffs 2022'!BF13</f>
        <v>0</v>
      </c>
      <c r="W18" s="228" t="str">
        <f>'Tariffs 2022'!BG13</f>
        <v>n</v>
      </c>
      <c r="X18" s="226" t="str">
        <f>'Tariffs 2022'!BP13</f>
        <v>N</v>
      </c>
      <c r="Y18" s="310"/>
      <c r="Z18" s="310"/>
      <c r="AA18" s="310"/>
      <c r="AB18" s="310"/>
      <c r="AC18" s="310"/>
      <c r="AD18" s="310"/>
      <c r="AE18" s="310"/>
      <c r="AF18" s="310"/>
      <c r="AG18" s="310"/>
      <c r="AH18" s="310"/>
      <c r="AI18" s="310"/>
      <c r="AJ18" s="310"/>
      <c r="AK18" s="310"/>
      <c r="AL18" s="310"/>
      <c r="AM18" s="310"/>
      <c r="AN18" s="310"/>
      <c r="AO18" s="310"/>
    </row>
    <row r="19" spans="1:41" customFormat="1" x14ac:dyDescent="0.15">
      <c r="A19" s="310"/>
      <c r="B19" s="310"/>
      <c r="C19" s="310"/>
      <c r="D19" s="310"/>
      <c r="E19" s="310"/>
      <c r="F19" s="310"/>
      <c r="G19" s="310"/>
      <c r="H19" s="310"/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  <c r="AA19" s="310"/>
      <c r="AB19" s="310"/>
      <c r="AC19" s="310"/>
      <c r="AD19" s="310"/>
      <c r="AE19" s="310"/>
      <c r="AF19" s="310"/>
      <c r="AG19" s="310"/>
      <c r="AH19" s="310"/>
      <c r="AI19" s="310"/>
      <c r="AJ19" s="310"/>
      <c r="AK19" s="310"/>
      <c r="AL19" s="310"/>
      <c r="AM19" s="310"/>
      <c r="AN19" s="310"/>
      <c r="AO19" s="310"/>
    </row>
    <row r="20" spans="1:41" customFormat="1" x14ac:dyDescent="0.15">
      <c r="A20" s="310"/>
      <c r="B20" s="310"/>
      <c r="C20" s="310"/>
      <c r="D20" s="310"/>
      <c r="E20" s="310"/>
      <c r="F20" s="310"/>
      <c r="G20" s="310"/>
      <c r="H20" s="310"/>
      <c r="I20" s="310"/>
      <c r="J20" s="310"/>
      <c r="K20" s="310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</row>
    <row r="21" spans="1:41" customFormat="1" x14ac:dyDescent="0.15">
      <c r="A21" s="310"/>
      <c r="B21" s="310"/>
      <c r="C21" s="310"/>
      <c r="D21" s="310"/>
      <c r="E21" s="310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</row>
    <row r="22" spans="1:41" customFormat="1" x14ac:dyDescent="0.15">
      <c r="A22" s="310"/>
      <c r="B22" s="310"/>
      <c r="C22" s="310"/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310"/>
      <c r="O22" s="310"/>
      <c r="P22" s="310"/>
      <c r="Q22" s="310"/>
      <c r="R22" s="310"/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G22" s="310"/>
      <c r="AH22" s="310"/>
      <c r="AI22" s="310"/>
      <c r="AJ22" s="310"/>
      <c r="AK22" s="310"/>
      <c r="AL22" s="310"/>
      <c r="AM22" s="310"/>
      <c r="AN22" s="310"/>
      <c r="AO22" s="310"/>
    </row>
    <row r="23" spans="1:41" customFormat="1" x14ac:dyDescent="0.15">
      <c r="A23" s="310"/>
      <c r="B23" s="310"/>
      <c r="C23" s="310"/>
      <c r="D23" s="310"/>
      <c r="E23" s="310"/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310"/>
      <c r="AA23" s="310"/>
      <c r="AB23" s="310"/>
      <c r="AC23" s="310"/>
      <c r="AD23" s="310"/>
      <c r="AE23" s="310"/>
      <c r="AF23" s="310"/>
      <c r="AG23" s="310"/>
      <c r="AH23" s="310"/>
      <c r="AI23" s="310"/>
      <c r="AJ23" s="310"/>
      <c r="AK23" s="310"/>
      <c r="AL23" s="310"/>
      <c r="AM23" s="310"/>
      <c r="AN23" s="310"/>
      <c r="AO23" s="310"/>
    </row>
    <row r="24" spans="1:41" customFormat="1" x14ac:dyDescent="0.15">
      <c r="A24" s="310"/>
      <c r="B24" s="310"/>
      <c r="C24" s="310"/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  <c r="AG24" s="310"/>
      <c r="AH24" s="310"/>
      <c r="AI24" s="310"/>
      <c r="AJ24" s="310"/>
      <c r="AK24" s="310"/>
      <c r="AL24" s="310"/>
      <c r="AM24" s="310"/>
      <c r="AN24" s="310"/>
      <c r="AO24" s="310"/>
    </row>
    <row r="25" spans="1:41" customFormat="1" x14ac:dyDescent="0.15">
      <c r="A25" s="310"/>
      <c r="B25" s="310"/>
      <c r="C25" s="310"/>
      <c r="D25" s="310"/>
      <c r="E25" s="310"/>
      <c r="F25" s="310"/>
      <c r="G25" s="310"/>
      <c r="H25" s="310"/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  <c r="AA25" s="310"/>
      <c r="AB25" s="310"/>
      <c r="AC25" s="310"/>
      <c r="AD25" s="310"/>
      <c r="AE25" s="310"/>
      <c r="AF25" s="310"/>
      <c r="AG25" s="310"/>
      <c r="AH25" s="310"/>
      <c r="AI25" s="310"/>
      <c r="AJ25" s="310"/>
      <c r="AK25" s="310"/>
      <c r="AL25" s="310"/>
      <c r="AM25" s="310"/>
      <c r="AN25" s="310"/>
      <c r="AO25" s="310"/>
    </row>
    <row r="26" spans="1:41" customFormat="1" x14ac:dyDescent="0.15">
      <c r="A26" s="310"/>
      <c r="B26" s="310"/>
      <c r="C26" s="310"/>
      <c r="D26" s="310"/>
      <c r="E26" s="310"/>
      <c r="F26" s="310"/>
      <c r="G26" s="310"/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  <c r="AE26" s="310"/>
      <c r="AF26" s="310"/>
      <c r="AG26" s="310"/>
      <c r="AH26" s="310"/>
      <c r="AI26" s="310"/>
      <c r="AJ26" s="310"/>
      <c r="AK26" s="310"/>
      <c r="AL26" s="310"/>
      <c r="AM26" s="310"/>
      <c r="AN26" s="310"/>
      <c r="AO26" s="310"/>
    </row>
    <row r="27" spans="1:41" customFormat="1" x14ac:dyDescent="0.15">
      <c r="A27" s="310"/>
      <c r="B27" s="310"/>
      <c r="C27" s="310"/>
      <c r="D27" s="310"/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  <c r="AD27" s="310"/>
      <c r="AE27" s="310"/>
      <c r="AF27" s="310"/>
      <c r="AG27" s="310"/>
      <c r="AH27" s="310"/>
      <c r="AI27" s="310"/>
      <c r="AJ27" s="310"/>
      <c r="AK27" s="310"/>
      <c r="AL27" s="310"/>
      <c r="AM27" s="310"/>
      <c r="AN27" s="310"/>
      <c r="AO27" s="310"/>
    </row>
    <row r="28" spans="1:41" customFormat="1" x14ac:dyDescent="0.15">
      <c r="A28" s="310"/>
      <c r="B28" s="310"/>
      <c r="C28" s="310"/>
      <c r="D28" s="310"/>
      <c r="E28" s="310"/>
      <c r="F28" s="310"/>
      <c r="G28" s="310"/>
      <c r="H28" s="310"/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310"/>
      <c r="AC28" s="310"/>
      <c r="AD28" s="310"/>
      <c r="AE28" s="310"/>
      <c r="AF28" s="310"/>
      <c r="AG28" s="310"/>
      <c r="AH28" s="310"/>
      <c r="AI28" s="310"/>
      <c r="AJ28" s="310"/>
      <c r="AK28" s="310"/>
      <c r="AL28" s="310"/>
      <c r="AM28" s="310"/>
      <c r="AN28" s="310"/>
      <c r="AO28" s="310"/>
    </row>
    <row r="29" spans="1:41" customFormat="1" x14ac:dyDescent="0.15">
      <c r="A29" s="310"/>
      <c r="B29" s="310"/>
      <c r="C29" s="310"/>
      <c r="D29" s="310"/>
      <c r="E29" s="310"/>
      <c r="F29" s="310"/>
      <c r="G29" s="310"/>
      <c r="H29" s="310"/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  <c r="AA29" s="310"/>
      <c r="AB29" s="310"/>
      <c r="AC29" s="310"/>
      <c r="AD29" s="310"/>
      <c r="AE29" s="310"/>
      <c r="AF29" s="310"/>
      <c r="AG29" s="310"/>
      <c r="AH29" s="310"/>
      <c r="AI29" s="310"/>
      <c r="AJ29" s="310"/>
      <c r="AK29" s="310"/>
      <c r="AL29" s="310"/>
      <c r="AM29" s="310"/>
      <c r="AN29" s="310"/>
      <c r="AO29" s="310"/>
    </row>
    <row r="30" spans="1:41" customFormat="1" x14ac:dyDescent="0.15">
      <c r="A30" s="310"/>
      <c r="B30" s="310"/>
      <c r="C30" s="310"/>
      <c r="D30" s="310"/>
      <c r="E30" s="310"/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  <c r="AA30" s="310"/>
      <c r="AB30" s="310"/>
      <c r="AC30" s="310"/>
      <c r="AD30" s="310"/>
      <c r="AE30" s="310"/>
      <c r="AF30" s="310"/>
      <c r="AG30" s="310"/>
      <c r="AH30" s="310"/>
      <c r="AI30" s="310"/>
      <c r="AJ30" s="310"/>
      <c r="AK30" s="310"/>
      <c r="AL30" s="310"/>
      <c r="AM30" s="310"/>
      <c r="AN30" s="310"/>
      <c r="AO30" s="310"/>
    </row>
    <row r="31" spans="1:41" customFormat="1" x14ac:dyDescent="0.15">
      <c r="A31" s="310"/>
      <c r="B31" s="310"/>
      <c r="C31" s="310"/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  <c r="AD31" s="310"/>
      <c r="AE31" s="310"/>
      <c r="AF31" s="310"/>
      <c r="AG31" s="310"/>
      <c r="AH31" s="310"/>
      <c r="AI31" s="310"/>
      <c r="AJ31" s="310"/>
      <c r="AK31" s="310"/>
      <c r="AL31" s="310"/>
      <c r="AM31" s="310"/>
      <c r="AN31" s="310"/>
      <c r="AO31" s="310"/>
    </row>
    <row r="32" spans="1:41" customFormat="1" x14ac:dyDescent="0.15">
      <c r="A32" s="310"/>
      <c r="B32" s="310"/>
      <c r="C32" s="310"/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  <c r="AC32" s="310"/>
      <c r="AD32" s="310"/>
      <c r="AE32" s="310"/>
      <c r="AF32" s="310"/>
      <c r="AG32" s="310"/>
      <c r="AH32" s="310"/>
      <c r="AI32" s="310"/>
      <c r="AJ32" s="310"/>
      <c r="AK32" s="310"/>
      <c r="AL32" s="310"/>
      <c r="AM32" s="310"/>
      <c r="AN32" s="310"/>
      <c r="AO32" s="310"/>
    </row>
    <row r="33" spans="1:41" customFormat="1" x14ac:dyDescent="0.15">
      <c r="A33" s="310"/>
      <c r="B33" s="310"/>
      <c r="C33" s="310"/>
      <c r="D33" s="310"/>
      <c r="E33" s="310"/>
      <c r="F33" s="310"/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  <c r="AD33" s="310"/>
      <c r="AE33" s="310"/>
      <c r="AF33" s="310"/>
      <c r="AG33" s="310"/>
      <c r="AH33" s="310"/>
      <c r="AI33" s="310"/>
      <c r="AJ33" s="310"/>
      <c r="AK33" s="310"/>
      <c r="AL33" s="310"/>
      <c r="AM33" s="310"/>
      <c r="AN33" s="310"/>
      <c r="AO33" s="310"/>
    </row>
    <row r="34" spans="1:41" customFormat="1" x14ac:dyDescent="0.15">
      <c r="A34" s="310"/>
      <c r="B34" s="310"/>
      <c r="C34" s="310"/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</row>
    <row r="35" spans="1:41" customFormat="1" x14ac:dyDescent="0.15">
      <c r="A35" s="310"/>
      <c r="B35" s="310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0"/>
      <c r="AE35" s="310"/>
      <c r="AF35" s="310"/>
      <c r="AG35" s="310"/>
      <c r="AH35" s="310"/>
      <c r="AI35" s="310"/>
      <c r="AJ35" s="310"/>
      <c r="AK35" s="310"/>
      <c r="AL35" s="310"/>
      <c r="AM35" s="310"/>
      <c r="AN35" s="310"/>
      <c r="AO35" s="310"/>
    </row>
    <row r="36" spans="1:41" customFormat="1" x14ac:dyDescent="0.15">
      <c r="A36" s="310"/>
      <c r="B36" s="310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310"/>
      <c r="AA36" s="310"/>
      <c r="AB36" s="310"/>
      <c r="AC36" s="310"/>
      <c r="AD36" s="310"/>
      <c r="AE36" s="310"/>
      <c r="AF36" s="310"/>
      <c r="AG36" s="310"/>
      <c r="AH36" s="310"/>
      <c r="AI36" s="310"/>
      <c r="AJ36" s="310"/>
      <c r="AK36" s="310"/>
      <c r="AL36" s="310"/>
      <c r="AM36" s="310"/>
      <c r="AN36" s="310"/>
      <c r="AO36" s="310"/>
    </row>
    <row r="37" spans="1:41" customFormat="1" x14ac:dyDescent="0.15">
      <c r="A37" s="310"/>
      <c r="B37" s="310"/>
      <c r="C37" s="310"/>
      <c r="D37" s="310"/>
      <c r="E37" s="310"/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</row>
    <row r="38" spans="1:41" customFormat="1" x14ac:dyDescent="0.15">
      <c r="A38" s="310"/>
      <c r="B38" s="310"/>
      <c r="C38" s="310"/>
      <c r="D38" s="310"/>
      <c r="E38" s="310"/>
      <c r="F38" s="310"/>
      <c r="G38" s="310"/>
      <c r="H38" s="310"/>
      <c r="I38" s="310"/>
      <c r="J38" s="310"/>
      <c r="K38" s="310"/>
      <c r="L38" s="310"/>
      <c r="M38" s="310"/>
      <c r="N38" s="310"/>
      <c r="O38" s="31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310"/>
      <c r="AA38" s="310"/>
      <c r="AB38" s="310"/>
      <c r="AC38" s="310"/>
      <c r="AD38" s="310"/>
      <c r="AE38" s="310"/>
      <c r="AF38" s="310"/>
      <c r="AG38" s="310"/>
      <c r="AH38" s="310"/>
      <c r="AI38" s="310"/>
      <c r="AJ38" s="310"/>
      <c r="AK38" s="310"/>
      <c r="AL38" s="310"/>
      <c r="AM38" s="310"/>
      <c r="AN38" s="310"/>
      <c r="AO38" s="310"/>
    </row>
    <row r="39" spans="1:41" customFormat="1" x14ac:dyDescent="0.15">
      <c r="A39" s="310"/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</row>
    <row r="40" spans="1:41" customFormat="1" x14ac:dyDescent="0.15">
      <c r="A40" s="310"/>
      <c r="B40" s="310"/>
      <c r="C40" s="310"/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  <c r="AB40" s="310"/>
      <c r="AC40" s="310"/>
      <c r="AD40" s="310"/>
      <c r="AE40" s="310"/>
      <c r="AF40" s="310"/>
      <c r="AG40" s="310"/>
      <c r="AH40" s="310"/>
      <c r="AI40" s="310"/>
      <c r="AJ40" s="310"/>
      <c r="AK40" s="310"/>
      <c r="AL40" s="310"/>
      <c r="AM40" s="310"/>
      <c r="AN40" s="310"/>
      <c r="AO40" s="310"/>
    </row>
    <row r="41" spans="1:41" customFormat="1" x14ac:dyDescent="0.15">
      <c r="A41" s="310"/>
      <c r="B41" s="310"/>
      <c r="C41" s="310"/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  <c r="V41" s="310"/>
      <c r="W41" s="310"/>
      <c r="X41" s="310"/>
      <c r="Y41" s="310"/>
      <c r="Z41" s="310"/>
      <c r="AA41" s="310"/>
      <c r="AB41" s="310"/>
      <c r="AC41" s="310"/>
      <c r="AD41" s="310"/>
      <c r="AE41" s="310"/>
      <c r="AF41" s="310"/>
      <c r="AG41" s="310"/>
      <c r="AH41" s="310"/>
      <c r="AI41" s="310"/>
      <c r="AJ41" s="310"/>
      <c r="AK41" s="310"/>
      <c r="AL41" s="310"/>
      <c r="AM41" s="310"/>
      <c r="AN41" s="310"/>
      <c r="AO41" s="310"/>
    </row>
    <row r="42" spans="1:41" customFormat="1" x14ac:dyDescent="0.15">
      <c r="A42" s="310"/>
      <c r="B42" s="310"/>
      <c r="C42" s="310"/>
      <c r="D42" s="310"/>
      <c r="E42" s="310"/>
      <c r="F42" s="310"/>
      <c r="G42" s="310"/>
      <c r="H42" s="310"/>
      <c r="I42" s="310"/>
      <c r="J42" s="310"/>
      <c r="K42" s="310"/>
      <c r="L42" s="310"/>
      <c r="M42" s="310"/>
      <c r="N42" s="310"/>
      <c r="O42" s="310"/>
      <c r="P42" s="310"/>
      <c r="Q42" s="310"/>
      <c r="R42" s="310"/>
      <c r="S42" s="310"/>
      <c r="T42" s="310"/>
      <c r="U42" s="310"/>
      <c r="V42" s="310"/>
      <c r="W42" s="310"/>
      <c r="X42" s="310"/>
      <c r="Y42" s="310"/>
      <c r="Z42" s="310"/>
      <c r="AA42" s="310"/>
      <c r="AB42" s="310"/>
      <c r="AC42" s="310"/>
      <c r="AD42" s="310"/>
      <c r="AE42" s="310"/>
      <c r="AF42" s="310"/>
      <c r="AG42" s="310"/>
      <c r="AH42" s="310"/>
      <c r="AI42" s="310"/>
      <c r="AJ42" s="310"/>
      <c r="AK42" s="310"/>
      <c r="AL42" s="310"/>
      <c r="AM42" s="310"/>
      <c r="AN42" s="310"/>
      <c r="AO42" s="310"/>
    </row>
    <row r="43" spans="1:41" customFormat="1" x14ac:dyDescent="0.15">
      <c r="A43" s="310"/>
      <c r="B43" s="310"/>
      <c r="C43" s="310"/>
      <c r="D43" s="310"/>
      <c r="E43" s="310"/>
      <c r="F43" s="310"/>
      <c r="G43" s="310"/>
      <c r="H43" s="310"/>
      <c r="I43" s="310"/>
      <c r="J43" s="310"/>
      <c r="K43" s="310"/>
      <c r="L43" s="310"/>
      <c r="M43" s="310"/>
      <c r="N43" s="310"/>
      <c r="O43" s="310"/>
      <c r="P43" s="310"/>
      <c r="Q43" s="310"/>
      <c r="R43" s="310"/>
      <c r="S43" s="310"/>
      <c r="T43" s="310"/>
      <c r="U43" s="310"/>
      <c r="V43" s="310"/>
      <c r="W43" s="310"/>
      <c r="X43" s="310"/>
      <c r="Y43" s="310"/>
      <c r="Z43" s="310"/>
      <c r="AA43" s="310"/>
      <c r="AB43" s="310"/>
      <c r="AC43" s="310"/>
      <c r="AD43" s="310"/>
      <c r="AE43" s="310"/>
      <c r="AF43" s="310"/>
      <c r="AG43" s="310"/>
      <c r="AH43" s="310"/>
      <c r="AI43" s="310"/>
      <c r="AJ43" s="310"/>
      <c r="AK43" s="310"/>
      <c r="AL43" s="310"/>
      <c r="AM43" s="310"/>
      <c r="AN43" s="310"/>
      <c r="AO43" s="310"/>
    </row>
    <row r="44" spans="1:41" customFormat="1" x14ac:dyDescent="0.15">
      <c r="A44" s="310"/>
      <c r="B44" s="31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</row>
    <row r="45" spans="1:41" customFormat="1" x14ac:dyDescent="0.15">
      <c r="A45" s="310"/>
      <c r="B45" s="310"/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310"/>
      <c r="AA45" s="310"/>
      <c r="AB45" s="310"/>
      <c r="AC45" s="310"/>
      <c r="AD45" s="310"/>
      <c r="AE45" s="310"/>
      <c r="AF45" s="310"/>
      <c r="AG45" s="310"/>
      <c r="AH45" s="310"/>
      <c r="AI45" s="310"/>
      <c r="AJ45" s="310"/>
      <c r="AK45" s="310"/>
      <c r="AL45" s="310"/>
      <c r="AM45" s="310"/>
      <c r="AN45" s="310"/>
      <c r="AO45" s="310"/>
    </row>
    <row r="46" spans="1:41" customFormat="1" x14ac:dyDescent="0.15">
      <c r="A46" s="310"/>
      <c r="B46" s="31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</row>
    <row r="47" spans="1:41" customFormat="1" x14ac:dyDescent="0.15">
      <c r="A47" s="310"/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  <c r="AB47" s="310"/>
      <c r="AC47" s="310"/>
      <c r="AD47" s="310"/>
      <c r="AE47" s="310"/>
      <c r="AF47" s="310"/>
      <c r="AG47" s="310"/>
      <c r="AH47" s="310"/>
      <c r="AI47" s="310"/>
      <c r="AJ47" s="310"/>
      <c r="AK47" s="310"/>
      <c r="AL47" s="310"/>
      <c r="AM47" s="310"/>
      <c r="AN47" s="310"/>
      <c r="AO47" s="310"/>
    </row>
    <row r="48" spans="1:41" customFormat="1" x14ac:dyDescent="0.15">
      <c r="A48" s="310"/>
      <c r="B48" s="310"/>
      <c r="C48" s="310"/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  <c r="AB48" s="310"/>
      <c r="AC48" s="310"/>
      <c r="AD48" s="310"/>
      <c r="AE48" s="310"/>
      <c r="AF48" s="310"/>
      <c r="AG48" s="310"/>
      <c r="AH48" s="310"/>
      <c r="AI48" s="310"/>
      <c r="AJ48" s="310"/>
      <c r="AK48" s="310"/>
      <c r="AL48" s="310"/>
      <c r="AM48" s="310"/>
      <c r="AN48" s="310"/>
      <c r="AO48" s="310"/>
    </row>
    <row r="49" spans="1:41" customFormat="1" x14ac:dyDescent="0.15">
      <c r="A49" s="310"/>
      <c r="B49" s="310"/>
      <c r="C49" s="310"/>
      <c r="D49" s="310"/>
      <c r="E49" s="310"/>
      <c r="F49" s="310"/>
      <c r="G49" s="310"/>
      <c r="H49" s="310"/>
      <c r="I49" s="310"/>
      <c r="J49" s="310"/>
      <c r="K49" s="310"/>
      <c r="L49" s="310"/>
      <c r="M49" s="310"/>
      <c r="N49" s="310"/>
      <c r="O49" s="310"/>
      <c r="P49" s="310"/>
      <c r="Q49" s="310"/>
      <c r="R49" s="310"/>
      <c r="S49" s="310"/>
      <c r="T49" s="310"/>
      <c r="U49" s="310"/>
      <c r="V49" s="310"/>
      <c r="W49" s="310"/>
      <c r="X49" s="310"/>
      <c r="Y49" s="310"/>
      <c r="Z49" s="310"/>
      <c r="AA49" s="310"/>
      <c r="AB49" s="310"/>
      <c r="AC49" s="310"/>
      <c r="AD49" s="310"/>
      <c r="AE49" s="310"/>
      <c r="AF49" s="310"/>
      <c r="AG49" s="310"/>
      <c r="AH49" s="310"/>
      <c r="AI49" s="310"/>
      <c r="AJ49" s="310"/>
      <c r="AK49" s="310"/>
      <c r="AL49" s="310"/>
      <c r="AM49" s="310"/>
      <c r="AN49" s="310"/>
      <c r="AO49" s="310"/>
    </row>
    <row r="50" spans="1:41" customFormat="1" x14ac:dyDescent="0.15">
      <c r="A50" s="310"/>
      <c r="B50" s="310"/>
      <c r="C50" s="310"/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310"/>
      <c r="AD50" s="310"/>
      <c r="AE50" s="310"/>
      <c r="AF50" s="310"/>
      <c r="AG50" s="310"/>
      <c r="AH50" s="310"/>
      <c r="AI50" s="310"/>
      <c r="AJ50" s="310"/>
      <c r="AK50" s="310"/>
      <c r="AL50" s="310"/>
      <c r="AM50" s="310"/>
      <c r="AN50" s="310"/>
      <c r="AO50" s="310"/>
    </row>
    <row r="51" spans="1:41" customFormat="1" x14ac:dyDescent="0.15">
      <c r="A51" s="310"/>
      <c r="B51" s="310"/>
      <c r="C51" s="310"/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  <c r="AA51" s="310"/>
      <c r="AB51" s="310"/>
      <c r="AC51" s="310"/>
      <c r="AD51" s="310"/>
      <c r="AE51" s="310"/>
      <c r="AF51" s="310"/>
      <c r="AG51" s="310"/>
      <c r="AH51" s="310"/>
      <c r="AI51" s="310"/>
      <c r="AJ51" s="310"/>
      <c r="AK51" s="310"/>
      <c r="AL51" s="310"/>
      <c r="AM51" s="310"/>
      <c r="AN51" s="310"/>
      <c r="AO51" s="310"/>
    </row>
    <row r="52" spans="1:41" customFormat="1" x14ac:dyDescent="0.15">
      <c r="A52" s="310"/>
      <c r="B52" s="310"/>
      <c r="C52" s="310"/>
      <c r="D52" s="310"/>
      <c r="E52" s="310"/>
      <c r="F52" s="310"/>
      <c r="G52" s="310"/>
      <c r="H52" s="310"/>
      <c r="I52" s="310"/>
      <c r="J52" s="310"/>
      <c r="K52" s="310"/>
      <c r="L52" s="310"/>
      <c r="M52" s="310"/>
      <c r="N52" s="310"/>
      <c r="O52" s="310"/>
      <c r="P52" s="310"/>
      <c r="Q52" s="310"/>
      <c r="R52" s="310"/>
      <c r="S52" s="310"/>
      <c r="T52" s="310"/>
      <c r="U52" s="310"/>
      <c r="V52" s="310"/>
      <c r="W52" s="310"/>
      <c r="X52" s="310"/>
      <c r="Y52" s="310"/>
      <c r="Z52" s="310"/>
      <c r="AA52" s="310"/>
      <c r="AB52" s="310"/>
      <c r="AC52" s="310"/>
      <c r="AD52" s="310"/>
      <c r="AE52" s="310"/>
      <c r="AF52" s="310"/>
      <c r="AG52" s="310"/>
      <c r="AH52" s="310"/>
      <c r="AI52" s="310"/>
      <c r="AJ52" s="310"/>
      <c r="AK52" s="310"/>
      <c r="AL52" s="310"/>
      <c r="AM52" s="310"/>
      <c r="AN52" s="310"/>
      <c r="AO52" s="310"/>
    </row>
    <row r="53" spans="1:41" customFormat="1" x14ac:dyDescent="0.15">
      <c r="A53" s="310"/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310"/>
      <c r="S53" s="310"/>
      <c r="T53" s="310"/>
      <c r="U53" s="310"/>
      <c r="V53" s="310"/>
      <c r="W53" s="310"/>
      <c r="X53" s="310"/>
      <c r="Y53" s="310"/>
      <c r="Z53" s="310"/>
      <c r="AA53" s="310"/>
      <c r="AB53" s="310"/>
      <c r="AC53" s="310"/>
      <c r="AD53" s="310"/>
      <c r="AE53" s="310"/>
      <c r="AF53" s="310"/>
      <c r="AG53" s="310"/>
      <c r="AH53" s="310"/>
      <c r="AI53" s="310"/>
      <c r="AJ53" s="310"/>
      <c r="AK53" s="310"/>
      <c r="AL53" s="310"/>
      <c r="AM53" s="310"/>
      <c r="AN53" s="310"/>
      <c r="AO53" s="310"/>
    </row>
    <row r="54" spans="1:41" customFormat="1" x14ac:dyDescent="0.15">
      <c r="A54" s="310"/>
      <c r="B54" s="310"/>
      <c r="C54" s="310"/>
      <c r="D54" s="310"/>
      <c r="E54" s="310"/>
      <c r="F54" s="310"/>
      <c r="G54" s="310"/>
      <c r="H54" s="310"/>
      <c r="I54" s="310"/>
      <c r="J54" s="310"/>
      <c r="K54" s="310"/>
      <c r="L54" s="310"/>
      <c r="M54" s="310"/>
      <c r="N54" s="310"/>
      <c r="O54" s="310"/>
      <c r="P54" s="310"/>
      <c r="Q54" s="310"/>
      <c r="R54" s="310"/>
      <c r="S54" s="310"/>
      <c r="T54" s="310"/>
      <c r="U54" s="310"/>
      <c r="V54" s="310"/>
      <c r="W54" s="310"/>
      <c r="X54" s="310"/>
      <c r="Y54" s="310"/>
      <c r="Z54" s="310"/>
      <c r="AA54" s="310"/>
      <c r="AB54" s="310"/>
      <c r="AC54" s="310"/>
      <c r="AD54" s="310"/>
      <c r="AE54" s="310"/>
      <c r="AF54" s="310"/>
      <c r="AG54" s="310"/>
      <c r="AH54" s="310"/>
      <c r="AI54" s="310"/>
      <c r="AJ54" s="310"/>
      <c r="AK54" s="310"/>
      <c r="AL54" s="310"/>
      <c r="AM54" s="310"/>
      <c r="AN54" s="310"/>
      <c r="AO54" s="310"/>
    </row>
    <row r="55" spans="1:41" customFormat="1" x14ac:dyDescent="0.15">
      <c r="A55" s="310"/>
      <c r="B55" s="310"/>
      <c r="C55" s="310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10"/>
      <c r="AB55" s="310"/>
      <c r="AC55" s="310"/>
      <c r="AD55" s="310"/>
      <c r="AE55" s="310"/>
      <c r="AF55" s="310"/>
      <c r="AG55" s="310"/>
      <c r="AH55" s="310"/>
      <c r="AI55" s="310"/>
      <c r="AJ55" s="310"/>
      <c r="AK55" s="310"/>
      <c r="AL55" s="310"/>
      <c r="AM55" s="310"/>
      <c r="AN55" s="310"/>
      <c r="AO55" s="310"/>
    </row>
    <row r="56" spans="1:41" customFormat="1" x14ac:dyDescent="0.15">
      <c r="A56" s="310"/>
      <c r="B56" s="310"/>
      <c r="C56" s="310"/>
      <c r="D56" s="310"/>
      <c r="E56" s="310"/>
      <c r="F56" s="310"/>
      <c r="G56" s="310"/>
      <c r="H56" s="310"/>
      <c r="I56" s="310"/>
      <c r="J56" s="310"/>
      <c r="K56" s="310"/>
      <c r="L56" s="310"/>
      <c r="M56" s="310"/>
      <c r="N56" s="310"/>
      <c r="O56" s="310"/>
      <c r="P56" s="310"/>
      <c r="Q56" s="310"/>
      <c r="R56" s="310"/>
      <c r="S56" s="310"/>
      <c r="T56" s="310"/>
      <c r="U56" s="310"/>
      <c r="V56" s="310"/>
      <c r="W56" s="310"/>
      <c r="X56" s="310"/>
      <c r="Y56" s="310"/>
      <c r="Z56" s="310"/>
      <c r="AA56" s="310"/>
      <c r="AB56" s="310"/>
      <c r="AC56" s="310"/>
      <c r="AD56" s="310"/>
      <c r="AE56" s="310"/>
      <c r="AF56" s="310"/>
      <c r="AG56" s="310"/>
      <c r="AH56" s="310"/>
      <c r="AI56" s="310"/>
      <c r="AJ56" s="310"/>
      <c r="AK56" s="310"/>
      <c r="AL56" s="310"/>
      <c r="AM56" s="310"/>
      <c r="AN56" s="310"/>
      <c r="AO56" s="310"/>
    </row>
    <row r="57" spans="1:41" customFormat="1" x14ac:dyDescent="0.15">
      <c r="A57" s="310"/>
      <c r="B57" s="310"/>
      <c r="C57" s="310"/>
      <c r="D57" s="310"/>
      <c r="E57" s="310"/>
      <c r="F57" s="310"/>
      <c r="G57" s="310"/>
      <c r="H57" s="310"/>
      <c r="I57" s="310"/>
      <c r="J57" s="310"/>
      <c r="K57" s="310"/>
      <c r="L57" s="310"/>
      <c r="M57" s="310"/>
      <c r="N57" s="310"/>
      <c r="O57" s="310"/>
      <c r="P57" s="310"/>
      <c r="Q57" s="310"/>
      <c r="R57" s="310"/>
      <c r="S57" s="310"/>
      <c r="T57" s="310"/>
      <c r="U57" s="310"/>
      <c r="V57" s="310"/>
      <c r="W57" s="310"/>
      <c r="X57" s="310"/>
      <c r="Y57" s="310"/>
      <c r="Z57" s="310"/>
      <c r="AA57" s="310"/>
      <c r="AB57" s="310"/>
      <c r="AC57" s="310"/>
      <c r="AD57" s="310"/>
      <c r="AE57" s="310"/>
      <c r="AF57" s="310"/>
      <c r="AG57" s="310"/>
      <c r="AH57" s="310"/>
      <c r="AI57" s="310"/>
      <c r="AJ57" s="310"/>
      <c r="AK57" s="310"/>
      <c r="AL57" s="310"/>
      <c r="AM57" s="310"/>
      <c r="AN57" s="310"/>
      <c r="AO57" s="310"/>
    </row>
    <row r="58" spans="1:41" customFormat="1" x14ac:dyDescent="0.15">
      <c r="A58" s="310"/>
      <c r="B58" s="310"/>
      <c r="C58" s="310"/>
      <c r="D58" s="310"/>
      <c r="E58" s="310"/>
      <c r="F58" s="310"/>
      <c r="G58" s="310"/>
      <c r="H58" s="310"/>
      <c r="I58" s="310"/>
      <c r="J58" s="310"/>
      <c r="K58" s="310"/>
      <c r="L58" s="310"/>
      <c r="M58" s="310"/>
      <c r="N58" s="310"/>
      <c r="O58" s="310"/>
      <c r="P58" s="310"/>
      <c r="Q58" s="310"/>
      <c r="R58" s="310"/>
      <c r="S58" s="310"/>
      <c r="T58" s="310"/>
      <c r="U58" s="310"/>
      <c r="V58" s="310"/>
      <c r="W58" s="310"/>
      <c r="X58" s="310"/>
      <c r="Y58" s="310"/>
      <c r="Z58" s="310"/>
      <c r="AA58" s="310"/>
      <c r="AB58" s="310"/>
      <c r="AC58" s="310"/>
      <c r="AD58" s="310"/>
      <c r="AE58" s="310"/>
      <c r="AF58" s="310"/>
      <c r="AG58" s="310"/>
      <c r="AH58" s="310"/>
      <c r="AI58" s="310"/>
      <c r="AJ58" s="310"/>
      <c r="AK58" s="310"/>
      <c r="AL58" s="310"/>
      <c r="AM58" s="310"/>
      <c r="AN58" s="310"/>
      <c r="AO58" s="310"/>
    </row>
    <row r="59" spans="1:41" customFormat="1" x14ac:dyDescent="0.15">
      <c r="A59" s="310"/>
      <c r="B59" s="310"/>
      <c r="C59" s="310"/>
      <c r="D59" s="310"/>
      <c r="E59" s="310"/>
      <c r="F59" s="310"/>
      <c r="G59" s="310"/>
      <c r="H59" s="310"/>
      <c r="I59" s="310"/>
      <c r="J59" s="310"/>
      <c r="K59" s="310"/>
      <c r="L59" s="310"/>
      <c r="M59" s="310"/>
      <c r="N59" s="310"/>
      <c r="O59" s="310"/>
      <c r="P59" s="310"/>
      <c r="Q59" s="310"/>
      <c r="R59" s="310"/>
      <c r="S59" s="310"/>
      <c r="T59" s="310"/>
      <c r="U59" s="310"/>
      <c r="V59" s="310"/>
      <c r="W59" s="310"/>
      <c r="X59" s="310"/>
      <c r="Y59" s="310"/>
      <c r="Z59" s="310"/>
      <c r="AA59" s="310"/>
      <c r="AB59" s="310"/>
      <c r="AC59" s="310"/>
      <c r="AD59" s="310"/>
      <c r="AE59" s="310"/>
      <c r="AF59" s="310"/>
      <c r="AG59" s="310"/>
      <c r="AH59" s="310"/>
      <c r="AI59" s="310"/>
      <c r="AJ59" s="310"/>
      <c r="AK59" s="310"/>
      <c r="AL59" s="310"/>
      <c r="AM59" s="310"/>
      <c r="AN59" s="310"/>
      <c r="AO59" s="310"/>
    </row>
    <row r="60" spans="1:41" customFormat="1" x14ac:dyDescent="0.15">
      <c r="A60" s="310"/>
      <c r="B60" s="310"/>
      <c r="C60" s="310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10"/>
      <c r="AB60" s="310"/>
      <c r="AC60" s="310"/>
      <c r="AD60" s="310"/>
      <c r="AE60" s="310"/>
      <c r="AF60" s="310"/>
      <c r="AG60" s="310"/>
      <c r="AH60" s="310"/>
      <c r="AI60" s="310"/>
      <c r="AJ60" s="310"/>
      <c r="AK60" s="310"/>
      <c r="AL60" s="310"/>
      <c r="AM60" s="310"/>
      <c r="AN60" s="310"/>
      <c r="AO60" s="310"/>
    </row>
    <row r="61" spans="1:41" customFormat="1" x14ac:dyDescent="0.15">
      <c r="A61" s="310"/>
      <c r="B61" s="310"/>
      <c r="C61" s="310"/>
      <c r="D61" s="310"/>
      <c r="E61" s="310"/>
      <c r="F61" s="310"/>
      <c r="G61" s="310"/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  <c r="AA61" s="310"/>
      <c r="AB61" s="310"/>
      <c r="AC61" s="310"/>
      <c r="AD61" s="310"/>
      <c r="AE61" s="310"/>
      <c r="AF61" s="310"/>
      <c r="AG61" s="310"/>
      <c r="AH61" s="310"/>
      <c r="AI61" s="310"/>
      <c r="AJ61" s="310"/>
      <c r="AK61" s="310"/>
      <c r="AL61" s="310"/>
      <c r="AM61" s="310"/>
      <c r="AN61" s="310"/>
      <c r="AO61" s="310"/>
    </row>
    <row r="62" spans="1:41" customFormat="1" x14ac:dyDescent="0.15">
      <c r="A62" s="310"/>
      <c r="B62" s="310"/>
      <c r="C62" s="310"/>
      <c r="D62" s="310"/>
      <c r="E62" s="310"/>
      <c r="F62" s="310"/>
      <c r="G62" s="310"/>
      <c r="H62" s="310"/>
      <c r="I62" s="310"/>
      <c r="J62" s="310"/>
      <c r="K62" s="310"/>
      <c r="L62" s="310"/>
      <c r="M62" s="310"/>
      <c r="N62" s="310"/>
      <c r="O62" s="310"/>
      <c r="P62" s="310"/>
      <c r="Q62" s="310"/>
      <c r="R62" s="310"/>
      <c r="S62" s="310"/>
      <c r="T62" s="310"/>
      <c r="U62" s="310"/>
      <c r="V62" s="310"/>
      <c r="W62" s="310"/>
      <c r="X62" s="310"/>
      <c r="Y62" s="310"/>
      <c r="Z62" s="310"/>
      <c r="AA62" s="310"/>
      <c r="AB62" s="310"/>
      <c r="AC62" s="310"/>
      <c r="AD62" s="310"/>
      <c r="AE62" s="310"/>
      <c r="AF62" s="310"/>
      <c r="AG62" s="310"/>
      <c r="AH62" s="310"/>
      <c r="AI62" s="310"/>
      <c r="AJ62" s="310"/>
      <c r="AK62" s="310"/>
      <c r="AL62" s="310"/>
      <c r="AM62" s="310"/>
      <c r="AN62" s="310"/>
      <c r="AO62" s="310"/>
    </row>
    <row r="63" spans="1:41" customFormat="1" x14ac:dyDescent="0.15">
      <c r="A63" s="310"/>
      <c r="B63" s="310"/>
      <c r="C63" s="310"/>
      <c r="D63" s="310"/>
      <c r="E63" s="310"/>
      <c r="F63" s="310"/>
      <c r="G63" s="310"/>
      <c r="H63" s="310"/>
      <c r="I63" s="310"/>
      <c r="J63" s="310"/>
      <c r="K63" s="310"/>
      <c r="L63" s="310"/>
      <c r="M63" s="310"/>
      <c r="N63" s="310"/>
      <c r="O63" s="310"/>
      <c r="P63" s="310"/>
      <c r="Q63" s="310"/>
      <c r="R63" s="310"/>
      <c r="S63" s="310"/>
      <c r="T63" s="310"/>
      <c r="U63" s="310"/>
      <c r="V63" s="310"/>
      <c r="W63" s="310"/>
      <c r="X63" s="310"/>
      <c r="Y63" s="310"/>
      <c r="Z63" s="310"/>
      <c r="AA63" s="310"/>
      <c r="AB63" s="310"/>
      <c r="AC63" s="310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</row>
    <row r="64" spans="1:41" customFormat="1" x14ac:dyDescent="0.15">
      <c r="A64" s="310"/>
      <c r="B64" s="310"/>
      <c r="C64" s="310"/>
      <c r="D64" s="310"/>
      <c r="E64" s="310"/>
      <c r="F64" s="310"/>
      <c r="G64" s="310"/>
      <c r="H64" s="310"/>
      <c r="I64" s="310"/>
      <c r="J64" s="310"/>
      <c r="K64" s="310"/>
      <c r="L64" s="310"/>
      <c r="M64" s="310"/>
      <c r="N64" s="310"/>
      <c r="O64" s="310"/>
      <c r="P64" s="310"/>
      <c r="Q64" s="310"/>
      <c r="R64" s="310"/>
      <c r="S64" s="310"/>
      <c r="T64" s="310"/>
      <c r="U64" s="310"/>
      <c r="V64" s="310"/>
      <c r="W64" s="310"/>
      <c r="X64" s="310"/>
      <c r="Y64" s="310"/>
      <c r="Z64" s="310"/>
      <c r="AA64" s="310"/>
      <c r="AB64" s="310"/>
      <c r="AC64" s="310"/>
      <c r="AD64" s="310"/>
      <c r="AE64" s="310"/>
      <c r="AF64" s="310"/>
      <c r="AG64" s="310"/>
      <c r="AH64" s="310"/>
      <c r="AI64" s="310"/>
      <c r="AJ64" s="310"/>
      <c r="AK64" s="310"/>
      <c r="AL64" s="310"/>
      <c r="AM64" s="310"/>
      <c r="AN64" s="310"/>
      <c r="AO64" s="310"/>
    </row>
    <row r="65" spans="1:41" customFormat="1" x14ac:dyDescent="0.15">
      <c r="A65" s="310"/>
      <c r="B65" s="310"/>
      <c r="C65" s="310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/>
      <c r="AA65" s="310"/>
      <c r="AB65" s="310"/>
      <c r="AC65" s="310"/>
      <c r="AD65" s="310"/>
      <c r="AE65" s="310"/>
      <c r="AF65" s="310"/>
      <c r="AG65" s="310"/>
      <c r="AH65" s="310"/>
      <c r="AI65" s="310"/>
      <c r="AJ65" s="310"/>
      <c r="AK65" s="310"/>
      <c r="AL65" s="310"/>
      <c r="AM65" s="310"/>
      <c r="AN65" s="310"/>
      <c r="AO65" s="310"/>
    </row>
    <row r="66" spans="1:41" customFormat="1" x14ac:dyDescent="0.15">
      <c r="A66" s="310"/>
      <c r="B66" s="310"/>
      <c r="C66" s="310"/>
      <c r="D66" s="310"/>
      <c r="E66" s="310"/>
      <c r="F66" s="310"/>
      <c r="G66" s="310"/>
      <c r="H66" s="310"/>
      <c r="I66" s="310"/>
      <c r="J66" s="310"/>
      <c r="K66" s="310"/>
      <c r="L66" s="310"/>
      <c r="M66" s="310"/>
      <c r="N66" s="310"/>
      <c r="O66" s="310"/>
      <c r="P66" s="310"/>
      <c r="Q66" s="310"/>
      <c r="R66" s="310"/>
      <c r="S66" s="310"/>
      <c r="T66" s="310"/>
      <c r="U66" s="310"/>
      <c r="V66" s="310"/>
      <c r="W66" s="310"/>
      <c r="X66" s="310"/>
      <c r="Y66" s="310"/>
      <c r="Z66" s="310"/>
      <c r="AA66" s="310"/>
      <c r="AB66" s="310"/>
      <c r="AC66" s="310"/>
      <c r="AD66" s="310"/>
      <c r="AE66" s="310"/>
      <c r="AF66" s="310"/>
      <c r="AG66" s="310"/>
      <c r="AH66" s="310"/>
      <c r="AI66" s="310"/>
      <c r="AJ66" s="310"/>
      <c r="AK66" s="310"/>
      <c r="AL66" s="310"/>
      <c r="AM66" s="310"/>
      <c r="AN66" s="310"/>
      <c r="AO66" s="310"/>
    </row>
    <row r="67" spans="1:41" customFormat="1" x14ac:dyDescent="0.15">
      <c r="A67" s="310"/>
      <c r="B67" s="310"/>
      <c r="C67" s="310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10"/>
      <c r="AB67" s="310"/>
      <c r="AC67" s="310"/>
      <c r="AD67" s="310"/>
      <c r="AE67" s="310"/>
      <c r="AF67" s="310"/>
      <c r="AG67" s="310"/>
      <c r="AH67" s="310"/>
      <c r="AI67" s="310"/>
      <c r="AJ67" s="310"/>
      <c r="AK67" s="310"/>
      <c r="AL67" s="310"/>
      <c r="AM67" s="310"/>
      <c r="AN67" s="310"/>
      <c r="AO67" s="310"/>
    </row>
    <row r="68" spans="1:41" customFormat="1" x14ac:dyDescent="0.15">
      <c r="A68" s="310"/>
      <c r="B68" s="310"/>
      <c r="C68" s="310"/>
      <c r="D68" s="310"/>
      <c r="E68" s="310"/>
      <c r="F68" s="310"/>
      <c r="G68" s="310"/>
      <c r="H68" s="310"/>
      <c r="I68" s="310"/>
      <c r="J68" s="310"/>
      <c r="K68" s="310"/>
      <c r="L68" s="310"/>
      <c r="M68" s="310"/>
      <c r="N68" s="310"/>
      <c r="O68" s="310"/>
      <c r="P68" s="310"/>
      <c r="Q68" s="310"/>
      <c r="R68" s="310"/>
      <c r="S68" s="310"/>
      <c r="T68" s="310"/>
      <c r="U68" s="310"/>
      <c r="V68" s="310"/>
      <c r="W68" s="310"/>
      <c r="X68" s="310"/>
      <c r="Y68" s="310"/>
      <c r="Z68" s="310"/>
      <c r="AA68" s="310"/>
      <c r="AB68" s="310"/>
      <c r="AC68" s="310"/>
      <c r="AD68" s="310"/>
      <c r="AE68" s="310"/>
      <c r="AF68" s="310"/>
      <c r="AG68" s="310"/>
      <c r="AH68" s="310"/>
      <c r="AI68" s="310"/>
      <c r="AJ68" s="310"/>
      <c r="AK68" s="310"/>
      <c r="AL68" s="310"/>
      <c r="AM68" s="310"/>
      <c r="AN68" s="310"/>
      <c r="AO68" s="310"/>
    </row>
    <row r="69" spans="1:41" customFormat="1" x14ac:dyDescent="0.15">
      <c r="A69" s="310"/>
      <c r="B69" s="310"/>
      <c r="C69" s="310"/>
      <c r="D69" s="310"/>
      <c r="E69" s="310"/>
      <c r="F69" s="310"/>
      <c r="G69" s="310"/>
      <c r="H69" s="310"/>
      <c r="I69" s="310"/>
      <c r="J69" s="310"/>
      <c r="K69" s="310"/>
      <c r="L69" s="310"/>
      <c r="M69" s="310"/>
      <c r="N69" s="310"/>
      <c r="O69" s="310"/>
      <c r="P69" s="310"/>
      <c r="Q69" s="310"/>
      <c r="R69" s="310"/>
      <c r="S69" s="310"/>
      <c r="T69" s="310"/>
      <c r="U69" s="310"/>
      <c r="V69" s="310"/>
      <c r="W69" s="310"/>
      <c r="X69" s="310"/>
      <c r="Y69" s="310"/>
      <c r="Z69" s="310"/>
      <c r="AA69" s="310"/>
      <c r="AB69" s="310"/>
      <c r="AC69" s="310"/>
      <c r="AD69" s="310"/>
      <c r="AE69" s="310"/>
      <c r="AF69" s="310"/>
      <c r="AG69" s="310"/>
      <c r="AH69" s="310"/>
      <c r="AI69" s="310"/>
      <c r="AJ69" s="310"/>
      <c r="AK69" s="310"/>
      <c r="AL69" s="310"/>
      <c r="AM69" s="310"/>
      <c r="AN69" s="310"/>
      <c r="AO69" s="310"/>
    </row>
    <row r="70" spans="1:41" customFormat="1" x14ac:dyDescent="0.15">
      <c r="A70" s="310"/>
      <c r="B70" s="310"/>
      <c r="C70" s="310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310"/>
      <c r="AH70" s="310"/>
      <c r="AI70" s="310"/>
      <c r="AJ70" s="310"/>
      <c r="AK70" s="310"/>
      <c r="AL70" s="310"/>
      <c r="AM70" s="310"/>
      <c r="AN70" s="310"/>
      <c r="AO70" s="310"/>
    </row>
    <row r="71" spans="1:41" customFormat="1" x14ac:dyDescent="0.15">
      <c r="A71" s="310"/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10"/>
      <c r="M71" s="310"/>
      <c r="N71" s="310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10"/>
      <c r="AB71" s="310"/>
      <c r="AC71" s="310"/>
      <c r="AD71" s="310"/>
      <c r="AE71" s="310"/>
      <c r="AF71" s="310"/>
      <c r="AG71" s="310"/>
      <c r="AH71" s="310"/>
      <c r="AI71" s="310"/>
      <c r="AJ71" s="310"/>
      <c r="AK71" s="310"/>
      <c r="AL71" s="310"/>
      <c r="AM71" s="310"/>
      <c r="AN71" s="310"/>
      <c r="AO71" s="310"/>
    </row>
    <row r="72" spans="1:41" customFormat="1" x14ac:dyDescent="0.15">
      <c r="A72" s="310"/>
      <c r="B72" s="310"/>
      <c r="C72" s="310"/>
      <c r="D72" s="310"/>
      <c r="E72" s="310"/>
      <c r="F72" s="310"/>
      <c r="G72" s="310"/>
      <c r="H72" s="310"/>
      <c r="I72" s="310"/>
      <c r="J72" s="310"/>
      <c r="K72" s="310"/>
      <c r="L72" s="310"/>
      <c r="M72" s="310"/>
      <c r="N72" s="310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10"/>
      <c r="AB72" s="310"/>
      <c r="AC72" s="310"/>
      <c r="AD72" s="310"/>
      <c r="AE72" s="310"/>
      <c r="AF72" s="310"/>
      <c r="AG72" s="310"/>
      <c r="AH72" s="310"/>
      <c r="AI72" s="310"/>
      <c r="AJ72" s="310"/>
      <c r="AK72" s="310"/>
      <c r="AL72" s="310"/>
      <c r="AM72" s="310"/>
      <c r="AN72" s="310"/>
      <c r="AO72" s="310"/>
    </row>
    <row r="73" spans="1:41" customFormat="1" x14ac:dyDescent="0.15">
      <c r="A73" s="310"/>
      <c r="B73" s="310"/>
      <c r="C73" s="310"/>
      <c r="D73" s="310"/>
      <c r="E73" s="310"/>
      <c r="F73" s="310"/>
      <c r="G73" s="310"/>
      <c r="H73" s="310"/>
      <c r="I73" s="310"/>
      <c r="J73" s="310"/>
      <c r="K73" s="310"/>
      <c r="L73" s="310"/>
      <c r="M73" s="310"/>
      <c r="N73" s="310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10"/>
      <c r="AB73" s="310"/>
      <c r="AC73" s="310"/>
      <c r="AD73" s="310"/>
      <c r="AE73" s="310"/>
      <c r="AF73" s="310"/>
      <c r="AG73" s="310"/>
      <c r="AH73" s="310"/>
      <c r="AI73" s="310"/>
      <c r="AJ73" s="310"/>
      <c r="AK73" s="310"/>
      <c r="AL73" s="310"/>
      <c r="AM73" s="310"/>
      <c r="AN73" s="310"/>
      <c r="AO73" s="310"/>
    </row>
    <row r="74" spans="1:41" customFormat="1" x14ac:dyDescent="0.15">
      <c r="A74" s="310"/>
      <c r="B74" s="310"/>
      <c r="C74" s="310"/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0"/>
      <c r="AC74" s="310"/>
      <c r="AD74" s="310"/>
      <c r="AE74" s="310"/>
      <c r="AF74" s="310"/>
      <c r="AG74" s="310"/>
      <c r="AH74" s="310"/>
      <c r="AI74" s="310"/>
      <c r="AJ74" s="310"/>
      <c r="AK74" s="310"/>
      <c r="AL74" s="310"/>
      <c r="AM74" s="310"/>
      <c r="AN74" s="310"/>
      <c r="AO74" s="310"/>
    </row>
    <row r="75" spans="1:41" customFormat="1" x14ac:dyDescent="0.15">
      <c r="A75" s="310"/>
      <c r="B75" s="310"/>
      <c r="C75" s="310"/>
      <c r="D75" s="310"/>
      <c r="E75" s="310"/>
      <c r="F75" s="310"/>
      <c r="G75" s="310"/>
      <c r="H75" s="310"/>
      <c r="I75" s="310"/>
      <c r="J75" s="310"/>
      <c r="K75" s="310"/>
      <c r="L75" s="310"/>
      <c r="M75" s="310"/>
      <c r="N75" s="310"/>
      <c r="O75" s="310"/>
      <c r="P75" s="310"/>
      <c r="Q75" s="310"/>
      <c r="R75" s="310"/>
      <c r="S75" s="310"/>
      <c r="T75" s="310"/>
      <c r="U75" s="310"/>
      <c r="V75" s="310"/>
      <c r="W75" s="310"/>
      <c r="X75" s="310"/>
      <c r="Y75" s="310"/>
      <c r="Z75" s="310"/>
      <c r="AA75" s="310"/>
      <c r="AB75" s="310"/>
      <c r="AC75" s="310"/>
      <c r="AD75" s="310"/>
      <c r="AE75" s="310"/>
      <c r="AF75" s="310"/>
      <c r="AG75" s="310"/>
      <c r="AH75" s="310"/>
      <c r="AI75" s="310"/>
      <c r="AJ75" s="310"/>
      <c r="AK75" s="310"/>
      <c r="AL75" s="310"/>
      <c r="AM75" s="310"/>
      <c r="AN75" s="310"/>
      <c r="AO75" s="310"/>
    </row>
    <row r="76" spans="1:41" customFormat="1" x14ac:dyDescent="0.15">
      <c r="A76" s="310"/>
      <c r="B76" s="310"/>
      <c r="C76" s="310"/>
      <c r="D76" s="310"/>
      <c r="E76" s="310"/>
      <c r="F76" s="310"/>
      <c r="G76" s="310"/>
      <c r="H76" s="310"/>
      <c r="I76" s="310"/>
      <c r="J76" s="310"/>
      <c r="K76" s="310"/>
      <c r="L76" s="310"/>
      <c r="M76" s="310"/>
      <c r="N76" s="310"/>
      <c r="O76" s="310"/>
      <c r="P76" s="310"/>
      <c r="Q76" s="310"/>
      <c r="R76" s="310"/>
      <c r="S76" s="310"/>
      <c r="T76" s="310"/>
      <c r="U76" s="310"/>
      <c r="V76" s="310"/>
      <c r="W76" s="310"/>
      <c r="X76" s="310"/>
      <c r="Y76" s="310"/>
      <c r="Z76" s="310"/>
      <c r="AA76" s="310"/>
      <c r="AB76" s="310"/>
      <c r="AC76" s="310"/>
      <c r="AD76" s="310"/>
      <c r="AE76" s="310"/>
      <c r="AF76" s="310"/>
      <c r="AG76" s="310"/>
      <c r="AH76" s="310"/>
      <c r="AI76" s="310"/>
      <c r="AJ76" s="310"/>
      <c r="AK76" s="310"/>
      <c r="AL76" s="310"/>
      <c r="AM76" s="310"/>
      <c r="AN76" s="310"/>
      <c r="AO76" s="310"/>
    </row>
    <row r="77" spans="1:41" customFormat="1" x14ac:dyDescent="0.15">
      <c r="A77" s="310"/>
      <c r="B77" s="310"/>
      <c r="C77" s="310"/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  <c r="AA77" s="310"/>
      <c r="AB77" s="310"/>
      <c r="AC77" s="310"/>
      <c r="AD77" s="310"/>
      <c r="AE77" s="310"/>
      <c r="AF77" s="310"/>
      <c r="AG77" s="310"/>
      <c r="AH77" s="310"/>
      <c r="AI77" s="310"/>
      <c r="AJ77" s="310"/>
      <c r="AK77" s="310"/>
      <c r="AL77" s="310"/>
      <c r="AM77" s="310"/>
      <c r="AN77" s="310"/>
      <c r="AO77" s="310"/>
    </row>
    <row r="78" spans="1:41" customFormat="1" x14ac:dyDescent="0.15">
      <c r="A78" s="310"/>
      <c r="B78" s="310"/>
      <c r="C78" s="310"/>
      <c r="D78" s="310"/>
      <c r="E78" s="310"/>
      <c r="F78" s="310"/>
      <c r="G78" s="310"/>
      <c r="H78" s="310"/>
      <c r="I78" s="310"/>
      <c r="J78" s="310"/>
      <c r="K78" s="310"/>
      <c r="L78" s="310"/>
      <c r="M78" s="310"/>
      <c r="N78" s="310"/>
      <c r="O78" s="310"/>
      <c r="P78" s="310"/>
      <c r="Q78" s="310"/>
      <c r="R78" s="310"/>
      <c r="S78" s="310"/>
      <c r="T78" s="310"/>
      <c r="U78" s="310"/>
      <c r="V78" s="310"/>
      <c r="W78" s="310"/>
      <c r="X78" s="310"/>
      <c r="Y78" s="310"/>
      <c r="Z78" s="310"/>
      <c r="AA78" s="310"/>
      <c r="AB78" s="310"/>
      <c r="AC78" s="310"/>
      <c r="AD78" s="310"/>
      <c r="AE78" s="310"/>
      <c r="AF78" s="310"/>
      <c r="AG78" s="310"/>
      <c r="AH78" s="310"/>
      <c r="AI78" s="310"/>
      <c r="AJ78" s="310"/>
      <c r="AK78" s="310"/>
      <c r="AL78" s="310"/>
      <c r="AM78" s="310"/>
      <c r="AN78" s="310"/>
      <c r="AO78" s="310"/>
    </row>
    <row r="79" spans="1:41" customFormat="1" x14ac:dyDescent="0.15">
      <c r="A79" s="310"/>
      <c r="B79" s="310"/>
      <c r="C79" s="310"/>
      <c r="D79" s="310"/>
      <c r="E79" s="310"/>
      <c r="F79" s="310"/>
      <c r="G79" s="310"/>
      <c r="H79" s="310"/>
      <c r="I79" s="310"/>
      <c r="J79" s="310"/>
      <c r="K79" s="310"/>
      <c r="L79" s="310"/>
      <c r="M79" s="310"/>
      <c r="N79" s="310"/>
      <c r="O79" s="310"/>
      <c r="P79" s="310"/>
      <c r="Q79" s="310"/>
      <c r="R79" s="310"/>
      <c r="S79" s="310"/>
      <c r="T79" s="310"/>
      <c r="U79" s="310"/>
      <c r="V79" s="310"/>
      <c r="W79" s="310"/>
      <c r="X79" s="310"/>
      <c r="Y79" s="310"/>
      <c r="Z79" s="310"/>
      <c r="AA79" s="310"/>
      <c r="AB79" s="310"/>
      <c r="AC79" s="310"/>
      <c r="AD79" s="310"/>
      <c r="AE79" s="310"/>
      <c r="AF79" s="310"/>
      <c r="AG79" s="310"/>
      <c r="AH79" s="310"/>
      <c r="AI79" s="310"/>
      <c r="AJ79" s="310"/>
      <c r="AK79" s="310"/>
      <c r="AL79" s="310"/>
      <c r="AM79" s="310"/>
      <c r="AN79" s="310"/>
      <c r="AO79" s="310"/>
    </row>
    <row r="80" spans="1:41" customFormat="1" x14ac:dyDescent="0.15">
      <c r="A80" s="310"/>
      <c r="B80" s="310"/>
      <c r="C80" s="310"/>
      <c r="D80" s="310"/>
      <c r="E80" s="310"/>
      <c r="F80" s="310"/>
      <c r="G80" s="310"/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  <c r="AA80" s="310"/>
      <c r="AB80" s="310"/>
      <c r="AC80" s="310"/>
      <c r="AD80" s="310"/>
      <c r="AE80" s="310"/>
      <c r="AF80" s="310"/>
      <c r="AG80" s="310"/>
      <c r="AH80" s="310"/>
      <c r="AI80" s="310"/>
      <c r="AJ80" s="310"/>
      <c r="AK80" s="310"/>
      <c r="AL80" s="310"/>
      <c r="AM80" s="310"/>
      <c r="AN80" s="310"/>
      <c r="AO80" s="310"/>
    </row>
    <row r="81" spans="1:41" customFormat="1" x14ac:dyDescent="0.15">
      <c r="A81" s="310"/>
      <c r="B81" s="310"/>
      <c r="C81" s="310"/>
      <c r="D81" s="310"/>
      <c r="E81" s="310"/>
      <c r="F81" s="310"/>
      <c r="G81" s="310"/>
      <c r="H81" s="310"/>
      <c r="I81" s="310"/>
      <c r="J81" s="310"/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0"/>
      <c r="Z81" s="310"/>
      <c r="AA81" s="310"/>
      <c r="AB81" s="310"/>
      <c r="AC81" s="310"/>
      <c r="AD81" s="310"/>
      <c r="AE81" s="310"/>
      <c r="AF81" s="310"/>
      <c r="AG81" s="310"/>
      <c r="AH81" s="310"/>
      <c r="AI81" s="310"/>
      <c r="AJ81" s="310"/>
      <c r="AK81" s="310"/>
      <c r="AL81" s="310"/>
      <c r="AM81" s="310"/>
      <c r="AN81" s="310"/>
      <c r="AO81" s="310"/>
    </row>
    <row r="82" spans="1:41" customFormat="1" x14ac:dyDescent="0.15">
      <c r="A82" s="310"/>
      <c r="B82" s="310"/>
      <c r="C82" s="310"/>
      <c r="D82" s="310"/>
      <c r="E82" s="310"/>
      <c r="F82" s="310"/>
      <c r="G82" s="310"/>
      <c r="H82" s="310"/>
      <c r="I82" s="310"/>
      <c r="J82" s="310"/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310"/>
      <c r="AB82" s="310"/>
      <c r="AC82" s="310"/>
      <c r="AD82" s="310"/>
      <c r="AE82" s="310"/>
      <c r="AF82" s="310"/>
      <c r="AG82" s="310"/>
      <c r="AH82" s="310"/>
      <c r="AI82" s="310"/>
      <c r="AJ82" s="310"/>
      <c r="AK82" s="310"/>
      <c r="AL82" s="310"/>
      <c r="AM82" s="310"/>
      <c r="AN82" s="310"/>
      <c r="AO82" s="310"/>
    </row>
    <row r="83" spans="1:41" customFormat="1" x14ac:dyDescent="0.15"/>
    <row r="84" spans="1:41" customFormat="1" x14ac:dyDescent="0.15"/>
    <row r="85" spans="1:41" customFormat="1" x14ac:dyDescent="0.15"/>
    <row r="86" spans="1:41" customFormat="1" x14ac:dyDescent="0.15"/>
    <row r="87" spans="1:41" customFormat="1" x14ac:dyDescent="0.15"/>
    <row r="88" spans="1:41" customFormat="1" x14ac:dyDescent="0.15"/>
    <row r="89" spans="1:41" customFormat="1" x14ac:dyDescent="0.15"/>
    <row r="90" spans="1:41" customFormat="1" x14ac:dyDescent="0.15"/>
    <row r="91" spans="1:41" customFormat="1" x14ac:dyDescent="0.15"/>
    <row r="92" spans="1:41" customFormat="1" x14ac:dyDescent="0.15"/>
    <row r="93" spans="1:41" customFormat="1" x14ac:dyDescent="0.15"/>
    <row r="94" spans="1:41" customFormat="1" x14ac:dyDescent="0.15"/>
    <row r="95" spans="1:41" customFormat="1" x14ac:dyDescent="0.15"/>
    <row r="96" spans="1:41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</sheetData>
  <sheetProtection algorithmName="SHA-512" hashValue="Cc1NKS2BfG8hHEfF1KuaXrcXv47dJt40MlMMiHXqO02vPM/6yheWMINnNj4li37+J8oRLOKX/olUrCRC7lHdoA==" saltValue="9uu1GxRz0TffVvLonDwKXg==" spinCount="100000" sheet="1" objects="1" scenarios="1"/>
  <pageMargins left="0.75" right="0.75" top="1" bottom="1" header="0.5" footer="0.5"/>
  <ignoredErrors>
    <ignoredError sqref="H14" formula="1"/>
  </ignoredError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FA052-9889-D046-8C20-AF59B7A1F220}">
  <sheetPr codeName="Sheet20"/>
  <dimension ref="A1:UH5197"/>
  <sheetViews>
    <sheetView workbookViewId="0">
      <selection activeCell="K8" sqref="K8:K15"/>
    </sheetView>
  </sheetViews>
  <sheetFormatPr baseColWidth="10" defaultRowHeight="13" x14ac:dyDescent="0.15"/>
  <cols>
    <col min="1" max="1" width="14.83203125" style="231" customWidth="1"/>
    <col min="2" max="2" width="19.1640625" style="231" customWidth="1"/>
    <col min="3" max="3" width="18.1640625" style="231" bestFit="1" customWidth="1"/>
    <col min="4" max="8" width="11.83203125" style="231" customWidth="1"/>
    <col min="9" max="10" width="11.83203125" style="231" hidden="1" customWidth="1"/>
    <col min="11" max="15" width="11.83203125" style="231" customWidth="1"/>
    <col min="16" max="19" width="11.83203125" style="231" hidden="1" customWidth="1"/>
    <col min="20" max="24" width="11.83203125" style="231" customWidth="1"/>
    <col min="555" max="16384" width="10.83203125" style="231"/>
  </cols>
  <sheetData>
    <row r="1" spans="1:41" customFormat="1" x14ac:dyDescent="0.15">
      <c r="A1" s="309" t="s">
        <v>12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</row>
    <row r="2" spans="1:41" customFormat="1" x14ac:dyDescent="0.15">
      <c r="A2" s="309" t="s">
        <v>97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</row>
    <row r="3" spans="1:41" customFormat="1" ht="14" thickBot="1" x14ac:dyDescent="0.2">
      <c r="A3" s="309"/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</row>
    <row r="4" spans="1:41" ht="14" x14ac:dyDescent="0.15">
      <c r="A4" s="207" t="s">
        <v>25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10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</row>
    <row r="5" spans="1:41" ht="14" x14ac:dyDescent="0.15">
      <c r="A5" s="211" t="s">
        <v>358</v>
      </c>
      <c r="B5" s="212"/>
      <c r="C5" s="280">
        <v>7500</v>
      </c>
      <c r="D5" s="213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4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</row>
    <row r="6" spans="1:41" ht="14" x14ac:dyDescent="0.15">
      <c r="A6" s="211"/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4"/>
      <c r="Y6" s="309"/>
      <c r="Z6" s="309"/>
      <c r="AA6" s="30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  <c r="AO6" s="309"/>
    </row>
    <row r="7" spans="1:41" ht="75" x14ac:dyDescent="0.15">
      <c r="A7" s="237" t="s">
        <v>71</v>
      </c>
      <c r="B7" s="238" t="s">
        <v>75</v>
      </c>
      <c r="C7" s="238" t="s">
        <v>45</v>
      </c>
      <c r="D7" s="239" t="s">
        <v>46</v>
      </c>
      <c r="E7" s="239" t="s">
        <v>90</v>
      </c>
      <c r="F7" s="239" t="s">
        <v>91</v>
      </c>
      <c r="G7" s="239" t="s">
        <v>92</v>
      </c>
      <c r="H7" s="240" t="s">
        <v>276</v>
      </c>
      <c r="I7" s="249" t="s">
        <v>79</v>
      </c>
      <c r="J7" s="250" t="s">
        <v>18</v>
      </c>
      <c r="K7" s="241" t="s">
        <v>378</v>
      </c>
      <c r="L7" s="242" t="s">
        <v>19</v>
      </c>
      <c r="M7" s="243" t="s">
        <v>20</v>
      </c>
      <c r="N7" s="243" t="s">
        <v>21</v>
      </c>
      <c r="O7" s="243" t="s">
        <v>22</v>
      </c>
      <c r="P7" s="244" t="s">
        <v>355</v>
      </c>
      <c r="Q7" s="244" t="s">
        <v>356</v>
      </c>
      <c r="R7" s="251" t="s">
        <v>80</v>
      </c>
      <c r="S7" s="251" t="s">
        <v>81</v>
      </c>
      <c r="T7" s="245" t="s">
        <v>82</v>
      </c>
      <c r="U7" s="245" t="s">
        <v>83</v>
      </c>
      <c r="V7" s="246" t="s">
        <v>23</v>
      </c>
      <c r="W7" s="247" t="s">
        <v>24</v>
      </c>
      <c r="X7" s="248" t="s">
        <v>99</v>
      </c>
      <c r="Y7" s="309"/>
      <c r="Z7" s="309"/>
      <c r="AA7" s="309"/>
      <c r="AB7" s="309"/>
      <c r="AC7" s="309"/>
      <c r="AD7" s="309"/>
      <c r="AE7" s="309"/>
      <c r="AF7" s="309"/>
      <c r="AG7" s="309"/>
      <c r="AH7" s="309"/>
      <c r="AI7" s="309"/>
      <c r="AJ7" s="309"/>
      <c r="AK7" s="309"/>
      <c r="AL7" s="309"/>
      <c r="AM7" s="309"/>
      <c r="AN7" s="309"/>
      <c r="AO7" s="309"/>
    </row>
    <row r="8" spans="1:41" ht="20" customHeight="1" x14ac:dyDescent="0.15">
      <c r="A8" s="215" t="str">
        <f>'Tariffs 2021'!F3</f>
        <v>AGL</v>
      </c>
      <c r="B8" s="213" t="str">
        <f>'Tariffs 2021'!D3</f>
        <v>AGN SA</v>
      </c>
      <c r="C8" s="213" t="str">
        <f>'Tariffs 2021'!G3</f>
        <v>Flexible Saver</v>
      </c>
      <c r="D8" s="216">
        <f>91*'Tariffs 2021'!H3/100</f>
        <v>61.970999999999997</v>
      </c>
      <c r="E8" s="216">
        <f>IF('Tariffs 2021'!K3="",$C$5*'Tariffs 2021'!W3/100,IF($C$5&gt;='Tariffs 2021'!L3*1.5,('Tariffs 2021'!L3*1.5*'Tariffs 2021'!W3/100),($C$5*'Tariffs 2021'!W3/100)))</f>
        <v>287.0454545454545</v>
      </c>
      <c r="F8" s="216">
        <f>IF(AND('Tariffs 2021'!L3*1.5&gt;0,'Tariffs 2021'!M3*1.5&gt;0),IF($C$5&lt;'Tariffs 2021'!L3*1.5,0,IF(($C$5-'Tariffs 2021'!L3*1.5)&lt;=('Tariffs 2021'!M3*1.5+'Tariffs 2021'!L3*1.5),(($C$5-'Tariffs 2021'!L3*1.5)*'Tariffs 2021'!X3/100),(('Tariffs 2021'!M3*1.5)*'Tariffs 2021'!X3/100))),0)</f>
        <v>0</v>
      </c>
      <c r="G8" s="216">
        <f>IF(AND('Tariffs 2021'!P3&gt;0,'Tariffs 2021'!O3&gt;0),IF(($C$5&lt;(SUM('Tariffs 2021'!L3:P3))*1.5),(0),($C$5-(SUM('Tariffs 2021'!L3:P3)*1.5))*'Tariffs 2021'!AB3/100),IF(AND('Tariffs 2021'!O3&gt;0,'Tariffs 2021'!P3=""),IF(($C$5&lt; (SUM('Tariffs 2021'!L3:O3))*1.5),(0),($C$5-(SUM('Tariffs 2021'!L3:O3))*1.5)*'Tariffs 2021'!AA3/100),IF(AND('Tariffs 2021'!N3&gt;0,'Tariffs 2021'!O3=""),IF(($C$5&lt;(SUM('Tariffs 2021'!L3:N3))*1.5),(0),($C$5-(SUM('Tariffs 2021'!L3:N3))*1.5)*'Tariffs 2021'!Z3/100),IF(AND('Tariffs 2021'!M3&gt;0,'Tariffs 2021'!N3=""),IF(($C$5&lt;'Tariffs 2021'!M3*1.5+'Tariffs 2021'!L3*1.5),(0),(($C$5-('Tariffs 2021'!M3*1.5+'Tariffs 2021'!L3*1.5))*'Tariffs 2021'!Y3/100)),IF(AND('Tariffs 2021'!L3&gt;0,'Tariffs 2021'!M3=""&gt;0),IF(($C$5&lt;'Tariffs 2021'!L3*1.5),(0),($C$5-('Tariffs 2021'!L3*1.5))*'Tariffs 2021'!X3/100),0)))))</f>
        <v>0</v>
      </c>
      <c r="H8" s="216">
        <f>SUM(D8:G8)</f>
        <v>349.01645454545451</v>
      </c>
      <c r="I8" s="216">
        <f t="shared" ref="I8:I15" si="0">(H8-D8)*4</f>
        <v>1148.181818181818</v>
      </c>
      <c r="J8" s="252">
        <f>H8*4</f>
        <v>1396.065818181818</v>
      </c>
      <c r="K8" s="256">
        <f>J8*1.1</f>
        <v>1535.6723999999999</v>
      </c>
      <c r="L8" s="213">
        <f>'Tariffs 2021'!AT3</f>
        <v>0</v>
      </c>
      <c r="M8" s="213">
        <f>'Tariffs 2021'!AU3</f>
        <v>0</v>
      </c>
      <c r="N8" s="213">
        <f>'Tariffs 2021'!AV3</f>
        <v>0</v>
      </c>
      <c r="O8" s="213">
        <f>'Tariffs 2021'!AW3</f>
        <v>0</v>
      </c>
      <c r="P8" s="217" t="str">
        <f t="shared" ref="P8" si="1">IF(SUM(L8:O8)=0,"No discount",IF(L8&gt;0,"Guaranteed off bill",IF(M8&gt;0,"Guaranteed off usage",IF(N8&gt;0,"Pay-on-time off bill","Pay-on-time off usage"))))</f>
        <v>No discount</v>
      </c>
      <c r="Q8" s="217" t="str">
        <f t="shared" ref="Q8:Q15" si="2">IF(OR(A8="Origin Energy",A8="Red Energy",A8="Powershop"),"Inclusive","Exclusive")</f>
        <v>Exclusive</v>
      </c>
      <c r="R8" s="253">
        <f t="shared" ref="R8:R19" si="3">IF(AND(P8="Guaranteed off bill",Q8="Inclusive"),((J8*1.1)-((J8*1.1)*L8/100))/1.1,IF(AND(P8="Guaranteed off usage",Q8="Inclusive"),((J8*1.1)-((I8*1.1)*M8/100))/1.1,IF(AND(P8="Guaranteed off bill",Q8="Exclusive"),J8-(J8*L8/100),IF(AND(P8="Guaranteed off usage",Q8="Exclusive"),J8-(I8*M8/100),IF(Q8="Inclusive",((J8*1.1))/1.1,J8)))))</f>
        <v>1396.065818181818</v>
      </c>
      <c r="S8" s="253">
        <f t="shared" ref="S8:S19" si="4">IF(AND(P8="Pay-on-time off bill",Q8="Inclusive"),((R8*1.1)-((R8*1.1)*N8/100))/1.1,IF(AND(P8="Pay-on-time off usage",Q8="Inclusive"),((R8*1.1)-((I8*1.1)*O8/100))/1.1,IF(AND(P8="Pay-on-time off bill",Q8="Exclusive"),R8-(R8*N8/100),IF(AND(P8="Pay-on-time off usage",Q8="Exclusive"),R8-(I8*O8/100),IF(Q8="Inclusive",((R8*1.1))/1.1,R8)))))</f>
        <v>1396.065818181818</v>
      </c>
      <c r="T8" s="259">
        <f t="shared" ref="T8:U19" si="5">R8*1.1</f>
        <v>1535.6723999999999</v>
      </c>
      <c r="U8" s="259">
        <f t="shared" si="5"/>
        <v>1535.6723999999999</v>
      </c>
      <c r="V8" s="218">
        <f>'Tariffs 2021'!BF3</f>
        <v>0</v>
      </c>
      <c r="W8" s="218" t="str">
        <f>'Tariffs 2021'!BG3</f>
        <v>n</v>
      </c>
      <c r="X8" s="219" t="str">
        <f>'Tariffs 2021'!BP3</f>
        <v>N</v>
      </c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</row>
    <row r="9" spans="1:41" ht="20" customHeight="1" x14ac:dyDescent="0.15">
      <c r="A9" s="215" t="str">
        <f>'Tariffs 2021'!F4</f>
        <v xml:space="preserve">Alinta Energy </v>
      </c>
      <c r="B9" s="213" t="str">
        <f>'Tariffs 2021'!D4</f>
        <v>AGN Metro</v>
      </c>
      <c r="C9" s="213" t="str">
        <f>'Tariffs 2021'!G4</f>
        <v>Home Deal</v>
      </c>
      <c r="D9" s="216">
        <f>91*'Tariffs 2021'!H4/100</f>
        <v>61.474636363636357</v>
      </c>
      <c r="E9" s="216">
        <f>IF('Tariffs 2021'!K4="",$C$5*'Tariffs 2021'!W4/100,IF($C$5&gt;='Tariffs 2021'!L4*1.5,('Tariffs 2021'!L4*1.5*'Tariffs 2021'!W4/100),($C$5*'Tariffs 2021'!W4/100)))</f>
        <v>153</v>
      </c>
      <c r="F9" s="216">
        <f>IF(AND('Tariffs 2021'!L4*1.5&gt;0,'Tariffs 2021'!M4*1.5&gt;0),IF($C$5&lt;'Tariffs 2021'!L4*1.5,0,IF(($C$5-'Tariffs 2021'!L4*1.5)&lt;=('Tariffs 2021'!M4*1.5+'Tariffs 2021'!L4*1.5),(($C$5-'Tariffs 2021'!L4*1.5)*'Tariffs 2021'!X4/100),(('Tariffs 2021'!M4*1.5)*'Tariffs 2021'!X4/100))),0)</f>
        <v>0</v>
      </c>
      <c r="G9" s="216">
        <f>IF(AND('Tariffs 2021'!P4&gt;0,'Tariffs 2021'!O4&gt;0),IF(($C$5&lt;(SUM('Tariffs 2021'!L4:P4))*1.5),(0),($C$5-(SUM('Tariffs 2021'!L4:P4)*1.5))*'Tariffs 2021'!AB4/100),IF(AND('Tariffs 2021'!O4&gt;0,'Tariffs 2021'!P4=""),IF(($C$5&lt; (SUM('Tariffs 2021'!L4:O4))*1.5),(0),($C$5-(SUM('Tariffs 2021'!L4:O4))*1.5)*'Tariffs 2021'!AA4/100),IF(AND('Tariffs 2021'!N4&gt;0,'Tariffs 2021'!O4=""),IF(($C$5&lt;(SUM('Tariffs 2021'!L4:N4))*1.5),(0),($C$5-(SUM('Tariffs 2021'!L4:N4))*1.5)*'Tariffs 2021'!Z4/100),IF(AND('Tariffs 2021'!M4&gt;0,'Tariffs 2021'!N4=""),IF(($C$5&lt;'Tariffs 2021'!M4*1.5+'Tariffs 2021'!L4*1.5),(0),(($C$5-('Tariffs 2021'!M4*1.5+'Tariffs 2021'!L4*1.5))*'Tariffs 2021'!Y4/100)),IF(AND('Tariffs 2021'!L4&gt;0,'Tariffs 2021'!M4=""&gt;0),IF(($C$5&lt;'Tariffs 2021'!L4*1.5),(0),($C$5-('Tariffs 2021'!L4*1.5))*'Tariffs 2021'!X4/100),0)))))</f>
        <v>78.272727272727266</v>
      </c>
      <c r="H9" s="216">
        <f t="shared" ref="H9:H19" si="6">SUM(D9:G9)</f>
        <v>292.74736363636362</v>
      </c>
      <c r="I9" s="216">
        <f t="shared" si="0"/>
        <v>925.09090909090901</v>
      </c>
      <c r="J9" s="252">
        <f t="shared" ref="J9:J19" si="7">H9*4</f>
        <v>1170.9894545454545</v>
      </c>
      <c r="K9" s="257">
        <f t="shared" ref="K9:K19" si="8">J9*1.1</f>
        <v>1288.0884000000001</v>
      </c>
      <c r="L9" s="213">
        <f>'Tariffs 2021'!AT4</f>
        <v>0</v>
      </c>
      <c r="M9" s="213">
        <f>'Tariffs 2021'!AU4</f>
        <v>0</v>
      </c>
      <c r="N9" s="213">
        <f>'Tariffs 2021'!AV4</f>
        <v>0</v>
      </c>
      <c r="O9" s="213">
        <f>'Tariffs 2021'!AW4</f>
        <v>0</v>
      </c>
      <c r="P9" s="217" t="str">
        <f t="shared" ref="P9:P14" si="9">IF(SUM(L9:O9)=0,"No discount",IF(L9&gt;0,"Guaranteed off bill",IF(M9&gt;0,"Guaranteed off usage",IF(N9&gt;0,"Pay-on-time off bill","Pay-on-time off usage"))))</f>
        <v>No discount</v>
      </c>
      <c r="Q9" s="217" t="str">
        <f t="shared" si="2"/>
        <v>Exclusive</v>
      </c>
      <c r="R9" s="253">
        <f t="shared" si="3"/>
        <v>1170.9894545454545</v>
      </c>
      <c r="S9" s="253">
        <f t="shared" si="4"/>
        <v>1170.9894545454545</v>
      </c>
      <c r="T9" s="260">
        <f t="shared" si="5"/>
        <v>1288.0884000000001</v>
      </c>
      <c r="U9" s="260">
        <f t="shared" si="5"/>
        <v>1288.0884000000001</v>
      </c>
      <c r="V9" s="218">
        <f>'Tariffs 2021'!BF4</f>
        <v>0</v>
      </c>
      <c r="W9" s="218" t="str">
        <f>'Tariffs 2021'!BG4</f>
        <v>n</v>
      </c>
      <c r="X9" s="219" t="str">
        <f>'Tariffs 2021'!BP4</f>
        <v>N</v>
      </c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</row>
    <row r="10" spans="1:41" ht="20" customHeight="1" x14ac:dyDescent="0.15">
      <c r="A10" s="215" t="str">
        <f>'Tariffs 2021'!F5</f>
        <v>EnergyAustralia</v>
      </c>
      <c r="B10" s="213" t="str">
        <f>'Tariffs 2021'!D5</f>
        <v>AGN Metro</v>
      </c>
      <c r="C10" s="213" t="str">
        <f>'Tariffs 2021'!G5</f>
        <v>Total Plan</v>
      </c>
      <c r="D10" s="216">
        <f>91*'Tariffs 2021'!H5/100</f>
        <v>73.254999999999995</v>
      </c>
      <c r="E10" s="216">
        <f>IF('Tariffs 2021'!K5="",$C$5*'Tariffs 2021'!W5/100,IF($C$5&gt;='Tariffs 2021'!L5*1.5,('Tariffs 2021'!L5*1.5*'Tariffs 2021'!W5/100),($C$5*'Tariffs 2021'!W5/100)))</f>
        <v>110.74581818181819</v>
      </c>
      <c r="F10" s="216">
        <f>IF(AND('Tariffs 2021'!L5*1.5&gt;0,'Tariffs 2021'!M5*1.5&gt;0),IF($C$5&lt;'Tariffs 2021'!L5*1.5,0,IF(($C$5-'Tariffs 2021'!L5*1.5)&lt;=('Tariffs 2021'!M5*1.5+'Tariffs 2021'!L5*1.5),(($C$5-'Tariffs 2021'!L5*1.5)*'Tariffs 2021'!X5/100),(('Tariffs 2021'!M5*1.5)*'Tariffs 2021'!X5/100))),0)</f>
        <v>76.510636363636351</v>
      </c>
      <c r="G10" s="216">
        <f>IF(AND('Tariffs 2021'!P5&gt;0,'Tariffs 2021'!O5&gt;0),IF(($C$5&lt;(SUM('Tariffs 2021'!L5:P5))*1.5),(0),($C$5-(SUM('Tariffs 2021'!L5:P5)*1.5))*'Tariffs 2021'!AB5/100),IF(AND('Tariffs 2021'!O5&gt;0,'Tariffs 2021'!P5=""),IF(($C$5&lt; (SUM('Tariffs 2021'!L5:O5))*1.5),(0),($C$5-(SUM('Tariffs 2021'!L5:O5))*1.5)*'Tariffs 2021'!AA5/100),IF(AND('Tariffs 2021'!N5&gt;0,'Tariffs 2021'!O5=""),IF(($C$5&lt;(SUM('Tariffs 2021'!L5:N5))*1.5),(0),($C$5-(SUM('Tariffs 2021'!L5:N5))*1.5)*'Tariffs 2021'!Z5/100),IF(AND('Tariffs 2021'!M5&gt;0,'Tariffs 2021'!N5=""),IF(($C$5&lt;'Tariffs 2021'!M5*1.5+'Tariffs 2021'!L5*1.5),(0),(($C$5-('Tariffs 2021'!M5*1.5+'Tariffs 2021'!L5*1.5))*'Tariffs 2021'!Y5/100)),IF(AND('Tariffs 2021'!L5&gt;0,'Tariffs 2021'!M5=""&gt;0),IF(($C$5&lt;'Tariffs 2021'!L5*1.5),(0),($C$5-('Tariffs 2021'!L5*1.5))*'Tariffs 2021'!X5/100),0)))))</f>
        <v>70.727454545454549</v>
      </c>
      <c r="H10" s="216">
        <f t="shared" si="6"/>
        <v>331.23890909090915</v>
      </c>
      <c r="I10" s="216">
        <f t="shared" si="0"/>
        <v>1031.9356363636366</v>
      </c>
      <c r="J10" s="252">
        <f t="shared" si="7"/>
        <v>1324.9556363636366</v>
      </c>
      <c r="K10" s="257">
        <f t="shared" si="8"/>
        <v>1457.4512000000004</v>
      </c>
      <c r="L10" s="213">
        <f>'Tariffs 2021'!AT5</f>
        <v>12</v>
      </c>
      <c r="M10" s="213">
        <f>'Tariffs 2021'!AU5</f>
        <v>0</v>
      </c>
      <c r="N10" s="213">
        <f>'Tariffs 2021'!AV5</f>
        <v>0</v>
      </c>
      <c r="O10" s="213">
        <f>'Tariffs 2021'!AW5</f>
        <v>0</v>
      </c>
      <c r="P10" s="217" t="str">
        <f t="shared" si="9"/>
        <v>Guaranteed off bill</v>
      </c>
      <c r="Q10" s="217" t="str">
        <f t="shared" si="2"/>
        <v>Exclusive</v>
      </c>
      <c r="R10" s="253">
        <f t="shared" si="3"/>
        <v>1165.9609600000001</v>
      </c>
      <c r="S10" s="253">
        <f t="shared" si="4"/>
        <v>1165.9609600000001</v>
      </c>
      <c r="T10" s="260">
        <f t="shared" si="5"/>
        <v>1282.5570560000003</v>
      </c>
      <c r="U10" s="260">
        <f t="shared" si="5"/>
        <v>1282.5570560000003</v>
      </c>
      <c r="V10" s="218">
        <f>'Tariffs 2021'!BF5</f>
        <v>0</v>
      </c>
      <c r="W10" s="218" t="str">
        <f>'Tariffs 2021'!BG5</f>
        <v>n</v>
      </c>
      <c r="X10" s="219" t="str">
        <f>'Tariffs 2021'!BP5</f>
        <v>N</v>
      </c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</row>
    <row r="11" spans="1:41" ht="20" customHeight="1" x14ac:dyDescent="0.15">
      <c r="A11" s="215" t="str">
        <f>'Tariffs 2021'!F6</f>
        <v>Origin Energy</v>
      </c>
      <c r="B11" s="213" t="str">
        <f>'Tariffs 2021'!D6</f>
        <v>AGN SA</v>
      </c>
      <c r="C11" s="213" t="str">
        <f>'Tariffs 2021'!G6</f>
        <v>Go Variable</v>
      </c>
      <c r="D11" s="216">
        <f>91*'Tariffs 2021'!H6/100</f>
        <v>62.293636363636359</v>
      </c>
      <c r="E11" s="216">
        <f>IF('Tariffs 2021'!K6="",$C$5*'Tariffs 2021'!W6/100,IF($C$5&gt;='Tariffs 2021'!L6*1.5,('Tariffs 2021'!L6*1.5*'Tariffs 2021'!W6/100),($C$5*'Tariffs 2021'!W6/100)))</f>
        <v>174.70994972727271</v>
      </c>
      <c r="F11" s="216">
        <f>IF(AND('Tariffs 2021'!L6*1.5&gt;0,'Tariffs 2021'!M6*1.5&gt;0),IF($C$5&lt;'Tariffs 2021'!L6*1.5,0,IF(($C$5-'Tariffs 2021'!L6*1.5)&lt;=('Tariffs 2021'!M6*1.5+'Tariffs 2021'!L6*1.5),(($C$5-'Tariffs 2021'!L6*1.5)*'Tariffs 2021'!X6/100),(('Tariffs 2021'!M6*1.5)*'Tariffs 2021'!X6/100))),0)</f>
        <v>0</v>
      </c>
      <c r="G11" s="216">
        <f>IF(AND('Tariffs 2021'!P6&gt;0,'Tariffs 2021'!O6&gt;0),IF(($C$5&lt;(SUM('Tariffs 2021'!L6:P6))*1.5),(0),($C$5-(SUM('Tariffs 2021'!L6:P6)*1.5))*'Tariffs 2021'!AB6/100),IF(AND('Tariffs 2021'!O6&gt;0,'Tariffs 2021'!P6=""),IF(($C$5&lt; (SUM('Tariffs 2021'!L6:O6))*1.5),(0),($C$5-(SUM('Tariffs 2021'!L6:O6))*1.5)*'Tariffs 2021'!AA6/100),IF(AND('Tariffs 2021'!N6&gt;0,'Tariffs 2021'!O6=""),IF(($C$5&lt;(SUM('Tariffs 2021'!L6:N6))*1.5),(0),($C$5-(SUM('Tariffs 2021'!L6:N6))*1.5)*'Tariffs 2021'!Z6/100),IF(AND('Tariffs 2021'!M6&gt;0,'Tariffs 2021'!N6=""),IF(($C$5&lt;'Tariffs 2021'!M6*1.5+'Tariffs 2021'!L6*1.5),(0),(($C$5-('Tariffs 2021'!M6*1.5+'Tariffs 2021'!L6*1.5))*'Tariffs 2021'!Y6/100)),IF(AND('Tariffs 2021'!L6&gt;0,'Tariffs 2021'!M6=""&gt;0),IF(($C$5&lt;'Tariffs 2021'!L6*1.5),(0),($C$5-('Tariffs 2021'!L6*1.5))*'Tariffs 2021'!X6/100),0)))))</f>
        <v>61.511150999999984</v>
      </c>
      <c r="H11" s="216">
        <f t="shared" si="6"/>
        <v>298.51473709090908</v>
      </c>
      <c r="I11" s="216">
        <f t="shared" si="0"/>
        <v>944.88440290909091</v>
      </c>
      <c r="J11" s="252">
        <f t="shared" si="7"/>
        <v>1194.0589483636363</v>
      </c>
      <c r="K11" s="257">
        <f t="shared" si="8"/>
        <v>1313.4648432000001</v>
      </c>
      <c r="L11" s="213">
        <f>'Tariffs 2021'!AT6</f>
        <v>0</v>
      </c>
      <c r="M11" s="213">
        <f>'Tariffs 2021'!AU6</f>
        <v>0</v>
      </c>
      <c r="N11" s="213">
        <f>'Tariffs 2021'!AV6</f>
        <v>0</v>
      </c>
      <c r="O11" s="213">
        <f>'Tariffs 2021'!AW6</f>
        <v>0</v>
      </c>
      <c r="P11" s="217" t="str">
        <f t="shared" si="9"/>
        <v>No discount</v>
      </c>
      <c r="Q11" s="217" t="str">
        <f t="shared" si="2"/>
        <v>Inclusive</v>
      </c>
      <c r="R11" s="253">
        <f t="shared" si="3"/>
        <v>1194.0589483636363</v>
      </c>
      <c r="S11" s="253">
        <f t="shared" si="4"/>
        <v>1194.0589483636363</v>
      </c>
      <c r="T11" s="260">
        <f t="shared" si="5"/>
        <v>1313.4648432000001</v>
      </c>
      <c r="U11" s="260">
        <f t="shared" si="5"/>
        <v>1313.4648432000001</v>
      </c>
      <c r="V11" s="218">
        <f>'Tariffs 2021'!BF6</f>
        <v>0</v>
      </c>
      <c r="W11" s="227" t="str">
        <f>'Tariffs 2021'!BG6</f>
        <v>n</v>
      </c>
      <c r="X11" s="219" t="str">
        <f>'Tariffs 2021'!BP6</f>
        <v>N</v>
      </c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  <c r="AO11" s="309"/>
    </row>
    <row r="12" spans="1:41" ht="20" customHeight="1" x14ac:dyDescent="0.15">
      <c r="A12" s="215" t="str">
        <f>'Tariffs 2021'!F7</f>
        <v>Simply Energy</v>
      </c>
      <c r="B12" s="213" t="str">
        <f>'Tariffs 2021'!D7</f>
        <v>AGN Metro</v>
      </c>
      <c r="C12" s="213" t="str">
        <f>'Tariffs 2021'!G7</f>
        <v>Saver</v>
      </c>
      <c r="D12" s="216">
        <f>91*'Tariffs 2021'!H7/100</f>
        <v>52.482181818181807</v>
      </c>
      <c r="E12" s="216">
        <f>IF('Tariffs 2021'!K7="",$C$5*'Tariffs 2021'!W7/100,IF($C$5&gt;='Tariffs 2021'!L7*1.5,('Tariffs 2021'!L7*1.5*'Tariffs 2021'!W7/100),($C$5*'Tariffs 2021'!W7/100)))</f>
        <v>121.54227272727272</v>
      </c>
      <c r="F12" s="216">
        <f>IF(AND('Tariffs 2021'!L7*1.5&gt;0,'Tariffs 2021'!M7*1.5&gt;0),IF($C$5&lt;'Tariffs 2021'!L7*1.5,0,IF(($C$5-'Tariffs 2021'!L7*1.5)&lt;=('Tariffs 2021'!M7*1.5+'Tariffs 2021'!L7*1.5),(($C$5-'Tariffs 2021'!L7*1.5)*'Tariffs 2021'!X7/100),(('Tariffs 2021'!M7*1.5)*'Tariffs 2021'!X7/100))),0)</f>
        <v>60.166772727272722</v>
      </c>
      <c r="G12" s="216">
        <f>IF(AND('Tariffs 2021'!P7&gt;0,'Tariffs 2021'!O7&gt;0),IF(($C$5&lt;(SUM('Tariffs 2021'!L7:P7))*1.5),(0),($C$5-(SUM('Tariffs 2021'!L7:P7)*1.5))*'Tariffs 2021'!AB7/100),IF(AND('Tariffs 2021'!O7&gt;0,'Tariffs 2021'!P7=""),IF(($C$5&lt; (SUM('Tariffs 2021'!L7:O7))*1.5),(0),($C$5-(SUM('Tariffs 2021'!L7:O7))*1.5)*'Tariffs 2021'!AA7/100),IF(AND('Tariffs 2021'!N7&gt;0,'Tariffs 2021'!O7=""),IF(($C$5&lt;(SUM('Tariffs 2021'!L7:N7))*1.5),(0),($C$5-(SUM('Tariffs 2021'!L7:N7))*1.5)*'Tariffs 2021'!Z7/100),IF(AND('Tariffs 2021'!M7&gt;0,'Tariffs 2021'!N7=""),IF(($C$5&lt;'Tariffs 2021'!M7*1.5+'Tariffs 2021'!L7*1.5),(0),(($C$5-('Tariffs 2021'!M7*1.5+'Tariffs 2021'!L7*1.5))*'Tariffs 2021'!Y7/100)),IF(AND('Tariffs 2021'!L7&gt;0,'Tariffs 2021'!M7=""&gt;0),IF(($C$5&lt;'Tariffs 2021'!L7*1.5),(0),($C$5-('Tariffs 2021'!L7*1.5))*'Tariffs 2021'!X7/100),0)))))</f>
        <v>56.482772727272724</v>
      </c>
      <c r="H12" s="216">
        <f t="shared" si="6"/>
        <v>290.67399999999998</v>
      </c>
      <c r="I12" s="216">
        <f t="shared" si="0"/>
        <v>952.76727272727271</v>
      </c>
      <c r="J12" s="252">
        <f t="shared" si="7"/>
        <v>1162.6959999999999</v>
      </c>
      <c r="K12" s="257">
        <f t="shared" si="8"/>
        <v>1278.9656</v>
      </c>
      <c r="L12" s="213">
        <f>'Tariffs 2021'!AT7</f>
        <v>10</v>
      </c>
      <c r="M12" s="213">
        <f>'Tariffs 2021'!AU7</f>
        <v>0</v>
      </c>
      <c r="N12" s="213">
        <f>'Tariffs 2021'!AV7</f>
        <v>0</v>
      </c>
      <c r="O12" s="213">
        <f>'Tariffs 2021'!AW7</f>
        <v>0</v>
      </c>
      <c r="P12" s="217" t="str">
        <f t="shared" si="9"/>
        <v>Guaranteed off bill</v>
      </c>
      <c r="Q12" s="217" t="str">
        <f t="shared" si="2"/>
        <v>Exclusive</v>
      </c>
      <c r="R12" s="253">
        <f t="shared" si="3"/>
        <v>1046.4263999999998</v>
      </c>
      <c r="S12" s="253">
        <f t="shared" si="4"/>
        <v>1046.4263999999998</v>
      </c>
      <c r="T12" s="260">
        <f t="shared" si="5"/>
        <v>1151.0690399999999</v>
      </c>
      <c r="U12" s="260">
        <f t="shared" si="5"/>
        <v>1151.0690399999999</v>
      </c>
      <c r="V12" s="218">
        <f>'Tariffs 2021'!BF7</f>
        <v>0</v>
      </c>
      <c r="W12" s="218" t="str">
        <f>'Tariffs 2021'!BG7</f>
        <v>n</v>
      </c>
      <c r="X12" s="219" t="str">
        <f>'Tariffs 2021'!BP7</f>
        <v>N</v>
      </c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</row>
    <row r="13" spans="1:41" ht="20" customHeight="1" x14ac:dyDescent="0.15">
      <c r="A13" s="213" t="str">
        <f>'Tariffs 2021'!F8</f>
        <v>Red Energy</v>
      </c>
      <c r="B13" s="213" t="str">
        <f>'Tariffs 2021'!D8</f>
        <v>AGN Metro</v>
      </c>
      <c r="C13" s="213" t="str">
        <f>'Tariffs 2021'!G8</f>
        <v>Living Energy Saver</v>
      </c>
      <c r="D13" s="216">
        <f>91*'Tariffs 2021'!H8/100</f>
        <v>61.879999999999988</v>
      </c>
      <c r="E13" s="216">
        <f>IF('Tariffs 2021'!K8="",$C$5*'Tariffs 2021'!W8/100,IF($C$5&gt;='Tariffs 2021'!L8*1.5,('Tariffs 2021'!L8*1.5*'Tariffs 2021'!W8/100),($C$5*'Tariffs 2021'!W8/100)))</f>
        <v>164.16900000000001</v>
      </c>
      <c r="F13" s="216">
        <f>IF(AND('Tariffs 2021'!L8*1.5&gt;0,'Tariffs 2021'!M8*1.5&gt;0),IF($C$5&lt;'Tariffs 2021'!L8*1.5,0,IF(($C$5-'Tariffs 2021'!L8*1.5)&lt;=('Tariffs 2021'!M8*1.5+'Tariffs 2021'!L8*1.5),(($C$5-'Tariffs 2021'!L8*1.5)*'Tariffs 2021'!X8/100),(('Tariffs 2021'!M8*1.5)*'Tariffs 2021'!X8/100))),0)</f>
        <v>0</v>
      </c>
      <c r="G13" s="216">
        <f>IF(AND('Tariffs 2021'!P8&gt;0,'Tariffs 2021'!O8&gt;0),IF(($C$5&lt;(SUM('Tariffs 2021'!L8:P8))*1.5),(0),($C$5-(SUM('Tariffs 2021'!L8:P8)*1.5))*'Tariffs 2021'!AB8/100),IF(AND('Tariffs 2021'!O8&gt;0,'Tariffs 2021'!P8=""),IF(($C$5&lt; (SUM('Tariffs 2021'!L8:O8))*1.5),(0),($C$5-(SUM('Tariffs 2021'!L8:O8))*1.5)*'Tariffs 2021'!AA8/100),IF(AND('Tariffs 2021'!N8&gt;0,'Tariffs 2021'!O8=""),IF(($C$5&lt;(SUM('Tariffs 2021'!L8:N8))*1.5),(0),($C$5-(SUM('Tariffs 2021'!L8:N8))*1.5)*'Tariffs 2021'!Z8/100),IF(AND('Tariffs 2021'!M8&gt;0,'Tariffs 2021'!N8=""),IF(($C$5&lt;'Tariffs 2021'!M8*1.5+'Tariffs 2021'!L8*1.5),(0),(($C$5-('Tariffs 2021'!M8*1.5+'Tariffs 2021'!L8*1.5))*'Tariffs 2021'!Y8/100)),IF(AND('Tariffs 2021'!L8&gt;0,'Tariffs 2021'!M8=""&gt;0),IF(($C$5&lt;'Tariffs 2021'!L8*1.5),(0),($C$5-('Tariffs 2021'!L8*1.5))*'Tariffs 2021'!X8/100),0)))))</f>
        <v>55.133999999999993</v>
      </c>
      <c r="H13" s="216">
        <f t="shared" si="6"/>
        <v>281.18299999999999</v>
      </c>
      <c r="I13" s="216">
        <f t="shared" si="0"/>
        <v>877.21199999999999</v>
      </c>
      <c r="J13" s="252">
        <f t="shared" si="7"/>
        <v>1124.732</v>
      </c>
      <c r="K13" s="257">
        <f t="shared" si="8"/>
        <v>1237.2052000000001</v>
      </c>
      <c r="L13" s="213">
        <f>'Tariffs 2021'!AT8</f>
        <v>0</v>
      </c>
      <c r="M13" s="213">
        <f>'Tariffs 2021'!AU8</f>
        <v>0</v>
      </c>
      <c r="N13" s="213">
        <f>'Tariffs 2021'!AV8</f>
        <v>0</v>
      </c>
      <c r="O13" s="213">
        <f>'Tariffs 2021'!AW8</f>
        <v>0</v>
      </c>
      <c r="P13" s="217" t="str">
        <f t="shared" si="9"/>
        <v>No discount</v>
      </c>
      <c r="Q13" s="217" t="str">
        <f t="shared" si="2"/>
        <v>Inclusive</v>
      </c>
      <c r="R13" s="253">
        <f t="shared" si="3"/>
        <v>1124.732</v>
      </c>
      <c r="S13" s="253">
        <f t="shared" si="4"/>
        <v>1124.732</v>
      </c>
      <c r="T13" s="260">
        <f t="shared" si="5"/>
        <v>1237.2052000000001</v>
      </c>
      <c r="U13" s="260">
        <f t="shared" si="5"/>
        <v>1237.2052000000001</v>
      </c>
      <c r="V13" s="218">
        <f>'Tariffs 2021'!BF8</f>
        <v>0</v>
      </c>
      <c r="W13" s="218" t="str">
        <f>'Tariffs 2021'!BG8</f>
        <v>n</v>
      </c>
      <c r="X13" s="219" t="str">
        <f>'Tariffs 2021'!BP8</f>
        <v>N</v>
      </c>
      <c r="Y13" s="309"/>
      <c r="Z13" s="309"/>
      <c r="AA13" s="309"/>
      <c r="AB13" s="309"/>
      <c r="AC13" s="309"/>
      <c r="AD13" s="309"/>
      <c r="AE13" s="309"/>
      <c r="AF13" s="309"/>
      <c r="AG13" s="309"/>
      <c r="AH13" s="309"/>
      <c r="AI13" s="309"/>
      <c r="AJ13" s="309"/>
      <c r="AK13" s="309"/>
      <c r="AL13" s="309"/>
      <c r="AM13" s="309"/>
      <c r="AN13" s="309"/>
      <c r="AO13" s="309"/>
    </row>
    <row r="14" spans="1:41" ht="20" customHeight="1" x14ac:dyDescent="0.15">
      <c r="A14" s="213" t="str">
        <f>'Tariffs 2021'!F9</f>
        <v>Lumo Energy</v>
      </c>
      <c r="B14" s="213" t="str">
        <f>'Tariffs 2021'!D9</f>
        <v>AGN Metro</v>
      </c>
      <c r="C14" s="213" t="str">
        <f>'Tariffs 2021'!G9</f>
        <v>Plus</v>
      </c>
      <c r="D14" s="216">
        <f>91*'Tariffs 2021'!H9/100</f>
        <v>67.34</v>
      </c>
      <c r="E14" s="216">
        <f>IF('Tariffs 2021'!K9="",$C$5*'Tariffs 2021'!W9/100,IF($C$5&gt;='Tariffs 2021'!L9*1.5,('Tariffs 2021'!L9*1.5*'Tariffs 2021'!W9/100),($C$5*'Tariffs 2021'!W9/100)))</f>
        <v>157.09090909090907</v>
      </c>
      <c r="F14" s="216">
        <f>IF(AND('Tariffs 2021'!L9*1.5&gt;0,'Tariffs 2021'!M9*1.5&gt;0),IF($C$5&lt;'Tariffs 2021'!L9*1.5,0,IF(($C$5-'Tariffs 2021'!L9*1.5)&lt;=('Tariffs 2021'!M9*1.5+'Tariffs 2021'!L9*1.5),(($C$5-'Tariffs 2021'!L9*1.5)*'Tariffs 2021'!X9/100),(('Tariffs 2021'!M9*1.5)*'Tariffs 2021'!X9/100))),0)</f>
        <v>0</v>
      </c>
      <c r="G14" s="216">
        <f>IF(AND('Tariffs 2021'!P9&gt;0,'Tariffs 2021'!O9&gt;0),IF(($C$5&lt;(SUM('Tariffs 2021'!L9:P9))*1.5),(0),($C$5-(SUM('Tariffs 2021'!L9:P9)*1.5))*'Tariffs 2021'!AB9/100),IF(AND('Tariffs 2021'!O9&gt;0,'Tariffs 2021'!P9=""),IF(($C$5&lt; (SUM('Tariffs 2021'!L9:O9))*1.5),(0),($C$5-(SUM('Tariffs 2021'!L9:O9))*1.5)*'Tariffs 2021'!AA9/100),IF(AND('Tariffs 2021'!N9&gt;0,'Tariffs 2021'!O9=""),IF(($C$5&lt;(SUM('Tariffs 2021'!L9:N9))*1.5),(0),($C$5-(SUM('Tariffs 2021'!L9:N9))*1.5)*'Tariffs 2021'!Z9/100),IF(AND('Tariffs 2021'!M9&gt;0,'Tariffs 2021'!N9=""),IF(($C$5&lt;'Tariffs 2021'!M9*1.5+'Tariffs 2021'!L9*1.5),(0),(($C$5-('Tariffs 2021'!M9*1.5+'Tariffs 2021'!L9*1.5))*'Tariffs 2021'!Y9/100)),IF(AND('Tariffs 2021'!L9&gt;0,'Tariffs 2021'!M9=""&gt;0),IF(($C$5&lt;'Tariffs 2021'!L9*1.5),(0),($C$5-('Tariffs 2021'!L9*1.5))*'Tariffs 2021'!X9/100),0)))))</f>
        <v>56.18181818181818</v>
      </c>
      <c r="H14" s="216">
        <f t="shared" ref="H14" si="10">SUM(D14:G14)</f>
        <v>280.61272727272723</v>
      </c>
      <c r="I14" s="216">
        <f t="shared" si="0"/>
        <v>853.09090909090889</v>
      </c>
      <c r="J14" s="252">
        <f t="shared" si="7"/>
        <v>1122.4509090909089</v>
      </c>
      <c r="K14" s="257">
        <f t="shared" si="8"/>
        <v>1234.6959999999999</v>
      </c>
      <c r="L14" s="213">
        <f>'Tariffs 2021'!AT9</f>
        <v>0</v>
      </c>
      <c r="M14" s="213">
        <f>'Tariffs 2021'!AU9</f>
        <v>0</v>
      </c>
      <c r="N14" s="213">
        <f>'Tariffs 2021'!AV9</f>
        <v>0</v>
      </c>
      <c r="O14" s="213">
        <f>'Tariffs 2021'!AW9</f>
        <v>0</v>
      </c>
      <c r="P14" s="217" t="str">
        <f t="shared" si="9"/>
        <v>No discount</v>
      </c>
      <c r="Q14" s="217" t="str">
        <f t="shared" si="2"/>
        <v>Exclusive</v>
      </c>
      <c r="R14" s="253">
        <f t="shared" si="3"/>
        <v>1122.4509090909089</v>
      </c>
      <c r="S14" s="253">
        <f t="shared" si="4"/>
        <v>1122.4509090909089</v>
      </c>
      <c r="T14" s="260">
        <f t="shared" si="5"/>
        <v>1234.6959999999999</v>
      </c>
      <c r="U14" s="260">
        <f t="shared" si="5"/>
        <v>1234.6959999999999</v>
      </c>
      <c r="V14" s="218">
        <f>'Tariffs 2021'!BF9</f>
        <v>0</v>
      </c>
      <c r="W14" s="218" t="str">
        <f>'Tariffs 2021'!BG9</f>
        <v>n</v>
      </c>
      <c r="X14" s="219" t="str">
        <f>'Tariffs 2021'!BP9</f>
        <v>N</v>
      </c>
      <c r="Y14" s="309"/>
      <c r="Z14" s="309"/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309"/>
      <c r="AL14" s="309"/>
      <c r="AM14" s="309"/>
      <c r="AN14" s="309"/>
      <c r="AO14" s="309"/>
    </row>
    <row r="15" spans="1:41" ht="20" customHeight="1" thickBot="1" x14ac:dyDescent="0.2">
      <c r="A15" s="281" t="str">
        <f>'Tariffs 2021'!F10</f>
        <v>GloBird Energy</v>
      </c>
      <c r="B15" s="281" t="str">
        <f>'Tariffs 2021'!D10</f>
        <v>AGN Metro</v>
      </c>
      <c r="C15" s="281" t="str">
        <f>'Tariffs 2021'!G10</f>
        <v>GloSave</v>
      </c>
      <c r="D15" s="282">
        <f>91*'Tariffs 2021'!H10/100</f>
        <v>68.25</v>
      </c>
      <c r="E15" s="282">
        <f>IF('Tariffs 2021'!K10="",$C$5*'Tariffs 2021'!W10/100,IF($C$5&gt;='Tariffs 2021'!L10*1.5,('Tariffs 2021'!L10*1.5*'Tariffs 2021'!W10/100),($C$5*'Tariffs 2021'!W10/100)))</f>
        <v>159.6</v>
      </c>
      <c r="F15" s="282">
        <f>IF(AND('Tariffs 2021'!L10*1.5&gt;0,'Tariffs 2021'!M10*1.5&gt;0),IF($C$5&lt;'Tariffs 2021'!L10*1.5,0,IF(($C$5-'Tariffs 2021'!L10*1.5)&lt;=('Tariffs 2021'!M10*1.5+'Tariffs 2021'!L10*1.5),(($C$5-'Tariffs 2021'!L10*1.5)*'Tariffs 2021'!X10/100),(('Tariffs 2021'!M10*1.5)*'Tariffs 2021'!X10/100))),0)</f>
        <v>0</v>
      </c>
      <c r="G15" s="282">
        <f>IF(AND('Tariffs 2021'!P10&gt;0,'Tariffs 2021'!O10&gt;0),IF(($C$5&lt;(SUM('Tariffs 2021'!L10:P10))*1.5),(0),($C$5-(SUM('Tariffs 2021'!L10:P10)*1.5))*'Tariffs 2021'!AB10/100),IF(AND('Tariffs 2021'!O10&gt;0,'Tariffs 2021'!P10=""),IF(($C$5&lt; (SUM('Tariffs 2021'!L10:O10))*1.5),(0),($C$5-(SUM('Tariffs 2021'!L10:O10))*1.5)*'Tariffs 2021'!AA10/100),IF(AND('Tariffs 2021'!N10&gt;0,'Tariffs 2021'!O10=""),IF(($C$5&lt;(SUM('Tariffs 2021'!L10:N10))*1.5),(0),($C$5-(SUM('Tariffs 2021'!L10:N10))*1.5)*'Tariffs 2021'!Z10/100),IF(AND('Tariffs 2021'!M10&gt;0,'Tariffs 2021'!N10=""),IF(($C$5&lt;'Tariffs 2021'!M10*1.5+'Tariffs 2021'!L10*1.5),(0),(($C$5-('Tariffs 2021'!M10*1.5+'Tariffs 2021'!L10*1.5))*'Tariffs 2021'!Y10/100)),IF(AND('Tariffs 2021'!L10&gt;0,'Tariffs 2021'!M10=""&gt;0),IF(($C$5&lt;'Tariffs 2021'!L10*1.5),(0),($C$5-('Tariffs 2021'!L10*1.5))*'Tariffs 2021'!X10/100),0)))))</f>
        <v>76.44</v>
      </c>
      <c r="H15" s="282">
        <f t="shared" ref="H15" si="11">SUM(D15:G15)</f>
        <v>304.28999999999996</v>
      </c>
      <c r="I15" s="282">
        <f t="shared" si="0"/>
        <v>944.15999999999985</v>
      </c>
      <c r="J15" s="283">
        <f t="shared" si="7"/>
        <v>1217.1599999999999</v>
      </c>
      <c r="K15" s="284">
        <f t="shared" si="8"/>
        <v>1338.876</v>
      </c>
      <c r="L15" s="281">
        <f>'Tariffs 2021'!AT10</f>
        <v>0</v>
      </c>
      <c r="M15" s="281">
        <f>'Tariffs 2021'!AU10</f>
        <v>0</v>
      </c>
      <c r="N15" s="281">
        <f>'Tariffs 2021'!AV10</f>
        <v>0</v>
      </c>
      <c r="O15" s="281">
        <f>'Tariffs 2021'!AW10</f>
        <v>0</v>
      </c>
      <c r="P15" s="285" t="str">
        <f t="shared" ref="P15:P19" si="12">IF(SUM(L15:O15)=0,"No discount",IF(L15&gt;0,"Guaranteed off bill",IF(M15&gt;0,"Guaranteed off usage",IF(N15&gt;0,"Pay-on-time off bill","Pay-on-time off usage"))))</f>
        <v>No discount</v>
      </c>
      <c r="Q15" s="285" t="str">
        <f t="shared" si="2"/>
        <v>Exclusive</v>
      </c>
      <c r="R15" s="286">
        <f t="shared" si="3"/>
        <v>1217.1599999999999</v>
      </c>
      <c r="S15" s="286">
        <f t="shared" si="4"/>
        <v>1217.1599999999999</v>
      </c>
      <c r="T15" s="287">
        <f t="shared" si="5"/>
        <v>1338.876</v>
      </c>
      <c r="U15" s="287">
        <f t="shared" si="5"/>
        <v>1338.876</v>
      </c>
      <c r="V15" s="288">
        <f>'Tariffs 2021'!BF10</f>
        <v>0</v>
      </c>
      <c r="W15" s="288" t="str">
        <f>'Tariffs 2021'!BG10</f>
        <v>n</v>
      </c>
      <c r="X15" s="289" t="str">
        <f>'Tariffs 2021'!BP10</f>
        <v>N</v>
      </c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</row>
    <row r="16" spans="1:41" ht="20" customHeight="1" thickTop="1" thickBot="1" x14ac:dyDescent="0.2">
      <c r="A16" s="290" t="str">
        <f>'Tariffs 2021'!F11</f>
        <v>Origin Energy</v>
      </c>
      <c r="B16" s="281" t="str">
        <f>'Tariffs 2021'!D11</f>
        <v>Envestra Port Pirie</v>
      </c>
      <c r="C16" s="281" t="str">
        <f>'Tariffs 2021'!G11</f>
        <v>Go Variable</v>
      </c>
      <c r="D16" s="282">
        <f>91*'Tariffs 2021'!H11/100</f>
        <v>62.293636363636359</v>
      </c>
      <c r="E16" s="282">
        <f>IF('Tariffs 2021'!K11="",$C$5*'Tariffs 2021'!W11/100,IF($C$5&gt;='Tariffs 2021'!L11*1.5,('Tariffs 2021'!L11*1.5*'Tariffs 2021'!W11/100),($C$5*'Tariffs 2021'!W11/100)))</f>
        <v>174.70994972727271</v>
      </c>
      <c r="F16" s="282">
        <f>IF(AND('Tariffs 2021'!L11*1.5&gt;0,'Tariffs 2021'!M11*1.5&gt;0),IF($C$5&lt;'Tariffs 2021'!L11*1.5,0,IF(($C$5-'Tariffs 2021'!L11*1.5)&lt;=('Tariffs 2021'!M11*1.5+'Tariffs 2021'!L11*1.5),(($C$5-'Tariffs 2021'!L11*1.5)*'Tariffs 2021'!X11/100),(('Tariffs 2021'!M11*1.5)*'Tariffs 2021'!X11/100))),0)</f>
        <v>0</v>
      </c>
      <c r="G16" s="282">
        <f>IF(AND('Tariffs 2021'!P11&gt;0,'Tariffs 2021'!O11&gt;0),IF(($C$5&lt;(SUM('Tariffs 2021'!L11:P11))*1.5),(0),($C$5-(SUM('Tariffs 2021'!L11:P11)*1.5))*'Tariffs 2021'!AB11/100),IF(AND('Tariffs 2021'!O11&gt;0,'Tariffs 2021'!P11=""),IF(($C$5&lt; (SUM('Tariffs 2021'!L11:O11))*1.5),(0),($C$5-(SUM('Tariffs 2021'!L11:O11))*1.5)*'Tariffs 2021'!AA11/100),IF(AND('Tariffs 2021'!N11&gt;0,'Tariffs 2021'!O11=""),IF(($C$5&lt;(SUM('Tariffs 2021'!L11:N11))*1.5),(0),($C$5-(SUM('Tariffs 2021'!L11:N11))*1.5)*'Tariffs 2021'!Z11/100),IF(AND('Tariffs 2021'!M11&gt;0,'Tariffs 2021'!N11=""),IF(($C$5&lt;'Tariffs 2021'!M11*1.5+'Tariffs 2021'!L11*1.5),(0),(($C$5-('Tariffs 2021'!M11*1.5+'Tariffs 2021'!L11*1.5))*'Tariffs 2021'!Y11/100)),IF(AND('Tariffs 2021'!L11&gt;0,'Tariffs 2021'!M11=""&gt;0),IF(($C$5&lt;'Tariffs 2021'!L11*1.5),(0),($C$5-('Tariffs 2021'!L11*1.5))*'Tariffs 2021'!X11/100),0)))))</f>
        <v>61.511150999999984</v>
      </c>
      <c r="H16" s="282">
        <f t="shared" si="6"/>
        <v>298.51473709090908</v>
      </c>
      <c r="I16" s="282">
        <f>(H16-D16)*4</f>
        <v>944.88440290909091</v>
      </c>
      <c r="J16" s="283">
        <f t="shared" si="7"/>
        <v>1194.0589483636363</v>
      </c>
      <c r="K16" s="291">
        <f t="shared" si="8"/>
        <v>1313.4648432000001</v>
      </c>
      <c r="L16" s="281">
        <f>'Tariffs 2021'!AT11</f>
        <v>0</v>
      </c>
      <c r="M16" s="281">
        <f>'Tariffs 2021'!AU11</f>
        <v>0</v>
      </c>
      <c r="N16" s="281">
        <f>'Tariffs 2021'!AV11</f>
        <v>0</v>
      </c>
      <c r="O16" s="281">
        <f>'Tariffs 2021'!AW11</f>
        <v>0</v>
      </c>
      <c r="P16" s="285" t="str">
        <f t="shared" si="12"/>
        <v>No discount</v>
      </c>
      <c r="Q16" s="285" t="str">
        <f>IF(OR(A16="Origin Energy",A16="Red Energy",A16="Powershop"),"Inclusive","Exclusive")</f>
        <v>Inclusive</v>
      </c>
      <c r="R16" s="286">
        <f t="shared" si="3"/>
        <v>1194.0589483636363</v>
      </c>
      <c r="S16" s="286">
        <f t="shared" si="4"/>
        <v>1194.0589483636363</v>
      </c>
      <c r="T16" s="292">
        <f t="shared" si="5"/>
        <v>1313.4648432000001</v>
      </c>
      <c r="U16" s="292">
        <f t="shared" si="5"/>
        <v>1313.4648432000001</v>
      </c>
      <c r="V16" s="288">
        <f>'Tariffs 2021'!BF11</f>
        <v>0</v>
      </c>
      <c r="W16" s="293" t="str">
        <f>'Tariffs 2021'!BG11</f>
        <v>n</v>
      </c>
      <c r="X16" s="289" t="str">
        <f>'Tariffs 2021'!BP11</f>
        <v>N</v>
      </c>
      <c r="Y16" s="309"/>
      <c r="Z16" s="309"/>
      <c r="AA16" s="309"/>
      <c r="AB16" s="309"/>
      <c r="AC16" s="309"/>
      <c r="AD16" s="309"/>
      <c r="AE16" s="309"/>
      <c r="AF16" s="309"/>
      <c r="AG16" s="309"/>
      <c r="AH16" s="309"/>
      <c r="AI16" s="309"/>
      <c r="AJ16" s="309"/>
      <c r="AK16" s="309"/>
      <c r="AL16" s="309"/>
      <c r="AM16" s="309"/>
      <c r="AN16" s="309"/>
      <c r="AO16" s="309"/>
    </row>
    <row r="17" spans="1:41" ht="20" customHeight="1" thickTop="1" thickBot="1" x14ac:dyDescent="0.2">
      <c r="A17" s="290" t="str">
        <f>'Tariffs 2021'!F12</f>
        <v>Origin Energy</v>
      </c>
      <c r="B17" s="281" t="str">
        <f>'Tariffs 2021'!D12</f>
        <v>Envestra Whyalla</v>
      </c>
      <c r="C17" s="281" t="str">
        <f>'Tariffs 2021'!G12</f>
        <v>Go Variable</v>
      </c>
      <c r="D17" s="282">
        <f>91*'Tariffs 2021'!H12/100</f>
        <v>62.293636363636359</v>
      </c>
      <c r="E17" s="282">
        <f>IF('Tariffs 2021'!K12="",$C$5*'Tariffs 2021'!W12/100,IF($C$5&gt;='Tariffs 2021'!L12*1.5,('Tariffs 2021'!L12*1.5*'Tariffs 2021'!W12/100),($C$5*'Tariffs 2021'!W12/100)))</f>
        <v>174.70994972727271</v>
      </c>
      <c r="F17" s="282">
        <f>IF(AND('Tariffs 2021'!L12*1.5&gt;0,'Tariffs 2021'!M12*1.5&gt;0),IF($C$5&lt;'Tariffs 2021'!L12*1.5,0,IF(($C$5-'Tariffs 2021'!L12*1.5)&lt;=('Tariffs 2021'!M12*1.5+'Tariffs 2021'!L12*1.5),(($C$5-'Tariffs 2021'!L12*1.5)*'Tariffs 2021'!X12/100),(('Tariffs 2021'!M12*1.5)*'Tariffs 2021'!X12/100))),0)</f>
        <v>0</v>
      </c>
      <c r="G17" s="282">
        <f>IF(AND('Tariffs 2021'!P12&gt;0,'Tariffs 2021'!O12&gt;0),IF(($C$5&lt;(SUM('Tariffs 2021'!L12:P12))*1.5),(0),($C$5-(SUM('Tariffs 2021'!L12:P12)*1.5))*'Tariffs 2021'!AB12/100),IF(AND('Tariffs 2021'!O12&gt;0,'Tariffs 2021'!P12=""),IF(($C$5&lt; (SUM('Tariffs 2021'!L12:O12))*1.5),(0),($C$5-(SUM('Tariffs 2021'!L12:O12))*1.5)*'Tariffs 2021'!AA12/100),IF(AND('Tariffs 2021'!N12&gt;0,'Tariffs 2021'!O12=""),IF(($C$5&lt;(SUM('Tariffs 2021'!L12:N12))*1.5),(0),($C$5-(SUM('Tariffs 2021'!L12:N12))*1.5)*'Tariffs 2021'!Z12/100),IF(AND('Tariffs 2021'!M12&gt;0,'Tariffs 2021'!N12=""),IF(($C$5&lt;'Tariffs 2021'!M12*1.5+'Tariffs 2021'!L12*1.5),(0),(($C$5-('Tariffs 2021'!M12*1.5+'Tariffs 2021'!L12*1.5))*'Tariffs 2021'!Y12/100)),IF(AND('Tariffs 2021'!L12&gt;0,'Tariffs 2021'!M12=""&gt;0),IF(($C$5&lt;'Tariffs 2021'!L12*1.5),(0),($C$5-('Tariffs 2021'!L12*1.5))*'Tariffs 2021'!X12/100),0)))))</f>
        <v>61.511150999999984</v>
      </c>
      <c r="H17" s="282">
        <f t="shared" si="6"/>
        <v>298.51473709090908</v>
      </c>
      <c r="I17" s="282">
        <f>(H17-D17)*4</f>
        <v>944.88440290909091</v>
      </c>
      <c r="J17" s="283">
        <f t="shared" si="7"/>
        <v>1194.0589483636363</v>
      </c>
      <c r="K17" s="291">
        <f t="shared" si="8"/>
        <v>1313.4648432000001</v>
      </c>
      <c r="L17" s="281">
        <f>'Tariffs 2021'!AT12</f>
        <v>0</v>
      </c>
      <c r="M17" s="281">
        <f>'Tariffs 2021'!AU12</f>
        <v>0</v>
      </c>
      <c r="N17" s="281">
        <f>'Tariffs 2021'!AV12</f>
        <v>0</v>
      </c>
      <c r="O17" s="281">
        <f>'Tariffs 2021'!AW12</f>
        <v>0</v>
      </c>
      <c r="P17" s="285" t="str">
        <f t="shared" si="12"/>
        <v>No discount</v>
      </c>
      <c r="Q17" s="285" t="str">
        <f>IF(OR(A17="Origin Energy",A17="Red Energy",A17="Powershop"),"Inclusive","Exclusive")</f>
        <v>Inclusive</v>
      </c>
      <c r="R17" s="286">
        <f t="shared" si="3"/>
        <v>1194.0589483636363</v>
      </c>
      <c r="S17" s="286">
        <f t="shared" si="4"/>
        <v>1194.0589483636363</v>
      </c>
      <c r="T17" s="292">
        <f t="shared" si="5"/>
        <v>1313.4648432000001</v>
      </c>
      <c r="U17" s="292">
        <f t="shared" si="5"/>
        <v>1313.4648432000001</v>
      </c>
      <c r="V17" s="288">
        <f>'Tariffs 2021'!BF12</f>
        <v>0</v>
      </c>
      <c r="W17" s="293" t="str">
        <f>'Tariffs 2021'!BG12</f>
        <v>n</v>
      </c>
      <c r="X17" s="289" t="str">
        <f>'Tariffs 2021'!BP12</f>
        <v>N</v>
      </c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</row>
    <row r="18" spans="1:41" ht="20" customHeight="1" thickTop="1" thickBot="1" x14ac:dyDescent="0.2">
      <c r="A18" s="290" t="str">
        <f>'Tariffs 2021'!F13</f>
        <v>Origin Energy</v>
      </c>
      <c r="B18" s="281" t="str">
        <f>'Tariffs 2021'!D13</f>
        <v>Envestra Mt Gambier</v>
      </c>
      <c r="C18" s="281" t="str">
        <f>'Tariffs 2021'!G13</f>
        <v>Go Variable</v>
      </c>
      <c r="D18" s="282">
        <f>91*'Tariffs 2021'!H13/100</f>
        <v>62.293636363636359</v>
      </c>
      <c r="E18" s="282">
        <f>IF('Tariffs 2021'!K13="",$C$5*'Tariffs 2021'!W13/100,IF($C$5&gt;='Tariffs 2021'!L13*1.5,('Tariffs 2021'!L13*1.5*'Tariffs 2021'!W13/100),($C$5*'Tariffs 2021'!W13/100)))</f>
        <v>174.70994972727271</v>
      </c>
      <c r="F18" s="282">
        <f>IF(AND('Tariffs 2021'!L13*1.5&gt;0,'Tariffs 2021'!M13*1.5&gt;0),IF($C$5&lt;'Tariffs 2021'!L13*1.5,0,IF(($C$5-'Tariffs 2021'!L13*1.5)&lt;=('Tariffs 2021'!M13*1.5+'Tariffs 2021'!L13*1.5),(($C$5-'Tariffs 2021'!L13*1.5)*'Tariffs 2021'!X13/100),(('Tariffs 2021'!M13*1.5)*'Tariffs 2021'!X13/100))),0)</f>
        <v>0</v>
      </c>
      <c r="G18" s="282">
        <f>IF(AND('Tariffs 2021'!P13&gt;0,'Tariffs 2021'!O13&gt;0),IF(($C$5&lt;(SUM('Tariffs 2021'!L13:P13))*1.5),(0),($C$5-(SUM('Tariffs 2021'!L13:P13)*1.5))*'Tariffs 2021'!AB13/100),IF(AND('Tariffs 2021'!O13&gt;0,'Tariffs 2021'!P13=""),IF(($C$5&lt; (SUM('Tariffs 2021'!L13:O13))*1.5),(0),($C$5-(SUM('Tariffs 2021'!L13:O13))*1.5)*'Tariffs 2021'!AA13/100),IF(AND('Tariffs 2021'!N13&gt;0,'Tariffs 2021'!O13=""),IF(($C$5&lt;(SUM('Tariffs 2021'!L13:N13))*1.5),(0),($C$5-(SUM('Tariffs 2021'!L13:N13))*1.5)*'Tariffs 2021'!Z13/100),IF(AND('Tariffs 2021'!M13&gt;0,'Tariffs 2021'!N13=""),IF(($C$5&lt;'Tariffs 2021'!M13*1.5+'Tariffs 2021'!L13*1.5),(0),(($C$5-('Tariffs 2021'!M13*1.5+'Tariffs 2021'!L13*1.5))*'Tariffs 2021'!Y13/100)),IF(AND('Tariffs 2021'!L13&gt;0,'Tariffs 2021'!M13=""&gt;0),IF(($C$5&lt;'Tariffs 2021'!L13*1.5),(0),($C$5-('Tariffs 2021'!L13*1.5))*'Tariffs 2021'!X13/100),0)))))</f>
        <v>61.511150999999984</v>
      </c>
      <c r="H18" s="282">
        <f t="shared" si="6"/>
        <v>298.51473709090908</v>
      </c>
      <c r="I18" s="282">
        <f>(H18-D18)*4</f>
        <v>944.88440290909091</v>
      </c>
      <c r="J18" s="283">
        <f t="shared" si="7"/>
        <v>1194.0589483636363</v>
      </c>
      <c r="K18" s="291">
        <f t="shared" si="8"/>
        <v>1313.4648432000001</v>
      </c>
      <c r="L18" s="281">
        <f>'Tariffs 2021'!AT13</f>
        <v>0</v>
      </c>
      <c r="M18" s="281">
        <f>'Tariffs 2021'!AU13</f>
        <v>0</v>
      </c>
      <c r="N18" s="281">
        <f>'Tariffs 2021'!AV13</f>
        <v>0</v>
      </c>
      <c r="O18" s="281">
        <f>'Tariffs 2021'!AW13</f>
        <v>0</v>
      </c>
      <c r="P18" s="285" t="str">
        <f t="shared" si="12"/>
        <v>No discount</v>
      </c>
      <c r="Q18" s="285" t="str">
        <f>IF(OR(A18="Origin Energy",A18="Red Energy",A18="Powershop"),"Inclusive","Exclusive")</f>
        <v>Inclusive</v>
      </c>
      <c r="R18" s="286">
        <f t="shared" si="3"/>
        <v>1194.0589483636363</v>
      </c>
      <c r="S18" s="286">
        <f t="shared" si="4"/>
        <v>1194.0589483636363</v>
      </c>
      <c r="T18" s="292">
        <f t="shared" si="5"/>
        <v>1313.4648432000001</v>
      </c>
      <c r="U18" s="292">
        <f t="shared" si="5"/>
        <v>1313.4648432000001</v>
      </c>
      <c r="V18" s="288">
        <f>'Tariffs 2021'!BF13</f>
        <v>0</v>
      </c>
      <c r="W18" s="293" t="str">
        <f>'Tariffs 2021'!BG13</f>
        <v>n</v>
      </c>
      <c r="X18" s="289" t="str">
        <f>'Tariffs 2021'!BP13</f>
        <v>N</v>
      </c>
      <c r="Y18" s="309"/>
      <c r="Z18" s="309"/>
      <c r="AA18" s="309"/>
      <c r="AB18" s="309"/>
      <c r="AC18" s="309"/>
      <c r="AD18" s="309"/>
      <c r="AE18" s="309"/>
      <c r="AF18" s="309"/>
      <c r="AG18" s="309"/>
      <c r="AH18" s="309"/>
      <c r="AI18" s="309"/>
      <c r="AJ18" s="309"/>
      <c r="AK18" s="309"/>
      <c r="AL18" s="309"/>
      <c r="AM18" s="309"/>
      <c r="AN18" s="309"/>
      <c r="AO18" s="309"/>
    </row>
    <row r="19" spans="1:41" ht="20" customHeight="1" thickTop="1" thickBot="1" x14ac:dyDescent="0.2">
      <c r="A19" s="220" t="str">
        <f>'Tariffs 2021'!F14</f>
        <v>Origin Energy</v>
      </c>
      <c r="B19" s="221" t="str">
        <f>'Tariffs 2021'!D14</f>
        <v>Envestra Riverland</v>
      </c>
      <c r="C19" s="221" t="str">
        <f>'Tariffs 2021'!G14</f>
        <v>Go Variable</v>
      </c>
      <c r="D19" s="222">
        <f>91*'Tariffs 2021'!H14/100</f>
        <v>62.293636363636359</v>
      </c>
      <c r="E19" s="222">
        <f>IF('Tariffs 2021'!K14="",$C$5*'Tariffs 2021'!W14/100,IF($C$5&gt;='Tariffs 2021'!L14*1.5,('Tariffs 2021'!L14*1.5*'Tariffs 2021'!W14/100),($C$5*'Tariffs 2021'!W14/100)))</f>
        <v>174.70994972727271</v>
      </c>
      <c r="F19" s="222">
        <f>IF(AND('Tariffs 2021'!L14*1.5&gt;0,'Tariffs 2021'!M14*1.5&gt;0),IF($C$5&lt;'Tariffs 2021'!L14*1.5,0,IF(($C$5-'Tariffs 2021'!L14*1.5)&lt;=('Tariffs 2021'!M14*1.5+'Tariffs 2021'!L14*1.5),(($C$5-'Tariffs 2021'!L14*1.5)*'Tariffs 2021'!X14/100),(('Tariffs 2021'!M14*1.5)*'Tariffs 2021'!X14/100))),0)</f>
        <v>0</v>
      </c>
      <c r="G19" s="222">
        <f>IF(AND('Tariffs 2021'!P14&gt;0,'Tariffs 2021'!O14&gt;0),IF(($C$5&lt;(SUM('Tariffs 2021'!L14:P14))*1.5),(0),($C$5-(SUM('Tariffs 2021'!L14:P14)*1.5))*'Tariffs 2021'!AB14/100),IF(AND('Tariffs 2021'!O14&gt;0,'Tariffs 2021'!P14=""),IF(($C$5&lt; (SUM('Tariffs 2021'!L14:O14))*1.5),(0),($C$5-(SUM('Tariffs 2021'!L14:O14))*1.5)*'Tariffs 2021'!AA14/100),IF(AND('Tariffs 2021'!N14&gt;0,'Tariffs 2021'!O14=""),IF(($C$5&lt;(SUM('Tariffs 2021'!L14:N14))*1.5),(0),($C$5-(SUM('Tariffs 2021'!L14:N14))*1.5)*'Tariffs 2021'!Z14/100),IF(AND('Tariffs 2021'!M14&gt;0,'Tariffs 2021'!N14=""),IF(($C$5&lt;'Tariffs 2021'!M14*1.5+'Tariffs 2021'!L14*1.5),(0),(($C$5-('Tariffs 2021'!M14*1.5+'Tariffs 2021'!L14*1.5))*'Tariffs 2021'!Y14/100)),IF(AND('Tariffs 2021'!L14&gt;0,'Tariffs 2021'!M14=""&gt;0),IF(($C$5&lt;'Tariffs 2021'!L14*1.5),(0),($C$5-('Tariffs 2021'!L14*1.5))*'Tariffs 2021'!X14/100),0)))))</f>
        <v>61.511150999999984</v>
      </c>
      <c r="H19" s="222">
        <f t="shared" si="6"/>
        <v>298.51473709090908</v>
      </c>
      <c r="I19" s="222">
        <f>(H19-D19)*4</f>
        <v>944.88440290909091</v>
      </c>
      <c r="J19" s="223">
        <f t="shared" si="7"/>
        <v>1194.0589483636363</v>
      </c>
      <c r="K19" s="258">
        <f t="shared" si="8"/>
        <v>1313.4648432000001</v>
      </c>
      <c r="L19" s="221">
        <f>'Tariffs 2021'!AT14</f>
        <v>0</v>
      </c>
      <c r="M19" s="221">
        <f>'Tariffs 2021'!AU14</f>
        <v>0</v>
      </c>
      <c r="N19" s="221">
        <f>'Tariffs 2021'!AV14</f>
        <v>0</v>
      </c>
      <c r="O19" s="221">
        <f>'Tariffs 2021'!AW14</f>
        <v>0</v>
      </c>
      <c r="P19" s="224" t="str">
        <f t="shared" si="12"/>
        <v>No discount</v>
      </c>
      <c r="Q19" s="224" t="str">
        <f>IF(OR(A19="Origin Energy",A19="Red Energy",A19="Powershop"),"Inclusive","Exclusive")</f>
        <v>Inclusive</v>
      </c>
      <c r="R19" s="254">
        <f t="shared" si="3"/>
        <v>1194.0589483636363</v>
      </c>
      <c r="S19" s="255">
        <f t="shared" si="4"/>
        <v>1194.0589483636363</v>
      </c>
      <c r="T19" s="261">
        <f t="shared" si="5"/>
        <v>1313.4648432000001</v>
      </c>
      <c r="U19" s="261">
        <f t="shared" si="5"/>
        <v>1313.4648432000001</v>
      </c>
      <c r="V19" s="225">
        <f>'Tariffs 2021'!BF14</f>
        <v>0</v>
      </c>
      <c r="W19" s="228" t="str">
        <f>'Tariffs 2021'!BG14</f>
        <v>n</v>
      </c>
      <c r="X19" s="226" t="str">
        <f>'Tariffs 2021'!BP14</f>
        <v>N</v>
      </c>
      <c r="Y19" s="309"/>
      <c r="Z19" s="309"/>
      <c r="AA19" s="309"/>
      <c r="AB19" s="309"/>
      <c r="AC19" s="309"/>
      <c r="AD19" s="309"/>
      <c r="AE19" s="309"/>
      <c r="AF19" s="309"/>
      <c r="AG19" s="309"/>
      <c r="AH19" s="309"/>
      <c r="AI19" s="309"/>
      <c r="AJ19" s="309"/>
      <c r="AK19" s="309"/>
      <c r="AL19" s="309"/>
      <c r="AM19" s="309"/>
      <c r="AN19" s="309"/>
      <c r="AO19" s="309"/>
    </row>
    <row r="20" spans="1:41" customFormat="1" x14ac:dyDescent="0.15">
      <c r="A20" s="309"/>
      <c r="B20" s="309"/>
      <c r="C20" s="309"/>
      <c r="D20" s="309"/>
      <c r="E20" s="309"/>
      <c r="F20" s="309"/>
      <c r="G20" s="309"/>
      <c r="H20" s="309"/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  <c r="AD20" s="309"/>
      <c r="AE20" s="309"/>
      <c r="AF20" s="309"/>
      <c r="AG20" s="309"/>
      <c r="AH20" s="309"/>
      <c r="AI20" s="309"/>
      <c r="AJ20" s="309"/>
      <c r="AK20" s="309"/>
      <c r="AL20" s="309"/>
      <c r="AM20" s="309"/>
      <c r="AN20" s="309"/>
      <c r="AO20" s="309"/>
    </row>
    <row r="21" spans="1:41" customFormat="1" x14ac:dyDescent="0.15">
      <c r="A21" s="309"/>
      <c r="B21" s="309"/>
      <c r="C21" s="309"/>
      <c r="D21" s="309"/>
      <c r="E21" s="309"/>
      <c r="F21" s="309"/>
      <c r="G21" s="309"/>
      <c r="H21" s="309"/>
      <c r="I21" s="309"/>
      <c r="J21" s="309"/>
      <c r="K21" s="309"/>
      <c r="L21" s="309"/>
      <c r="M21" s="309"/>
      <c r="N21" s="309"/>
      <c r="O21" s="309"/>
      <c r="P21" s="309"/>
      <c r="Q21" s="309"/>
      <c r="R21" s="309"/>
      <c r="S21" s="309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  <c r="AD21" s="309"/>
      <c r="AE21" s="309"/>
      <c r="AF21" s="309"/>
      <c r="AG21" s="309"/>
      <c r="AH21" s="309"/>
      <c r="AI21" s="309"/>
      <c r="AJ21" s="309"/>
      <c r="AK21" s="309"/>
      <c r="AL21" s="309"/>
      <c r="AM21" s="309"/>
      <c r="AN21" s="309"/>
      <c r="AO21" s="309"/>
    </row>
    <row r="22" spans="1:41" customFormat="1" x14ac:dyDescent="0.15">
      <c r="A22" s="309"/>
      <c r="B22" s="309"/>
      <c r="C22" s="309"/>
      <c r="D22" s="309"/>
      <c r="E22" s="309"/>
      <c r="F22" s="309"/>
      <c r="G22" s="309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</row>
    <row r="23" spans="1:41" customFormat="1" x14ac:dyDescent="0.15">
      <c r="A23" s="309"/>
      <c r="B23" s="309"/>
      <c r="C23" s="309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09"/>
      <c r="AK23" s="309"/>
      <c r="AL23" s="309"/>
      <c r="AM23" s="309"/>
      <c r="AN23" s="309"/>
      <c r="AO23" s="309"/>
    </row>
    <row r="24" spans="1:41" customFormat="1" x14ac:dyDescent="0.15">
      <c r="A24" s="309"/>
      <c r="B24" s="309"/>
      <c r="C24" s="309"/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09"/>
      <c r="AK24" s="309"/>
      <c r="AL24" s="309"/>
      <c r="AM24" s="309"/>
      <c r="AN24" s="309"/>
      <c r="AO24" s="309"/>
    </row>
    <row r="25" spans="1:41" customFormat="1" x14ac:dyDescent="0.15">
      <c r="A25" s="309"/>
      <c r="B25" s="309"/>
      <c r="C25" s="309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09"/>
      <c r="AK25" s="309"/>
      <c r="AL25" s="309"/>
      <c r="AM25" s="309"/>
      <c r="AN25" s="309"/>
      <c r="AO25" s="309"/>
    </row>
    <row r="26" spans="1:41" customFormat="1" x14ac:dyDescent="0.15">
      <c r="A26" s="309"/>
      <c r="B26" s="309"/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  <c r="AN26" s="309"/>
      <c r="AO26" s="309"/>
    </row>
    <row r="27" spans="1:41" customFormat="1" x14ac:dyDescent="0.15">
      <c r="A27" s="309"/>
      <c r="B27" s="309"/>
      <c r="C27" s="309"/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</row>
    <row r="28" spans="1:41" customFormat="1" x14ac:dyDescent="0.15">
      <c r="A28" s="309"/>
      <c r="B28" s="309"/>
      <c r="C28" s="309"/>
      <c r="D28" s="309"/>
      <c r="E28" s="309"/>
      <c r="F28" s="309"/>
      <c r="G28" s="309"/>
      <c r="H28" s="309"/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  <c r="AD28" s="309"/>
      <c r="AE28" s="309"/>
      <c r="AF28" s="309"/>
      <c r="AG28" s="309"/>
      <c r="AH28" s="309"/>
      <c r="AI28" s="309"/>
      <c r="AJ28" s="309"/>
      <c r="AK28" s="309"/>
      <c r="AL28" s="309"/>
      <c r="AM28" s="309"/>
      <c r="AN28" s="309"/>
      <c r="AO28" s="309"/>
    </row>
    <row r="29" spans="1:41" customFormat="1" x14ac:dyDescent="0.15">
      <c r="A29" s="309"/>
      <c r="B29" s="309"/>
      <c r="C29" s="309"/>
      <c r="D29" s="309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</row>
    <row r="30" spans="1:41" customFormat="1" x14ac:dyDescent="0.15">
      <c r="A30" s="309"/>
      <c r="B30" s="309"/>
      <c r="C30" s="309"/>
      <c r="D30" s="309"/>
      <c r="E30" s="309"/>
      <c r="F30" s="309"/>
      <c r="G30" s="309"/>
      <c r="H30" s="309"/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</row>
    <row r="31" spans="1:41" customFormat="1" x14ac:dyDescent="0.15">
      <c r="A31" s="309"/>
      <c r="B31" s="309"/>
      <c r="C31" s="309"/>
      <c r="D31" s="309"/>
      <c r="E31" s="309"/>
      <c r="F31" s="309"/>
      <c r="G31" s="309"/>
      <c r="H31" s="309"/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  <c r="AD31" s="309"/>
      <c r="AE31" s="309"/>
      <c r="AF31" s="309"/>
      <c r="AG31" s="309"/>
      <c r="AH31" s="309"/>
      <c r="AI31" s="309"/>
      <c r="AJ31" s="309"/>
      <c r="AK31" s="309"/>
      <c r="AL31" s="309"/>
      <c r="AM31" s="309"/>
      <c r="AN31" s="309"/>
      <c r="AO31" s="309"/>
    </row>
    <row r="32" spans="1:41" customFormat="1" x14ac:dyDescent="0.15">
      <c r="A32" s="309"/>
      <c r="B32" s="309"/>
      <c r="C32" s="309"/>
      <c r="D32" s="309"/>
      <c r="E32" s="309"/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</row>
    <row r="33" spans="1:41" customFormat="1" x14ac:dyDescent="0.15">
      <c r="A33" s="309"/>
      <c r="B33" s="309"/>
      <c r="C33" s="309"/>
      <c r="D33" s="309"/>
      <c r="E33" s="309"/>
      <c r="F33" s="309"/>
      <c r="G33" s="309"/>
      <c r="H33" s="309"/>
      <c r="I33" s="309"/>
      <c r="J33" s="309"/>
      <c r="K33" s="309"/>
      <c r="L33" s="309"/>
      <c r="M33" s="309"/>
      <c r="N33" s="309"/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</row>
    <row r="34" spans="1:41" customFormat="1" x14ac:dyDescent="0.15">
      <c r="A34" s="309"/>
      <c r="B34" s="309"/>
      <c r="C34" s="309"/>
      <c r="D34" s="309"/>
      <c r="E34" s="309"/>
      <c r="F34" s="309"/>
      <c r="G34" s="309"/>
      <c r="H34" s="309"/>
      <c r="I34" s="309"/>
      <c r="J34" s="309"/>
      <c r="K34" s="309"/>
      <c r="L34" s="309"/>
      <c r="M34" s="309"/>
      <c r="N34" s="309"/>
      <c r="O34" s="309"/>
      <c r="P34" s="309"/>
      <c r="Q34" s="309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  <c r="AD34" s="309"/>
      <c r="AE34" s="309"/>
      <c r="AF34" s="309"/>
      <c r="AG34" s="309"/>
      <c r="AH34" s="309"/>
      <c r="AI34" s="309"/>
      <c r="AJ34" s="309"/>
      <c r="AK34" s="309"/>
      <c r="AL34" s="309"/>
      <c r="AM34" s="309"/>
      <c r="AN34" s="309"/>
      <c r="AO34" s="309"/>
    </row>
    <row r="35" spans="1:41" customFormat="1" x14ac:dyDescent="0.15">
      <c r="A35" s="309"/>
      <c r="B35" s="309"/>
      <c r="C35" s="309"/>
      <c r="D35" s="309"/>
      <c r="E35" s="309"/>
      <c r="F35" s="309"/>
      <c r="G35" s="309"/>
      <c r="H35" s="309"/>
      <c r="I35" s="309"/>
      <c r="J35" s="309"/>
      <c r="K35" s="309"/>
      <c r="L35" s="309"/>
      <c r="M35" s="309"/>
      <c r="N35" s="309"/>
      <c r="O35" s="309"/>
      <c r="P35" s="309"/>
      <c r="Q35" s="309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</row>
    <row r="36" spans="1:41" customFormat="1" x14ac:dyDescent="0.15">
      <c r="A36" s="309"/>
      <c r="B36" s="309"/>
      <c r="C36" s="309"/>
      <c r="D36" s="309"/>
      <c r="E36" s="309"/>
      <c r="F36" s="309"/>
      <c r="G36" s="309"/>
      <c r="H36" s="309"/>
      <c r="I36" s="309"/>
      <c r="J36" s="309"/>
      <c r="K36" s="309"/>
      <c r="L36" s="309"/>
      <c r="M36" s="309"/>
      <c r="N36" s="309"/>
      <c r="O36" s="309"/>
      <c r="P36" s="309"/>
      <c r="Q36" s="309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  <c r="AD36" s="309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  <c r="AO36" s="309"/>
    </row>
    <row r="37" spans="1:41" customFormat="1" x14ac:dyDescent="0.15">
      <c r="A37" s="309"/>
      <c r="B37" s="309"/>
      <c r="C37" s="309"/>
      <c r="D37" s="309"/>
      <c r="E37" s="309"/>
      <c r="F37" s="309"/>
      <c r="G37" s="309"/>
      <c r="H37" s="309"/>
      <c r="I37" s="309"/>
      <c r="J37" s="309"/>
      <c r="K37" s="309"/>
      <c r="L37" s="309"/>
      <c r="M37" s="309"/>
      <c r="N37" s="309"/>
      <c r="O37" s="309"/>
      <c r="P37" s="309"/>
      <c r="Q37" s="309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  <c r="AD37" s="309"/>
      <c r="AE37" s="309"/>
      <c r="AF37" s="309"/>
      <c r="AG37" s="309"/>
      <c r="AH37" s="309"/>
      <c r="AI37" s="309"/>
      <c r="AJ37" s="309"/>
      <c r="AK37" s="309"/>
      <c r="AL37" s="309"/>
      <c r="AM37" s="309"/>
      <c r="AN37" s="309"/>
      <c r="AO37" s="309"/>
    </row>
    <row r="38" spans="1:41" customFormat="1" x14ac:dyDescent="0.15">
      <c r="A38" s="309"/>
      <c r="B38" s="309"/>
      <c r="C38" s="309"/>
      <c r="D38" s="309"/>
      <c r="E38" s="309"/>
      <c r="F38" s="309"/>
      <c r="G38" s="309"/>
      <c r="H38" s="309"/>
      <c r="I38" s="309"/>
      <c r="J38" s="309"/>
      <c r="K38" s="309"/>
      <c r="L38" s="309"/>
      <c r="M38" s="309"/>
      <c r="N38" s="309"/>
      <c r="O38" s="309"/>
      <c r="P38" s="309"/>
      <c r="Q38" s="309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</row>
    <row r="39" spans="1:41" customFormat="1" x14ac:dyDescent="0.15">
      <c r="A39" s="309"/>
      <c r="B39" s="309"/>
      <c r="C39" s="309"/>
      <c r="D39" s="309"/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</row>
    <row r="40" spans="1:41" customFormat="1" x14ac:dyDescent="0.15">
      <c r="A40" s="309"/>
      <c r="B40" s="309"/>
      <c r="C40" s="309"/>
      <c r="D40" s="309"/>
      <c r="E40" s="309"/>
      <c r="F40" s="309"/>
      <c r="G40" s="309"/>
      <c r="H40" s="309"/>
      <c r="I40" s="309"/>
      <c r="J40" s="309"/>
      <c r="K40" s="309"/>
      <c r="L40" s="309"/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</row>
    <row r="41" spans="1:41" customFormat="1" x14ac:dyDescent="0.15">
      <c r="A41" s="309"/>
      <c r="B41" s="309"/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</row>
    <row r="42" spans="1:41" customFormat="1" x14ac:dyDescent="0.15">
      <c r="A42" s="309"/>
      <c r="B42" s="309"/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  <c r="O42" s="309"/>
      <c r="P42" s="309"/>
      <c r="Q42" s="309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  <c r="AO42" s="309"/>
    </row>
    <row r="43" spans="1:41" customFormat="1" x14ac:dyDescent="0.15">
      <c r="A43" s="309"/>
      <c r="B43" s="309"/>
      <c r="C43" s="309"/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309"/>
    </row>
    <row r="44" spans="1:41" customFormat="1" x14ac:dyDescent="0.15">
      <c r="A44" s="309"/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</row>
    <row r="45" spans="1:41" customFormat="1" x14ac:dyDescent="0.15">
      <c r="A45" s="309"/>
      <c r="B45" s="309"/>
      <c r="C45" s="309"/>
      <c r="D45" s="309"/>
      <c r="E45" s="309"/>
      <c r="F45" s="309"/>
      <c r="G45" s="309"/>
      <c r="H45" s="309"/>
      <c r="I45" s="309"/>
      <c r="J45" s="309"/>
      <c r="K45" s="309"/>
      <c r="L45" s="309"/>
      <c r="M45" s="309"/>
      <c r="N45" s="309"/>
      <c r="O45" s="309"/>
      <c r="P45" s="309"/>
      <c r="Q45" s="309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</row>
    <row r="46" spans="1:41" customFormat="1" x14ac:dyDescent="0.15">
      <c r="A46" s="309"/>
      <c r="B46" s="309"/>
      <c r="C46" s="309"/>
      <c r="D46" s="309"/>
      <c r="E46" s="309"/>
      <c r="F46" s="309"/>
      <c r="G46" s="309"/>
      <c r="H46" s="309"/>
      <c r="I46" s="309"/>
      <c r="J46" s="309"/>
      <c r="K46" s="309"/>
      <c r="L46" s="309"/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  <c r="AD46" s="309"/>
      <c r="AE46" s="309"/>
      <c r="AF46" s="309"/>
      <c r="AG46" s="309"/>
      <c r="AH46" s="309"/>
      <c r="AI46" s="309"/>
      <c r="AJ46" s="309"/>
      <c r="AK46" s="309"/>
      <c r="AL46" s="309"/>
      <c r="AM46" s="309"/>
      <c r="AN46" s="309"/>
      <c r="AO46" s="309"/>
    </row>
    <row r="47" spans="1:41" customFormat="1" x14ac:dyDescent="0.15">
      <c r="A47" s="309"/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09"/>
      <c r="Q47" s="309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  <c r="AO47" s="309"/>
    </row>
    <row r="48" spans="1:41" customFormat="1" x14ac:dyDescent="0.15">
      <c r="A48" s="309"/>
      <c r="B48" s="309"/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09"/>
      <c r="N48" s="309"/>
      <c r="O48" s="309"/>
      <c r="P48" s="309"/>
      <c r="Q48" s="309"/>
      <c r="R48" s="309"/>
      <c r="S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  <c r="AJ48" s="309"/>
      <c r="AK48" s="309"/>
      <c r="AL48" s="309"/>
      <c r="AM48" s="309"/>
      <c r="AN48" s="309"/>
      <c r="AO48" s="309"/>
    </row>
    <row r="49" spans="1:41" customFormat="1" x14ac:dyDescent="0.15">
      <c r="A49" s="309"/>
      <c r="B49" s="309"/>
      <c r="C49" s="309"/>
      <c r="D49" s="309"/>
      <c r="E49" s="309"/>
      <c r="F49" s="309"/>
      <c r="G49" s="309"/>
      <c r="H49" s="309"/>
      <c r="I49" s="309"/>
      <c r="J49" s="309"/>
      <c r="K49" s="309"/>
      <c r="L49" s="309"/>
      <c r="M49" s="309"/>
      <c r="N49" s="309"/>
      <c r="O49" s="309"/>
      <c r="P49" s="309"/>
      <c r="Q49" s="309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</row>
    <row r="50" spans="1:41" customFormat="1" x14ac:dyDescent="0.15">
      <c r="A50" s="309"/>
      <c r="B50" s="309"/>
      <c r="C50" s="309"/>
      <c r="D50" s="309"/>
      <c r="E50" s="309"/>
      <c r="F50" s="309"/>
      <c r="G50" s="309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</row>
    <row r="51" spans="1:41" customFormat="1" x14ac:dyDescent="0.15">
      <c r="A51" s="309"/>
      <c r="B51" s="309"/>
      <c r="C51" s="309"/>
      <c r="D51" s="309"/>
      <c r="E51" s="309"/>
      <c r="F51" s="309"/>
      <c r="G51" s="309"/>
      <c r="H51" s="309"/>
      <c r="I51" s="309"/>
      <c r="J51" s="309"/>
      <c r="K51" s="309"/>
      <c r="L51" s="309"/>
      <c r="M51" s="309"/>
      <c r="N51" s="309"/>
      <c r="O51" s="309"/>
      <c r="P51" s="309"/>
      <c r="Q51" s="309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  <c r="AO51" s="309"/>
    </row>
    <row r="52" spans="1:41" customFormat="1" x14ac:dyDescent="0.15">
      <c r="A52" s="309"/>
      <c r="B52" s="309"/>
      <c r="C52" s="309"/>
      <c r="D52" s="309"/>
      <c r="E52" s="309"/>
      <c r="F52" s="309"/>
      <c r="G52" s="309"/>
      <c r="H52" s="309"/>
      <c r="I52" s="309"/>
      <c r="J52" s="309"/>
      <c r="K52" s="309"/>
      <c r="L52" s="309"/>
      <c r="M52" s="309"/>
      <c r="N52" s="309"/>
      <c r="O52" s="309"/>
      <c r="P52" s="309"/>
      <c r="Q52" s="309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  <c r="AD52" s="309"/>
      <c r="AE52" s="309"/>
      <c r="AF52" s="309"/>
      <c r="AG52" s="309"/>
      <c r="AH52" s="309"/>
      <c r="AI52" s="309"/>
      <c r="AJ52" s="309"/>
      <c r="AK52" s="309"/>
      <c r="AL52" s="309"/>
      <c r="AM52" s="309"/>
      <c r="AN52" s="309"/>
      <c r="AO52" s="309"/>
    </row>
    <row r="53" spans="1:41" customFormat="1" x14ac:dyDescent="0.15">
      <c r="A53" s="309"/>
      <c r="B53" s="309"/>
      <c r="C53" s="309"/>
      <c r="D53" s="309"/>
      <c r="E53" s="309"/>
      <c r="F53" s="309"/>
      <c r="G53" s="309"/>
      <c r="H53" s="309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</row>
    <row r="54" spans="1:41" customFormat="1" x14ac:dyDescent="0.15">
      <c r="A54" s="309"/>
      <c r="B54" s="309"/>
      <c r="C54" s="309"/>
      <c r="D54" s="309"/>
      <c r="E54" s="309"/>
      <c r="F54" s="309"/>
      <c r="G54" s="309"/>
      <c r="H54" s="309"/>
      <c r="I54" s="309"/>
      <c r="J54" s="309"/>
      <c r="K54" s="309"/>
      <c r="L54" s="309"/>
      <c r="M54" s="309"/>
      <c r="N54" s="309"/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  <c r="AF54" s="309"/>
      <c r="AG54" s="309"/>
      <c r="AH54" s="309"/>
      <c r="AI54" s="309"/>
      <c r="AJ54" s="309"/>
      <c r="AK54" s="309"/>
      <c r="AL54" s="309"/>
      <c r="AM54" s="309"/>
      <c r="AN54" s="309"/>
      <c r="AO54" s="309"/>
    </row>
    <row r="55" spans="1:41" customFormat="1" x14ac:dyDescent="0.15">
      <c r="A55" s="309"/>
      <c r="B55" s="309"/>
      <c r="C55" s="309"/>
      <c r="D55" s="309"/>
      <c r="E55" s="309"/>
      <c r="F55" s="309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  <c r="AF55" s="309"/>
      <c r="AG55" s="309"/>
      <c r="AH55" s="309"/>
      <c r="AI55" s="309"/>
      <c r="AJ55" s="309"/>
      <c r="AK55" s="309"/>
      <c r="AL55" s="309"/>
      <c r="AM55" s="309"/>
      <c r="AN55" s="309"/>
      <c r="AO55" s="309"/>
    </row>
    <row r="56" spans="1:41" customFormat="1" x14ac:dyDescent="0.15">
      <c r="A56" s="309"/>
      <c r="B56" s="309"/>
      <c r="C56" s="309"/>
      <c r="D56" s="309"/>
      <c r="E56" s="309"/>
      <c r="F56" s="309"/>
      <c r="G56" s="309"/>
      <c r="H56" s="309"/>
      <c r="I56" s="309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</row>
    <row r="57" spans="1:41" customFormat="1" x14ac:dyDescent="0.15">
      <c r="A57" s="309"/>
      <c r="B57" s="309"/>
      <c r="C57" s="309"/>
      <c r="D57" s="309"/>
      <c r="E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  <c r="AO57" s="309"/>
    </row>
    <row r="58" spans="1:41" customFormat="1" x14ac:dyDescent="0.15">
      <c r="A58" s="309"/>
      <c r="B58" s="309"/>
      <c r="C58" s="309"/>
      <c r="D58" s="309"/>
      <c r="E58" s="309"/>
      <c r="F58" s="309"/>
      <c r="G58" s="309"/>
      <c r="H58" s="309"/>
      <c r="I58" s="309"/>
      <c r="J58" s="309"/>
      <c r="K58" s="309"/>
      <c r="L58" s="309"/>
      <c r="M58" s="309"/>
      <c r="N58" s="309"/>
      <c r="O58" s="309"/>
      <c r="P58" s="309"/>
      <c r="Q58" s="309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  <c r="AD58" s="309"/>
      <c r="AE58" s="309"/>
      <c r="AF58" s="309"/>
      <c r="AG58" s="309"/>
      <c r="AH58" s="309"/>
      <c r="AI58" s="309"/>
      <c r="AJ58" s="309"/>
      <c r="AK58" s="309"/>
      <c r="AL58" s="309"/>
      <c r="AM58" s="309"/>
      <c r="AN58" s="309"/>
      <c r="AO58" s="309"/>
    </row>
    <row r="59" spans="1:41" customFormat="1" x14ac:dyDescent="0.15">
      <c r="A59" s="309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</row>
    <row r="60" spans="1:41" customFormat="1" x14ac:dyDescent="0.15">
      <c r="A60" s="309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</row>
    <row r="61" spans="1:41" customFormat="1" x14ac:dyDescent="0.15">
      <c r="A61" s="309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</row>
    <row r="62" spans="1:41" customFormat="1" x14ac:dyDescent="0.15">
      <c r="A62" s="309"/>
      <c r="B62" s="309"/>
      <c r="C62" s="309"/>
      <c r="D62" s="309"/>
      <c r="E62" s="309"/>
      <c r="F62" s="309"/>
      <c r="G62" s="309"/>
      <c r="H62" s="309"/>
      <c r="I62" s="309"/>
      <c r="J62" s="309"/>
      <c r="K62" s="309"/>
      <c r="L62" s="309"/>
      <c r="M62" s="309"/>
      <c r="N62" s="309"/>
      <c r="O62" s="309"/>
      <c r="P62" s="309"/>
      <c r="Q62" s="309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09"/>
      <c r="AD62" s="309"/>
      <c r="AE62" s="309"/>
      <c r="AF62" s="309"/>
      <c r="AG62" s="309"/>
      <c r="AH62" s="309"/>
      <c r="AI62" s="309"/>
      <c r="AJ62" s="309"/>
      <c r="AK62" s="309"/>
      <c r="AL62" s="309"/>
      <c r="AM62" s="309"/>
      <c r="AN62" s="309"/>
      <c r="AO62" s="309"/>
    </row>
    <row r="63" spans="1:41" customFormat="1" x14ac:dyDescent="0.15">
      <c r="A63" s="309"/>
      <c r="B63" s="309"/>
      <c r="C63" s="309"/>
      <c r="D63" s="309"/>
      <c r="E63" s="309"/>
      <c r="F63" s="309"/>
      <c r="G63" s="309"/>
      <c r="H63" s="309"/>
      <c r="I63" s="309"/>
      <c r="J63" s="309"/>
      <c r="K63" s="309"/>
      <c r="L63" s="309"/>
      <c r="M63" s="309"/>
      <c r="N63" s="309"/>
      <c r="O63" s="309"/>
      <c r="P63" s="309"/>
      <c r="Q63" s="309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309"/>
      <c r="AM63" s="309"/>
      <c r="AN63" s="309"/>
      <c r="AO63" s="309"/>
    </row>
    <row r="64" spans="1:41" customFormat="1" x14ac:dyDescent="0.15">
      <c r="A64" s="309"/>
      <c r="B64" s="309"/>
      <c r="C64" s="309"/>
      <c r="D64" s="309"/>
      <c r="E64" s="309"/>
      <c r="F64" s="309"/>
      <c r="G64" s="309"/>
      <c r="H64" s="309"/>
      <c r="I64" s="309"/>
      <c r="J64" s="309"/>
      <c r="K64" s="309"/>
      <c r="L64" s="309"/>
      <c r="M64" s="309"/>
      <c r="N64" s="309"/>
      <c r="O64" s="309"/>
      <c r="P64" s="309"/>
      <c r="Q64" s="309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  <c r="AD64" s="309"/>
      <c r="AE64" s="309"/>
      <c r="AF64" s="309"/>
      <c r="AG64" s="309"/>
      <c r="AH64" s="309"/>
      <c r="AI64" s="309"/>
      <c r="AJ64" s="309"/>
      <c r="AK64" s="309"/>
      <c r="AL64" s="309"/>
      <c r="AM64" s="309"/>
      <c r="AN64" s="309"/>
      <c r="AO64" s="309"/>
    </row>
    <row r="65" spans="1:41" customFormat="1" x14ac:dyDescent="0.15">
      <c r="A65" s="309"/>
      <c r="B65" s="309"/>
      <c r="C65" s="309"/>
      <c r="D65" s="309"/>
      <c r="E65" s="309"/>
      <c r="F65" s="309"/>
      <c r="G65" s="309"/>
      <c r="H65" s="309"/>
      <c r="I65" s="309"/>
      <c r="J65" s="309"/>
      <c r="K65" s="309"/>
      <c r="L65" s="309"/>
      <c r="M65" s="309"/>
      <c r="N65" s="309"/>
      <c r="O65" s="309"/>
      <c r="P65" s="309"/>
      <c r="Q65" s="309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  <c r="AD65" s="309"/>
      <c r="AE65" s="309"/>
      <c r="AF65" s="309"/>
      <c r="AG65" s="309"/>
      <c r="AH65" s="309"/>
      <c r="AI65" s="309"/>
      <c r="AJ65" s="309"/>
      <c r="AK65" s="309"/>
      <c r="AL65" s="309"/>
      <c r="AM65" s="309"/>
      <c r="AN65" s="309"/>
      <c r="AO65" s="309"/>
    </row>
    <row r="66" spans="1:41" customFormat="1" x14ac:dyDescent="0.15">
      <c r="A66" s="309"/>
      <c r="B66" s="309"/>
      <c r="C66" s="309"/>
      <c r="D66" s="309"/>
      <c r="E66" s="309"/>
      <c r="F66" s="309"/>
      <c r="G66" s="309"/>
      <c r="H66" s="309"/>
      <c r="I66" s="309"/>
      <c r="J66" s="309"/>
      <c r="K66" s="309"/>
      <c r="L66" s="309"/>
      <c r="M66" s="309"/>
      <c r="N66" s="309"/>
      <c r="O66" s="309"/>
      <c r="P66" s="309"/>
      <c r="Q66" s="309"/>
      <c r="R66" s="309"/>
      <c r="S66" s="309"/>
      <c r="T66" s="309"/>
      <c r="U66" s="309"/>
      <c r="V66" s="309"/>
      <c r="W66" s="309"/>
      <c r="X66" s="309"/>
      <c r="Y66" s="309"/>
      <c r="Z66" s="309"/>
      <c r="AA66" s="309"/>
      <c r="AB66" s="309"/>
      <c r="AC66" s="309"/>
      <c r="AD66" s="309"/>
      <c r="AE66" s="309"/>
      <c r="AF66" s="309"/>
      <c r="AG66" s="309"/>
      <c r="AH66" s="309"/>
      <c r="AI66" s="309"/>
      <c r="AJ66" s="309"/>
      <c r="AK66" s="309"/>
      <c r="AL66" s="309"/>
      <c r="AM66" s="309"/>
      <c r="AN66" s="309"/>
      <c r="AO66" s="309"/>
    </row>
    <row r="67" spans="1:41" customFormat="1" x14ac:dyDescent="0.15">
      <c r="A67" s="309"/>
      <c r="B67" s="309"/>
      <c r="C67" s="309"/>
      <c r="D67" s="309"/>
      <c r="E67" s="309"/>
      <c r="F67" s="309"/>
      <c r="G67" s="309"/>
      <c r="H67" s="309"/>
      <c r="I67" s="309"/>
      <c r="J67" s="309"/>
      <c r="K67" s="309"/>
      <c r="L67" s="309"/>
      <c r="M67" s="309"/>
      <c r="N67" s="309"/>
      <c r="O67" s="309"/>
      <c r="P67" s="309"/>
      <c r="Q67" s="309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  <c r="AD67" s="309"/>
      <c r="AE67" s="309"/>
      <c r="AF67" s="309"/>
      <c r="AG67" s="309"/>
      <c r="AH67" s="309"/>
      <c r="AI67" s="309"/>
      <c r="AJ67" s="309"/>
      <c r="AK67" s="309"/>
      <c r="AL67" s="309"/>
      <c r="AM67" s="309"/>
      <c r="AN67" s="309"/>
      <c r="AO67" s="309"/>
    </row>
    <row r="68" spans="1:41" customFormat="1" x14ac:dyDescent="0.15">
      <c r="A68" s="309"/>
      <c r="B68" s="309"/>
      <c r="C68" s="309"/>
      <c r="D68" s="309"/>
      <c r="E68" s="309"/>
      <c r="F68" s="309"/>
      <c r="G68" s="309"/>
      <c r="H68" s="309"/>
      <c r="I68" s="309"/>
      <c r="J68" s="309"/>
      <c r="K68" s="309"/>
      <c r="L68" s="309"/>
      <c r="M68" s="309"/>
      <c r="N68" s="309"/>
      <c r="O68" s="309"/>
      <c r="P68" s="309"/>
      <c r="Q68" s="309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  <c r="AD68" s="309"/>
      <c r="AE68" s="309"/>
      <c r="AF68" s="309"/>
      <c r="AG68" s="309"/>
      <c r="AH68" s="309"/>
      <c r="AI68" s="309"/>
      <c r="AJ68" s="309"/>
      <c r="AK68" s="309"/>
      <c r="AL68" s="309"/>
      <c r="AM68" s="309"/>
      <c r="AN68" s="309"/>
      <c r="AO68" s="309"/>
    </row>
    <row r="69" spans="1:41" customFormat="1" x14ac:dyDescent="0.15">
      <c r="A69" s="309"/>
      <c r="B69" s="309"/>
      <c r="C69" s="309"/>
      <c r="D69" s="309"/>
      <c r="E69" s="309"/>
      <c r="F69" s="309"/>
      <c r="G69" s="309"/>
      <c r="H69" s="309"/>
      <c r="I69" s="309"/>
      <c r="J69" s="309"/>
      <c r="K69" s="309"/>
      <c r="L69" s="309"/>
      <c r="M69" s="309"/>
      <c r="N69" s="309"/>
      <c r="O69" s="309"/>
      <c r="P69" s="309"/>
      <c r="Q69" s="309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  <c r="AD69" s="309"/>
      <c r="AE69" s="309"/>
      <c r="AF69" s="309"/>
      <c r="AG69" s="309"/>
      <c r="AH69" s="309"/>
      <c r="AI69" s="309"/>
      <c r="AJ69" s="309"/>
      <c r="AK69" s="309"/>
      <c r="AL69" s="309"/>
      <c r="AM69" s="309"/>
      <c r="AN69" s="309"/>
      <c r="AO69" s="309"/>
    </row>
    <row r="70" spans="1:41" customFormat="1" x14ac:dyDescent="0.15">
      <c r="A70" s="309"/>
      <c r="B70" s="309"/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309"/>
      <c r="Q70" s="309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  <c r="AD70" s="309"/>
      <c r="AE70" s="309"/>
      <c r="AF70" s="309"/>
      <c r="AG70" s="309"/>
      <c r="AH70" s="309"/>
      <c r="AI70" s="309"/>
      <c r="AJ70" s="309"/>
      <c r="AK70" s="309"/>
      <c r="AL70" s="309"/>
      <c r="AM70" s="309"/>
      <c r="AN70" s="309"/>
      <c r="AO70" s="309"/>
    </row>
    <row r="71" spans="1:41" customFormat="1" x14ac:dyDescent="0.15">
      <c r="A71" s="309"/>
      <c r="B71" s="309"/>
      <c r="C71" s="309"/>
      <c r="D71" s="309"/>
      <c r="E71" s="309"/>
      <c r="F71" s="309"/>
      <c r="G71" s="309"/>
      <c r="H71" s="309"/>
      <c r="I71" s="309"/>
      <c r="J71" s="309"/>
      <c r="K71" s="309"/>
      <c r="L71" s="309"/>
      <c r="M71" s="309"/>
      <c r="N71" s="309"/>
      <c r="O71" s="309"/>
      <c r="P71" s="309"/>
      <c r="Q71" s="309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  <c r="AD71" s="309"/>
      <c r="AE71" s="309"/>
      <c r="AF71" s="309"/>
      <c r="AG71" s="309"/>
      <c r="AH71" s="309"/>
      <c r="AI71" s="309"/>
      <c r="AJ71" s="309"/>
      <c r="AK71" s="309"/>
      <c r="AL71" s="309"/>
      <c r="AM71" s="309"/>
      <c r="AN71" s="309"/>
      <c r="AO71" s="309"/>
    </row>
    <row r="72" spans="1:41" customFormat="1" x14ac:dyDescent="0.15">
      <c r="A72" s="309"/>
      <c r="B72" s="309"/>
      <c r="C72" s="309"/>
      <c r="D72" s="309"/>
      <c r="E72" s="309"/>
      <c r="F72" s="309"/>
      <c r="G72" s="309"/>
      <c r="H72" s="309"/>
      <c r="I72" s="309"/>
      <c r="J72" s="309"/>
      <c r="K72" s="309"/>
      <c r="L72" s="309"/>
      <c r="M72" s="309"/>
      <c r="N72" s="309"/>
      <c r="O72" s="309"/>
      <c r="P72" s="309"/>
      <c r="Q72" s="309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  <c r="AD72" s="309"/>
      <c r="AE72" s="309"/>
      <c r="AF72" s="309"/>
      <c r="AG72" s="309"/>
      <c r="AH72" s="309"/>
      <c r="AI72" s="309"/>
      <c r="AJ72" s="309"/>
      <c r="AK72" s="309"/>
      <c r="AL72" s="309"/>
      <c r="AM72" s="309"/>
      <c r="AN72" s="309"/>
      <c r="AO72" s="309"/>
    </row>
    <row r="73" spans="1:41" customFormat="1" x14ac:dyDescent="0.15">
      <c r="A73" s="309"/>
      <c r="B73" s="309"/>
      <c r="C73" s="309"/>
      <c r="D73" s="309"/>
      <c r="E73" s="309"/>
      <c r="F73" s="309"/>
      <c r="G73" s="309"/>
      <c r="H73" s="309"/>
      <c r="I73" s="309"/>
      <c r="J73" s="309"/>
      <c r="K73" s="309"/>
      <c r="L73" s="309"/>
      <c r="M73" s="309"/>
      <c r="N73" s="309"/>
      <c r="O73" s="309"/>
      <c r="P73" s="309"/>
      <c r="Q73" s="309"/>
      <c r="R73" s="309"/>
      <c r="S73" s="309"/>
      <c r="T73" s="309"/>
      <c r="U73" s="309"/>
      <c r="V73" s="309"/>
      <c r="W73" s="309"/>
      <c r="X73" s="309"/>
      <c r="Y73" s="309"/>
      <c r="Z73" s="309"/>
      <c r="AA73" s="309"/>
      <c r="AB73" s="309"/>
      <c r="AC73" s="309"/>
      <c r="AD73" s="309"/>
      <c r="AE73" s="309"/>
      <c r="AF73" s="309"/>
      <c r="AG73" s="309"/>
      <c r="AH73" s="309"/>
      <c r="AI73" s="309"/>
      <c r="AJ73" s="309"/>
      <c r="AK73" s="309"/>
      <c r="AL73" s="309"/>
      <c r="AM73" s="309"/>
      <c r="AN73" s="309"/>
      <c r="AO73" s="309"/>
    </row>
    <row r="74" spans="1:41" customFormat="1" x14ac:dyDescent="0.15">
      <c r="A74" s="309"/>
      <c r="B74" s="309"/>
      <c r="C74" s="309"/>
      <c r="D74" s="309"/>
      <c r="E74" s="309"/>
      <c r="F74" s="309"/>
      <c r="G74" s="309"/>
      <c r="H74" s="309"/>
      <c r="I74" s="309"/>
      <c r="J74" s="309"/>
      <c r="K74" s="309"/>
      <c r="L74" s="309"/>
      <c r="M74" s="309"/>
      <c r="N74" s="309"/>
      <c r="O74" s="309"/>
      <c r="P74" s="309"/>
      <c r="Q74" s="309"/>
      <c r="R74" s="309"/>
      <c r="S74" s="309"/>
      <c r="T74" s="309"/>
      <c r="U74" s="309"/>
      <c r="V74" s="309"/>
      <c r="W74" s="309"/>
      <c r="X74" s="309"/>
      <c r="Y74" s="309"/>
      <c r="Z74" s="309"/>
      <c r="AA74" s="309"/>
      <c r="AB74" s="309"/>
      <c r="AC74" s="309"/>
      <c r="AD74" s="309"/>
      <c r="AE74" s="309"/>
      <c r="AF74" s="309"/>
      <c r="AG74" s="309"/>
      <c r="AH74" s="309"/>
      <c r="AI74" s="309"/>
      <c r="AJ74" s="309"/>
      <c r="AK74" s="309"/>
      <c r="AL74" s="309"/>
      <c r="AM74" s="309"/>
      <c r="AN74" s="309"/>
      <c r="AO74" s="309"/>
    </row>
    <row r="75" spans="1:41" customFormat="1" x14ac:dyDescent="0.15">
      <c r="A75" s="309"/>
      <c r="B75" s="309"/>
      <c r="C75" s="309"/>
      <c r="D75" s="309"/>
      <c r="E75" s="309"/>
      <c r="F75" s="309"/>
      <c r="G75" s="309"/>
      <c r="H75" s="309"/>
      <c r="I75" s="309"/>
      <c r="J75" s="309"/>
      <c r="K75" s="309"/>
      <c r="L75" s="309"/>
      <c r="M75" s="309"/>
      <c r="N75" s="309"/>
      <c r="O75" s="309"/>
      <c r="P75" s="309"/>
      <c r="Q75" s="309"/>
      <c r="R75" s="309"/>
      <c r="S75" s="309"/>
      <c r="T75" s="309"/>
      <c r="U75" s="309"/>
      <c r="V75" s="309"/>
      <c r="W75" s="309"/>
      <c r="X75" s="309"/>
      <c r="Y75" s="309"/>
      <c r="Z75" s="309"/>
      <c r="AA75" s="309"/>
      <c r="AB75" s="309"/>
      <c r="AC75" s="309"/>
      <c r="AD75" s="309"/>
      <c r="AE75" s="309"/>
      <c r="AF75" s="309"/>
      <c r="AG75" s="309"/>
      <c r="AH75" s="309"/>
      <c r="AI75" s="309"/>
      <c r="AJ75" s="309"/>
      <c r="AK75" s="309"/>
      <c r="AL75" s="309"/>
      <c r="AM75" s="309"/>
      <c r="AN75" s="309"/>
      <c r="AO75" s="309"/>
    </row>
    <row r="76" spans="1:41" customFormat="1" x14ac:dyDescent="0.15">
      <c r="A76" s="309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</row>
    <row r="77" spans="1:41" customFormat="1" x14ac:dyDescent="0.15">
      <c r="A77" s="309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</row>
    <row r="78" spans="1:41" customFormat="1" x14ac:dyDescent="0.15">
      <c r="A78" s="309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</row>
    <row r="79" spans="1:41" customFormat="1" x14ac:dyDescent="0.15">
      <c r="A79" s="309"/>
      <c r="B79" s="309"/>
      <c r="C79" s="309"/>
      <c r="D79" s="309"/>
      <c r="E79" s="309"/>
      <c r="F79" s="309"/>
      <c r="G79" s="309"/>
      <c r="H79" s="309"/>
      <c r="I79" s="309"/>
      <c r="J79" s="309"/>
      <c r="K79" s="309"/>
      <c r="L79" s="309"/>
      <c r="M79" s="309"/>
      <c r="N79" s="309"/>
      <c r="O79" s="309"/>
      <c r="P79" s="309"/>
      <c r="Q79" s="309"/>
      <c r="R79" s="309"/>
      <c r="S79" s="309"/>
      <c r="T79" s="309"/>
      <c r="U79" s="309"/>
      <c r="V79" s="309"/>
      <c r="W79" s="309"/>
      <c r="X79" s="309"/>
      <c r="Y79" s="309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  <c r="AJ79" s="309"/>
      <c r="AK79" s="309"/>
      <c r="AL79" s="309"/>
      <c r="AM79" s="309"/>
      <c r="AN79" s="309"/>
      <c r="AO79" s="309"/>
    </row>
    <row r="80" spans="1:41" customFormat="1" x14ac:dyDescent="0.15">
      <c r="A80" s="309"/>
      <c r="B80" s="309"/>
      <c r="C80" s="309"/>
      <c r="D80" s="309"/>
      <c r="E80" s="309"/>
      <c r="F80" s="309"/>
      <c r="G80" s="309"/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</row>
    <row r="81" spans="1:41" customFormat="1" x14ac:dyDescent="0.15">
      <c r="A81" s="309"/>
      <c r="B81" s="309"/>
      <c r="C81" s="309"/>
      <c r="D81" s="309"/>
      <c r="E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  <c r="AJ81" s="309"/>
      <c r="AK81" s="309"/>
      <c r="AL81" s="309"/>
      <c r="AM81" s="309"/>
      <c r="AN81" s="309"/>
      <c r="AO81" s="309"/>
    </row>
    <row r="82" spans="1:41" customFormat="1" x14ac:dyDescent="0.15">
      <c r="A82" s="309"/>
      <c r="B82" s="309"/>
      <c r="C82" s="309"/>
      <c r="D82" s="309"/>
      <c r="E82" s="309"/>
      <c r="F82" s="309"/>
      <c r="G82" s="309"/>
      <c r="H82" s="309"/>
      <c r="I82" s="309"/>
      <c r="J82" s="309"/>
      <c r="K82" s="309"/>
      <c r="L82" s="309"/>
      <c r="M82" s="309"/>
      <c r="N82" s="309"/>
      <c r="O82" s="309"/>
      <c r="P82" s="309"/>
      <c r="Q82" s="309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  <c r="AD82" s="309"/>
      <c r="AE82" s="309"/>
      <c r="AF82" s="309"/>
      <c r="AG82" s="309"/>
      <c r="AH82" s="309"/>
      <c r="AI82" s="309"/>
      <c r="AJ82" s="309"/>
      <c r="AK82" s="309"/>
      <c r="AL82" s="309"/>
      <c r="AM82" s="309"/>
      <c r="AN82" s="309"/>
      <c r="AO82" s="309"/>
    </row>
    <row r="83" spans="1:41" customFormat="1" x14ac:dyDescent="0.15">
      <c r="A83" s="309"/>
      <c r="B83" s="309"/>
      <c r="C83" s="309"/>
      <c r="D83" s="309"/>
      <c r="E83" s="309"/>
      <c r="F83" s="309"/>
      <c r="G83" s="309"/>
      <c r="H83" s="309"/>
      <c r="I83" s="309"/>
      <c r="J83" s="309"/>
      <c r="K83" s="309"/>
      <c r="L83" s="309"/>
      <c r="M83" s="309"/>
      <c r="N83" s="309"/>
      <c r="O83" s="309"/>
      <c r="P83" s="309"/>
      <c r="Q83" s="309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  <c r="AD83" s="309"/>
      <c r="AE83" s="309"/>
      <c r="AF83" s="309"/>
      <c r="AG83" s="309"/>
      <c r="AH83" s="309"/>
      <c r="AI83" s="309"/>
      <c r="AJ83" s="309"/>
      <c r="AK83" s="309"/>
      <c r="AL83" s="309"/>
      <c r="AM83" s="309"/>
      <c r="AN83" s="309"/>
      <c r="AO83" s="309"/>
    </row>
    <row r="84" spans="1:41" customFormat="1" x14ac:dyDescent="0.15"/>
    <row r="85" spans="1:41" customFormat="1" x14ac:dyDescent="0.15"/>
    <row r="86" spans="1:41" customFormat="1" x14ac:dyDescent="0.15"/>
    <row r="87" spans="1:41" customFormat="1" x14ac:dyDescent="0.15"/>
    <row r="88" spans="1:41" customFormat="1" x14ac:dyDescent="0.15"/>
    <row r="89" spans="1:41" customFormat="1" x14ac:dyDescent="0.15"/>
    <row r="90" spans="1:41" customFormat="1" x14ac:dyDescent="0.15"/>
    <row r="91" spans="1:41" customFormat="1" x14ac:dyDescent="0.15"/>
    <row r="92" spans="1:41" customFormat="1" x14ac:dyDescent="0.15"/>
    <row r="93" spans="1:41" customFormat="1" x14ac:dyDescent="0.15"/>
    <row r="94" spans="1:41" customFormat="1" x14ac:dyDescent="0.15"/>
    <row r="95" spans="1:41" customFormat="1" x14ac:dyDescent="0.15"/>
    <row r="96" spans="1:41" customFormat="1" x14ac:dyDescent="0.15"/>
    <row r="97" customFormat="1" x14ac:dyDescent="0.15"/>
    <row r="98" customFormat="1" x14ac:dyDescent="0.15"/>
    <row r="99" customFormat="1" x14ac:dyDescent="0.15"/>
    <row r="100" customFormat="1" x14ac:dyDescent="0.15"/>
    <row r="101" customFormat="1" x14ac:dyDescent="0.15"/>
    <row r="102" customFormat="1" x14ac:dyDescent="0.15"/>
    <row r="103" customFormat="1" x14ac:dyDescent="0.15"/>
    <row r="104" customFormat="1" x14ac:dyDescent="0.15"/>
    <row r="105" customFormat="1" x14ac:dyDescent="0.15"/>
    <row r="106" customFormat="1" x14ac:dyDescent="0.15"/>
    <row r="107" customFormat="1" x14ac:dyDescent="0.15"/>
    <row r="108" customFormat="1" x14ac:dyDescent="0.15"/>
    <row r="109" customFormat="1" x14ac:dyDescent="0.15"/>
    <row r="110" customFormat="1" x14ac:dyDescent="0.15"/>
    <row r="111" customFormat="1" x14ac:dyDescent="0.15"/>
    <row r="112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</sheetData>
  <sheetProtection algorithmName="SHA-512" hashValue="AI0HX2Vk/1sODqDfLoDoqgxg9BylRl/yWQFyD2AUV4QD791cJt7EkJ+VXtIUpsh2f9MLRUJIQgJ45Ev7+EjH9w==" saltValue="pq/u1Cbs5bSVBgmzlPIt2w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EBCAF-CDAD-1E4D-8698-10D7525E5DDE}">
  <sheetPr codeName="Sheet2"/>
  <dimension ref="A1:X19"/>
  <sheetViews>
    <sheetView workbookViewId="0">
      <selection activeCell="K8" sqref="K8:K15"/>
    </sheetView>
  </sheetViews>
  <sheetFormatPr baseColWidth="10" defaultRowHeight="13" x14ac:dyDescent="0.15"/>
  <cols>
    <col min="1" max="1" width="14.83203125" style="231" customWidth="1"/>
    <col min="2" max="2" width="19.1640625" style="231" customWidth="1"/>
    <col min="3" max="3" width="18.1640625" style="231" bestFit="1" customWidth="1"/>
    <col min="4" max="8" width="11.83203125" style="231" customWidth="1"/>
    <col min="9" max="10" width="11.83203125" style="231" hidden="1" customWidth="1"/>
    <col min="11" max="15" width="11.83203125" style="231" customWidth="1"/>
    <col min="16" max="19" width="11.83203125" style="231" hidden="1" customWidth="1"/>
    <col min="20" max="24" width="11.83203125" style="231" customWidth="1"/>
    <col min="25" max="16384" width="10.83203125" style="231"/>
  </cols>
  <sheetData>
    <row r="1" spans="1:24" ht="14" x14ac:dyDescent="0.15">
      <c r="A1" s="230" t="s">
        <v>12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</row>
    <row r="2" spans="1:24" ht="14" x14ac:dyDescent="0.15">
      <c r="A2" s="232" t="s">
        <v>97</v>
      </c>
      <c r="B2" s="232"/>
      <c r="C2" s="230"/>
      <c r="D2" s="230"/>
      <c r="E2" s="230"/>
      <c r="F2" s="230"/>
      <c r="G2" s="230"/>
      <c r="H2" s="230"/>
      <c r="I2" s="346"/>
      <c r="J2" s="346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</row>
    <row r="3" spans="1:24" ht="15" thickBot="1" x14ac:dyDescent="0.2">
      <c r="A3" s="230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3"/>
    </row>
    <row r="4" spans="1:24" ht="14" x14ac:dyDescent="0.15">
      <c r="A4" s="207" t="s">
        <v>25</v>
      </c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10"/>
    </row>
    <row r="5" spans="1:24" ht="14" x14ac:dyDescent="0.15">
      <c r="A5" s="211" t="s">
        <v>358</v>
      </c>
      <c r="B5" s="212"/>
      <c r="C5" s="280">
        <v>7500</v>
      </c>
      <c r="D5" s="213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4"/>
    </row>
    <row r="6" spans="1:24" ht="14" x14ac:dyDescent="0.15">
      <c r="A6" s="211"/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4"/>
    </row>
    <row r="7" spans="1:24" ht="75" x14ac:dyDescent="0.15">
      <c r="A7" s="237" t="s">
        <v>71</v>
      </c>
      <c r="B7" s="238" t="s">
        <v>75</v>
      </c>
      <c r="C7" s="238" t="s">
        <v>45</v>
      </c>
      <c r="D7" s="239" t="s">
        <v>46</v>
      </c>
      <c r="E7" s="239" t="s">
        <v>90</v>
      </c>
      <c r="F7" s="239" t="s">
        <v>91</v>
      </c>
      <c r="G7" s="239" t="s">
        <v>92</v>
      </c>
      <c r="H7" s="240" t="s">
        <v>276</v>
      </c>
      <c r="I7" s="249" t="s">
        <v>79</v>
      </c>
      <c r="J7" s="250" t="s">
        <v>18</v>
      </c>
      <c r="K7" s="241" t="s">
        <v>378</v>
      </c>
      <c r="L7" s="242" t="s">
        <v>19</v>
      </c>
      <c r="M7" s="243" t="s">
        <v>20</v>
      </c>
      <c r="N7" s="243" t="s">
        <v>21</v>
      </c>
      <c r="O7" s="243" t="s">
        <v>22</v>
      </c>
      <c r="P7" s="244" t="s">
        <v>355</v>
      </c>
      <c r="Q7" s="244" t="s">
        <v>356</v>
      </c>
      <c r="R7" s="251" t="s">
        <v>80</v>
      </c>
      <c r="S7" s="251" t="s">
        <v>81</v>
      </c>
      <c r="T7" s="245" t="s">
        <v>82</v>
      </c>
      <c r="U7" s="245" t="s">
        <v>83</v>
      </c>
      <c r="V7" s="246" t="s">
        <v>23</v>
      </c>
      <c r="W7" s="247" t="s">
        <v>24</v>
      </c>
      <c r="X7" s="248" t="s">
        <v>99</v>
      </c>
    </row>
    <row r="8" spans="1:24" ht="20" customHeight="1" x14ac:dyDescent="0.15">
      <c r="A8" s="215" t="str">
        <f>'Tariffs 2020'!F3</f>
        <v>AGL</v>
      </c>
      <c r="B8" s="213" t="str">
        <f>'Tariffs 2020'!D3</f>
        <v>Envestra Adelaide</v>
      </c>
      <c r="C8" s="213" t="str">
        <f>'Tariffs 2020'!G3</f>
        <v>Essentials Saver</v>
      </c>
      <c r="D8" s="216">
        <f>91*'Tariffs 2020'!H3/100</f>
        <v>63.848909090909103</v>
      </c>
      <c r="E8" s="216">
        <f>IF('Tariffs 2020'!K3="",$C$5*'Tariffs 2020'!W3/100,IF($C$5&gt;='Tariffs 2020'!L3*1.5,('Tariffs 2020'!L3*1.5*'Tariffs 2020'!W3/100),($C$5*'Tariffs 2020'!W3/100)))</f>
        <v>273.40909090909088</v>
      </c>
      <c r="F8" s="216">
        <f>IF(AND('Tariffs 2020'!L3*1.5&gt;0,'Tariffs 2020'!M3*1.5&gt;0),IF($C$5&lt;'Tariffs 2020'!L3*1.5,0,IF(($C$5-'Tariffs 2020'!L3*1.5)&lt;=('Tariffs 2020'!M3*1.5+'Tariffs 2020'!L3*1.5),(($C$5-'Tariffs 2020'!L3*1.5)*'Tariffs 2020'!X3/100),(('Tariffs 2020'!M3*1.5)*'Tariffs 2020'!X3/100))),0)</f>
        <v>0</v>
      </c>
      <c r="G8" s="216">
        <f>IF(AND('Tariffs 2020'!P3&gt;0,'Tariffs 2020'!O3&gt;0),IF(($C$5&lt;(SUM('Tariffs 2020'!L3:P3))*1.5),(0),($C$5-(SUM('Tariffs 2020'!L3:P3)*1.5))*'Tariffs 2020'!AB3/100),IF(AND('Tariffs 2020'!O3&gt;0,'Tariffs 2020'!P3=""),IF(($C$5&lt; (SUM('Tariffs 2020'!L3:O3))*1.5),(0),($C$5-(SUM('Tariffs 2020'!L3:O3))*1.5)*'Tariffs 2020'!AA3/100),IF(AND('Tariffs 2020'!N3&gt;0,'Tariffs 2020'!O3=""),IF(($C$5&lt;(SUM('Tariffs 2020'!L3:N3))*1.5),(0),($C$5-(SUM('Tariffs 2020'!L3:N3))*1.5)*'Tariffs 2020'!Z3/100),IF(AND('Tariffs 2020'!M3&gt;0,'Tariffs 2020'!N3=""),IF(($C$5&lt;'Tariffs 2020'!M3*1.5+'Tariffs 2020'!L3*1.5),(0),(($C$5-('Tariffs 2020'!M3*1.5+'Tariffs 2020'!L3*1.5))*'Tariffs 2020'!Y3/100)),IF(AND('Tariffs 2020'!L3&gt;0,'Tariffs 2020'!M3=""&gt;0),IF(($C$5&lt;'Tariffs 2020'!L3*1.5),(0),($C$5-('Tariffs 2020'!L3*1.5))*'Tariffs 2020'!X3/100),0)))))</f>
        <v>0</v>
      </c>
      <c r="H8" s="216">
        <f>SUM(D8:G8)</f>
        <v>337.25799999999998</v>
      </c>
      <c r="I8" s="216">
        <f t="shared" ref="I8:I14" si="0">(H8-D8)*4</f>
        <v>1093.6363636363635</v>
      </c>
      <c r="J8" s="252">
        <f>H8*4</f>
        <v>1349.0319999999999</v>
      </c>
      <c r="K8" s="256">
        <f>J8*1.1</f>
        <v>1483.9352000000001</v>
      </c>
      <c r="L8" s="213">
        <f>'Tariffs 2020'!AT3</f>
        <v>0</v>
      </c>
      <c r="M8" s="213">
        <f>'Tariffs 2020'!AU3</f>
        <v>0</v>
      </c>
      <c r="N8" s="213">
        <f>'Tariffs 2020'!AV3</f>
        <v>0</v>
      </c>
      <c r="O8" s="213">
        <f>'Tariffs 2020'!AW3</f>
        <v>0</v>
      </c>
      <c r="P8" s="217" t="str">
        <f t="shared" ref="P8" si="1">IF(SUM(L8:O8)=0,"No discount",IF(L8&gt;0,"Guaranteed off bill",IF(M8&gt;0,"Guaranteed off usage",IF(N8&gt;0,"Pay-on-time off bill","Pay-on-time off usage"))))</f>
        <v>No discount</v>
      </c>
      <c r="Q8" s="217" t="str">
        <f t="shared" ref="Q8:Q14" si="2">IF(OR(A8="Origin Energy",A8="Red Energy",A8="Powershop"),"Inclusive","Exclusive")</f>
        <v>Exclusive</v>
      </c>
      <c r="R8" s="253">
        <f t="shared" ref="R8:R14" si="3">IF(AND(P8="Guaranteed off bill",Q8="Inclusive"),((J8*1.1)-((J8*1.1)*L8/100))/1.1,IF(AND(P8="Guaranteed off usage",Q8="Inclusive"),((J8*1.1)-((I8*1.1)*M8/100))/1.1,IF(AND(P8="Guaranteed off bill",Q8="Exclusive"),J8-(J8*L8/100),IF(AND(P8="Guaranteed off usage",Q8="Exclusive"),J8-(I8*M8/100),IF(Q8="Inclusive",((J8*1.1))/1.1,J8)))))</f>
        <v>1349.0319999999999</v>
      </c>
      <c r="S8" s="253">
        <f t="shared" ref="S8:S14" si="4">IF(AND(P8="Pay-on-time off bill",Q8="Inclusive"),((R8*1.1)-((R8*1.1)*N8/100))/1.1,IF(AND(P8="Pay-on-time off usage",Q8="Inclusive"),((R8*1.1)-((I8*1.1)*O8/100))/1.1,IF(AND(P8="Pay-on-time off bill",Q8="Exclusive"),R8-(R8*N8/100),IF(AND(P8="Pay-on-time off usage",Q8="Exclusive"),R8-(I8*O8/100),IF(Q8="Inclusive",((R8*1.1))/1.1,R8)))))</f>
        <v>1349.0319999999999</v>
      </c>
      <c r="T8" s="259">
        <f t="shared" ref="T8:U14" si="5">R8*1.1</f>
        <v>1483.9352000000001</v>
      </c>
      <c r="U8" s="259">
        <f t="shared" si="5"/>
        <v>1483.9352000000001</v>
      </c>
      <c r="V8" s="218">
        <f>'Tariffs 2020'!BF3</f>
        <v>0</v>
      </c>
      <c r="W8" s="218" t="str">
        <f>'Tariffs 2020'!BG3</f>
        <v>n</v>
      </c>
      <c r="X8" s="219" t="str">
        <f>'Tariffs 2020'!BP3</f>
        <v>N</v>
      </c>
    </row>
    <row r="9" spans="1:24" ht="20" customHeight="1" x14ac:dyDescent="0.15">
      <c r="A9" s="215" t="str">
        <f>'Tariffs 2020'!F4</f>
        <v xml:space="preserve">Alinta Energy </v>
      </c>
      <c r="B9" s="213" t="str">
        <f>'Tariffs 2020'!D4</f>
        <v>Envestra Adelaide</v>
      </c>
      <c r="C9" s="213" t="str">
        <f>'Tariffs 2020'!G4</f>
        <v>No Fuss</v>
      </c>
      <c r="D9" s="216">
        <f>91*'Tariffs 2020'!H4/100</f>
        <v>63.335999999999991</v>
      </c>
      <c r="E9" s="216">
        <f>IF('Tariffs 2020'!K4="",$C$5*'Tariffs 2020'!W4/100,IF($C$5&gt;='Tariffs 2020'!L4*1.5,('Tariffs 2020'!L4*1.5*'Tariffs 2020'!W4/100),($C$5*'Tariffs 2020'!W4/100)))</f>
        <v>150.95454545454544</v>
      </c>
      <c r="F9" s="216">
        <f>IF(AND('Tariffs 2020'!L4*1.5&gt;0,'Tariffs 2020'!M4*1.5&gt;0),IF($C$5&lt;'Tariffs 2020'!L4*1.5,0,IF(($C$5-'Tariffs 2020'!L4*1.5)&lt;=('Tariffs 2020'!M4*1.5+'Tariffs 2020'!L4*1.5),(($C$5-'Tariffs 2020'!L4*1.5)*'Tariffs 2020'!X4/100),(('Tariffs 2020'!M4*1.5)*'Tariffs 2020'!X4/100))),0)</f>
        <v>0</v>
      </c>
      <c r="G9" s="216">
        <f>IF(AND('Tariffs 2020'!P4&gt;0,'Tariffs 2020'!O4&gt;0),IF(($C$5&lt;(SUM('Tariffs 2020'!L4:P4))*1.5),(0),($C$5-(SUM('Tariffs 2020'!L4:P4)*1.5))*'Tariffs 2020'!AB4/100),IF(AND('Tariffs 2020'!O4&gt;0,'Tariffs 2020'!P4=""),IF(($C$5&lt; (SUM('Tariffs 2020'!L4:O4))*1.5),(0),($C$5-(SUM('Tariffs 2020'!L4:O4))*1.5)*'Tariffs 2020'!AA4/100),IF(AND('Tariffs 2020'!N4&gt;0,'Tariffs 2020'!O4=""),IF(($C$5&lt;(SUM('Tariffs 2020'!L4:N4))*1.5),(0),($C$5-(SUM('Tariffs 2020'!L4:N4))*1.5)*'Tariffs 2020'!Z4/100),IF(AND('Tariffs 2020'!M4&gt;0,'Tariffs 2020'!N4=""),IF(($C$5&lt;'Tariffs 2020'!M4*1.5+'Tariffs 2020'!L4*1.5),(0),(($C$5-('Tariffs 2020'!M4*1.5+'Tariffs 2020'!L4*1.5))*'Tariffs 2020'!Y4/100)),IF(AND('Tariffs 2020'!L4&gt;0,'Tariffs 2020'!M4=""&gt;0),IF(($C$5&lt;'Tariffs 2020'!L4*1.5),(0),($C$5-('Tariffs 2020'!L4*1.5))*'Tariffs 2020'!X4/100),0)))))</f>
        <v>77.454545454545453</v>
      </c>
      <c r="H9" s="216">
        <f t="shared" ref="H9:H19" si="6">SUM(D9:G9)</f>
        <v>291.74509090909089</v>
      </c>
      <c r="I9" s="216">
        <f t="shared" si="0"/>
        <v>913.63636363636363</v>
      </c>
      <c r="J9" s="252">
        <f t="shared" ref="J9:J19" si="7">H9*4</f>
        <v>1166.9803636363636</v>
      </c>
      <c r="K9" s="257">
        <f t="shared" ref="K9:K19" si="8">J9*1.1</f>
        <v>1283.6784</v>
      </c>
      <c r="L9" s="213">
        <f>'Tariffs 2020'!AT4</f>
        <v>0</v>
      </c>
      <c r="M9" s="213">
        <f>'Tariffs 2020'!AU4</f>
        <v>0</v>
      </c>
      <c r="N9" s="213">
        <f>'Tariffs 2020'!AV4</f>
        <v>0</v>
      </c>
      <c r="O9" s="213">
        <f>'Tariffs 2020'!AW4</f>
        <v>0</v>
      </c>
      <c r="P9" s="217" t="str">
        <f t="shared" ref="P9:P14" si="9">IF(SUM(L9:O9)=0,"No discount",IF(L9&gt;0,"Guaranteed off bill",IF(M9&gt;0,"Guaranteed off usage",IF(N9&gt;0,"Pay-on-time off bill","Pay-on-time off usage"))))</f>
        <v>No discount</v>
      </c>
      <c r="Q9" s="217" t="str">
        <f t="shared" si="2"/>
        <v>Exclusive</v>
      </c>
      <c r="R9" s="253">
        <f t="shared" si="3"/>
        <v>1166.9803636363636</v>
      </c>
      <c r="S9" s="253">
        <f t="shared" si="4"/>
        <v>1166.9803636363636</v>
      </c>
      <c r="T9" s="260">
        <f t="shared" si="5"/>
        <v>1283.6784</v>
      </c>
      <c r="U9" s="260">
        <f t="shared" si="5"/>
        <v>1283.6784</v>
      </c>
      <c r="V9" s="218">
        <f>'Tariffs 2020'!BF4</f>
        <v>0</v>
      </c>
      <c r="W9" s="218" t="str">
        <f>'Tariffs 2020'!BG4</f>
        <v>n</v>
      </c>
      <c r="X9" s="219" t="str">
        <f>'Tariffs 2020'!BP4</f>
        <v>N</v>
      </c>
    </row>
    <row r="10" spans="1:24" ht="20" customHeight="1" x14ac:dyDescent="0.15">
      <c r="A10" s="215" t="str">
        <f>'Tariffs 2020'!F5</f>
        <v>EnergyAustralia</v>
      </c>
      <c r="B10" s="213" t="str">
        <f>'Tariffs 2020'!D5</f>
        <v>Envestra Adelaide</v>
      </c>
      <c r="C10" s="213" t="str">
        <f>'Tariffs 2020'!G5</f>
        <v>Total Plan</v>
      </c>
      <c r="D10" s="216">
        <f>91*'Tariffs 2020'!H5/100</f>
        <v>73.254999999999995</v>
      </c>
      <c r="E10" s="216">
        <f>IF('Tariffs 2020'!K5="",$C$5*'Tariffs 2020'!W5/100,IF($C$5&gt;='Tariffs 2020'!L5*1.5,('Tariffs 2020'!L5*1.5*'Tariffs 2020'!W5/100),($C$5*'Tariffs 2020'!W5/100)))</f>
        <v>110.74581818181819</v>
      </c>
      <c r="F10" s="216">
        <f>IF(AND('Tariffs 2020'!L5*1.5&gt;0,'Tariffs 2020'!M5*1.5&gt;0),IF($C$5&lt;'Tariffs 2020'!L5*1.5,0,IF(($C$5-'Tariffs 2020'!L5*1.5)&lt;=('Tariffs 2020'!M5*1.5+'Tariffs 2020'!L5*1.5),(($C$5-'Tariffs 2020'!L5*1.5)*'Tariffs 2020'!X5/100),(('Tariffs 2020'!M5*1.5)*'Tariffs 2020'!X5/100))),0)</f>
        <v>76.510636363636351</v>
      </c>
      <c r="G10" s="216">
        <f>IF(AND('Tariffs 2020'!P5&gt;0,'Tariffs 2020'!O5&gt;0),IF(($C$5&lt;(SUM('Tariffs 2020'!L5:P5))*1.5),(0),($C$5-(SUM('Tariffs 2020'!L5:P5)*1.5))*'Tariffs 2020'!AB5/100),IF(AND('Tariffs 2020'!O5&gt;0,'Tariffs 2020'!P5=""),IF(($C$5&lt; (SUM('Tariffs 2020'!L5:O5))*1.5),(0),($C$5-(SUM('Tariffs 2020'!L5:O5))*1.5)*'Tariffs 2020'!AA5/100),IF(AND('Tariffs 2020'!N5&gt;0,'Tariffs 2020'!O5=""),IF(($C$5&lt;(SUM('Tariffs 2020'!L5:N5))*1.5),(0),($C$5-(SUM('Tariffs 2020'!L5:N5))*1.5)*'Tariffs 2020'!Z5/100),IF(AND('Tariffs 2020'!M5&gt;0,'Tariffs 2020'!N5=""),IF(($C$5&lt;'Tariffs 2020'!M5*1.5+'Tariffs 2020'!L5*1.5),(0),(($C$5-('Tariffs 2020'!M5*1.5+'Tariffs 2020'!L5*1.5))*'Tariffs 2020'!Y5/100)),IF(AND('Tariffs 2020'!L5&gt;0,'Tariffs 2020'!M5=""&gt;0),IF(($C$5&lt;'Tariffs 2020'!L5*1.5),(0),($C$5-('Tariffs 2020'!L5*1.5))*'Tariffs 2020'!X5/100),0)))))</f>
        <v>70.727454545454549</v>
      </c>
      <c r="H10" s="216">
        <f t="shared" si="6"/>
        <v>331.23890909090915</v>
      </c>
      <c r="I10" s="216">
        <f t="shared" si="0"/>
        <v>1031.9356363636366</v>
      </c>
      <c r="J10" s="252">
        <f t="shared" si="7"/>
        <v>1324.9556363636366</v>
      </c>
      <c r="K10" s="257">
        <f t="shared" si="8"/>
        <v>1457.4512000000004</v>
      </c>
      <c r="L10" s="213">
        <f>'Tariffs 2020'!AT5</f>
        <v>15</v>
      </c>
      <c r="M10" s="213">
        <f>'Tariffs 2020'!AU5</f>
        <v>0</v>
      </c>
      <c r="N10" s="213">
        <f>'Tariffs 2020'!AV5</f>
        <v>0</v>
      </c>
      <c r="O10" s="213">
        <f>'Tariffs 2020'!AW5</f>
        <v>0</v>
      </c>
      <c r="P10" s="217" t="str">
        <f t="shared" si="9"/>
        <v>Guaranteed off bill</v>
      </c>
      <c r="Q10" s="217" t="str">
        <f t="shared" si="2"/>
        <v>Exclusive</v>
      </c>
      <c r="R10" s="253">
        <f t="shared" si="3"/>
        <v>1126.2122909090911</v>
      </c>
      <c r="S10" s="253">
        <f t="shared" si="4"/>
        <v>1126.2122909090911</v>
      </c>
      <c r="T10" s="260">
        <f t="shared" si="5"/>
        <v>1238.8335200000004</v>
      </c>
      <c r="U10" s="260">
        <f t="shared" si="5"/>
        <v>1238.8335200000004</v>
      </c>
      <c r="V10" s="218">
        <f>'Tariffs 2020'!BF5</f>
        <v>0</v>
      </c>
      <c r="W10" s="218" t="str">
        <f>'Tariffs 2020'!BG5</f>
        <v>n</v>
      </c>
      <c r="X10" s="219" t="str">
        <f>'Tariffs 2020'!BP5</f>
        <v>N</v>
      </c>
    </row>
    <row r="11" spans="1:24" ht="20" customHeight="1" x14ac:dyDescent="0.15">
      <c r="A11" s="215" t="str">
        <f>'Tariffs 2020'!F6</f>
        <v>Origin Energy</v>
      </c>
      <c r="B11" s="213" t="str">
        <f>'Tariffs 2020'!D6</f>
        <v>Envestra Adelaide</v>
      </c>
      <c r="C11" s="213" t="str">
        <f>'Tariffs 2020'!G6</f>
        <v>Flexi</v>
      </c>
      <c r="D11" s="216">
        <f>91*'Tariffs 2020'!H6/100</f>
        <v>65.098090909090899</v>
      </c>
      <c r="E11" s="216">
        <f>IF('Tariffs 2020'!K6="",$C$5*'Tariffs 2020'!W6/100,IF($C$5&gt;='Tariffs 2020'!L6*1.5,('Tariffs 2020'!L6*1.5*'Tariffs 2020'!W6/100),($C$5*'Tariffs 2020'!W6/100)))</f>
        <v>184.39364209090908</v>
      </c>
      <c r="F11" s="216">
        <f>IF(AND('Tariffs 2020'!L6*1.5&gt;0,'Tariffs 2020'!M6*1.5&gt;0),IF($C$5&lt;'Tariffs 2020'!L6*1.5,0,IF(($C$5-'Tariffs 2020'!L6*1.5)&lt;=('Tariffs 2020'!M6*1.5+'Tariffs 2020'!L6*1.5),(($C$5-'Tariffs 2020'!L6*1.5)*'Tariffs 2020'!X6/100),(('Tariffs 2020'!M6*1.5)*'Tariffs 2020'!X6/100))),0)</f>
        <v>0</v>
      </c>
      <c r="G11" s="216">
        <f>IF(AND('Tariffs 2020'!P6&gt;0,'Tariffs 2020'!O6&gt;0),IF(($C$5&lt;(SUM('Tariffs 2020'!L6:P6))*1.5),(0),($C$5-(SUM('Tariffs 2020'!L6:P6)*1.5))*'Tariffs 2020'!AB6/100),IF(AND('Tariffs 2020'!O6&gt;0,'Tariffs 2020'!P6=""),IF(($C$5&lt; (SUM('Tariffs 2020'!L6:O6))*1.5),(0),($C$5-(SUM('Tariffs 2020'!L6:O6))*1.5)*'Tariffs 2020'!AA6/100),IF(AND('Tariffs 2020'!N6&gt;0,'Tariffs 2020'!O6=""),IF(($C$5&lt;(SUM('Tariffs 2020'!L6:N6))*1.5),(0),($C$5-(SUM('Tariffs 2020'!L6:N6))*1.5)*'Tariffs 2020'!Z6/100),IF(AND('Tariffs 2020'!M6&gt;0,'Tariffs 2020'!N6=""),IF(($C$5&lt;'Tariffs 2020'!M6*1.5+'Tariffs 2020'!L6*1.5),(0),(($C$5-('Tariffs 2020'!M6*1.5+'Tariffs 2020'!L6*1.5))*'Tariffs 2020'!Y6/100)),IF(AND('Tariffs 2020'!L6&gt;0,'Tariffs 2020'!M6=""&gt;0),IF(($C$5&lt;'Tariffs 2020'!L6*1.5),(0),($C$5-('Tariffs 2020'!L6*1.5))*'Tariffs 2020'!X6/100),0)))))</f>
        <v>60.676157999999987</v>
      </c>
      <c r="H11" s="216">
        <f t="shared" si="6"/>
        <v>310.16789099999994</v>
      </c>
      <c r="I11" s="216">
        <f t="shared" si="0"/>
        <v>980.27920036363616</v>
      </c>
      <c r="J11" s="252">
        <f t="shared" si="7"/>
        <v>1240.6715639999998</v>
      </c>
      <c r="K11" s="257">
        <f t="shared" si="8"/>
        <v>1364.7387203999999</v>
      </c>
      <c r="L11" s="213">
        <f>'Tariffs 2020'!AT6</f>
        <v>9</v>
      </c>
      <c r="M11" s="213">
        <f>'Tariffs 2020'!AU6</f>
        <v>0</v>
      </c>
      <c r="N11" s="213">
        <f>'Tariffs 2020'!AV6</f>
        <v>0</v>
      </c>
      <c r="O11" s="213">
        <f>'Tariffs 2020'!AW6</f>
        <v>0</v>
      </c>
      <c r="P11" s="217" t="str">
        <f t="shared" si="9"/>
        <v>Guaranteed off bill</v>
      </c>
      <c r="Q11" s="217" t="str">
        <f t="shared" si="2"/>
        <v>Inclusive</v>
      </c>
      <c r="R11" s="253">
        <f t="shared" si="3"/>
        <v>1129.01112324</v>
      </c>
      <c r="S11" s="253">
        <f t="shared" si="4"/>
        <v>1129.01112324</v>
      </c>
      <c r="T11" s="260">
        <f t="shared" si="5"/>
        <v>1241.912235564</v>
      </c>
      <c r="U11" s="260">
        <f t="shared" si="5"/>
        <v>1241.912235564</v>
      </c>
      <c r="V11" s="218">
        <f>'Tariffs 2020'!BF6</f>
        <v>0</v>
      </c>
      <c r="W11" s="227" t="str">
        <f>'Tariffs 2020'!BG6</f>
        <v>n</v>
      </c>
      <c r="X11" s="219" t="str">
        <f>'Tariffs 2020'!BP6</f>
        <v>N</v>
      </c>
    </row>
    <row r="12" spans="1:24" ht="20" customHeight="1" x14ac:dyDescent="0.15">
      <c r="A12" s="215" t="str">
        <f>'Tariffs 2020'!F7</f>
        <v>Simply Energy</v>
      </c>
      <c r="B12" s="213" t="str">
        <f>'Tariffs 2020'!D7</f>
        <v>Envestra Adelaide</v>
      </c>
      <c r="C12" s="213" t="str">
        <f>'Tariffs 2020'!G7</f>
        <v>Saver</v>
      </c>
      <c r="D12" s="216">
        <f>91*'Tariffs 2020'!H7/100</f>
        <v>52.482181818181807</v>
      </c>
      <c r="E12" s="216">
        <f>IF('Tariffs 2020'!K7="",$C$5*'Tariffs 2020'!W7/100,IF($C$5&gt;='Tariffs 2020'!L7*1.5,('Tariffs 2020'!L7*1.5*'Tariffs 2020'!W7/100),($C$5*'Tariffs 2020'!W7/100)))</f>
        <v>121.54227272727272</v>
      </c>
      <c r="F12" s="216">
        <f>IF(AND('Tariffs 2020'!L7*1.5&gt;0,'Tariffs 2020'!M7*1.5&gt;0),IF($C$5&lt;'Tariffs 2020'!L7*1.5,0,IF(($C$5-'Tariffs 2020'!L7*1.5)&lt;=('Tariffs 2020'!M7*1.5+'Tariffs 2020'!L7*1.5),(($C$5-'Tariffs 2020'!L7*1.5)*'Tariffs 2020'!X7/100),(('Tariffs 2020'!M7*1.5)*'Tariffs 2020'!X7/100))),0)</f>
        <v>60.166772727272722</v>
      </c>
      <c r="G12" s="216">
        <f>IF(AND('Tariffs 2020'!P7&gt;0,'Tariffs 2020'!O7&gt;0),IF(($C$5&lt;(SUM('Tariffs 2020'!L7:P7))*1.5),(0),($C$5-(SUM('Tariffs 2020'!L7:P7)*1.5))*'Tariffs 2020'!AB7/100),IF(AND('Tariffs 2020'!O7&gt;0,'Tariffs 2020'!P7=""),IF(($C$5&lt; (SUM('Tariffs 2020'!L7:O7))*1.5),(0),($C$5-(SUM('Tariffs 2020'!L7:O7))*1.5)*'Tariffs 2020'!AA7/100),IF(AND('Tariffs 2020'!N7&gt;0,'Tariffs 2020'!O7=""),IF(($C$5&lt;(SUM('Tariffs 2020'!L7:N7))*1.5),(0),($C$5-(SUM('Tariffs 2020'!L7:N7))*1.5)*'Tariffs 2020'!Z7/100),IF(AND('Tariffs 2020'!M7&gt;0,'Tariffs 2020'!N7=""),IF(($C$5&lt;'Tariffs 2020'!M7*1.5+'Tariffs 2020'!L7*1.5),(0),(($C$5-('Tariffs 2020'!M7*1.5+'Tariffs 2020'!L7*1.5))*'Tariffs 2020'!Y7/100)),IF(AND('Tariffs 2020'!L7&gt;0,'Tariffs 2020'!M7=""&gt;0),IF(($C$5&lt;'Tariffs 2020'!L7*1.5),(0),($C$5-('Tariffs 2020'!L7*1.5))*'Tariffs 2020'!X7/100),0)))))</f>
        <v>56.482772727272724</v>
      </c>
      <c r="H12" s="216">
        <f t="shared" si="6"/>
        <v>290.67399999999998</v>
      </c>
      <c r="I12" s="216">
        <f t="shared" si="0"/>
        <v>952.76727272727271</v>
      </c>
      <c r="J12" s="252">
        <f t="shared" si="7"/>
        <v>1162.6959999999999</v>
      </c>
      <c r="K12" s="257">
        <f t="shared" si="8"/>
        <v>1278.9656</v>
      </c>
      <c r="L12" s="213">
        <f>'Tariffs 2020'!AT7</f>
        <v>0</v>
      </c>
      <c r="M12" s="213">
        <f>'Tariffs 2020'!AU7</f>
        <v>8</v>
      </c>
      <c r="N12" s="213">
        <f>'Tariffs 2020'!AV7</f>
        <v>0</v>
      </c>
      <c r="O12" s="213">
        <f>'Tariffs 2020'!AW7</f>
        <v>0</v>
      </c>
      <c r="P12" s="217" t="str">
        <f t="shared" si="9"/>
        <v>Guaranteed off usage</v>
      </c>
      <c r="Q12" s="217" t="str">
        <f t="shared" si="2"/>
        <v>Exclusive</v>
      </c>
      <c r="R12" s="253">
        <f t="shared" si="3"/>
        <v>1086.4746181818182</v>
      </c>
      <c r="S12" s="253">
        <f t="shared" si="4"/>
        <v>1086.4746181818182</v>
      </c>
      <c r="T12" s="260">
        <f t="shared" si="5"/>
        <v>1195.1220800000001</v>
      </c>
      <c r="U12" s="260">
        <f t="shared" si="5"/>
        <v>1195.1220800000001</v>
      </c>
      <c r="V12" s="218">
        <f>'Tariffs 2020'!BF7</f>
        <v>0</v>
      </c>
      <c r="W12" s="218" t="str">
        <f>'Tariffs 2020'!BG7</f>
        <v>n</v>
      </c>
      <c r="X12" s="219" t="str">
        <f>'Tariffs 2020'!BP7</f>
        <v>N</v>
      </c>
    </row>
    <row r="13" spans="1:24" ht="20" customHeight="1" x14ac:dyDescent="0.15">
      <c r="A13" s="213" t="str">
        <f>'Tariffs 2020'!F8</f>
        <v>Red Energy</v>
      </c>
      <c r="B13" s="213" t="str">
        <f>'Tariffs 2020'!D8</f>
        <v>Envestra Adelaide</v>
      </c>
      <c r="C13" s="213" t="str">
        <f>'Tariffs 2020'!G8</f>
        <v>Living Energy Saver</v>
      </c>
      <c r="D13" s="216">
        <f>91*'Tariffs 2020'!H8/100</f>
        <v>61.879999999999988</v>
      </c>
      <c r="E13" s="216">
        <f>IF('Tariffs 2020'!K8="",$C$5*'Tariffs 2020'!W8/100,IF($C$5&gt;='Tariffs 2020'!L8*1.5,('Tariffs 2020'!L8*1.5*'Tariffs 2020'!W8/100),($C$5*'Tariffs 2020'!W8/100)))</f>
        <v>164.16900000000001</v>
      </c>
      <c r="F13" s="216">
        <f>IF(AND('Tariffs 2020'!L8*1.5&gt;0,'Tariffs 2020'!M8*1.5&gt;0),IF($C$5&lt;'Tariffs 2020'!L8*1.5,0,IF(($C$5-'Tariffs 2020'!L8*1.5)&lt;=('Tariffs 2020'!M8*1.5+'Tariffs 2020'!L8*1.5),(($C$5-'Tariffs 2020'!L8*1.5)*'Tariffs 2020'!X8/100),(('Tariffs 2020'!M8*1.5)*'Tariffs 2020'!X8/100))),0)</f>
        <v>0</v>
      </c>
      <c r="G13" s="216">
        <f>IF(AND('Tariffs 2020'!P8&gt;0,'Tariffs 2020'!O8&gt;0),IF(($C$5&lt;(SUM('Tariffs 2020'!L8:P8))*1.5),(0),($C$5-(SUM('Tariffs 2020'!L8:P8)*1.5))*'Tariffs 2020'!AB8/100),IF(AND('Tariffs 2020'!O8&gt;0,'Tariffs 2020'!P8=""),IF(($C$5&lt; (SUM('Tariffs 2020'!L8:O8))*1.5),(0),($C$5-(SUM('Tariffs 2020'!L8:O8))*1.5)*'Tariffs 2020'!AA8/100),IF(AND('Tariffs 2020'!N8&gt;0,'Tariffs 2020'!O8=""),IF(($C$5&lt;(SUM('Tariffs 2020'!L8:N8))*1.5),(0),($C$5-(SUM('Tariffs 2020'!L8:N8))*1.5)*'Tariffs 2020'!Z8/100),IF(AND('Tariffs 2020'!M8&gt;0,'Tariffs 2020'!N8=""),IF(($C$5&lt;'Tariffs 2020'!M8*1.5+'Tariffs 2020'!L8*1.5),(0),(($C$5-('Tariffs 2020'!M8*1.5+'Tariffs 2020'!L8*1.5))*'Tariffs 2020'!Y8/100)),IF(AND('Tariffs 2020'!L8&gt;0,'Tariffs 2020'!M8=""&gt;0),IF(($C$5&lt;'Tariffs 2020'!L8*1.5),(0),($C$5-('Tariffs 2020'!L8*1.5))*'Tariffs 2020'!X8/100),0)))))</f>
        <v>55.133999999999993</v>
      </c>
      <c r="H13" s="216">
        <f t="shared" si="6"/>
        <v>281.18299999999999</v>
      </c>
      <c r="I13" s="216">
        <f t="shared" si="0"/>
        <v>877.21199999999999</v>
      </c>
      <c r="J13" s="252">
        <f t="shared" si="7"/>
        <v>1124.732</v>
      </c>
      <c r="K13" s="257">
        <f t="shared" si="8"/>
        <v>1237.2052000000001</v>
      </c>
      <c r="L13" s="213">
        <f>'Tariffs 2020'!AT8</f>
        <v>0</v>
      </c>
      <c r="M13" s="213">
        <f>'Tariffs 2020'!AU8</f>
        <v>0</v>
      </c>
      <c r="N13" s="213">
        <f>'Tariffs 2020'!AV8</f>
        <v>0</v>
      </c>
      <c r="O13" s="213">
        <f>'Tariffs 2020'!AW8</f>
        <v>0</v>
      </c>
      <c r="P13" s="217" t="str">
        <f t="shared" si="9"/>
        <v>No discount</v>
      </c>
      <c r="Q13" s="217" t="str">
        <f t="shared" si="2"/>
        <v>Inclusive</v>
      </c>
      <c r="R13" s="253">
        <f t="shared" si="3"/>
        <v>1124.732</v>
      </c>
      <c r="S13" s="253">
        <f t="shared" si="4"/>
        <v>1124.732</v>
      </c>
      <c r="T13" s="260">
        <f t="shared" si="5"/>
        <v>1237.2052000000001</v>
      </c>
      <c r="U13" s="260">
        <f t="shared" si="5"/>
        <v>1237.2052000000001</v>
      </c>
      <c r="V13" s="218">
        <f>'Tariffs 2020'!BF8</f>
        <v>0</v>
      </c>
      <c r="W13" s="218" t="str">
        <f>'Tariffs 2020'!BG8</f>
        <v>n</v>
      </c>
      <c r="X13" s="219" t="str">
        <f>'Tariffs 2020'!BP8</f>
        <v>N</v>
      </c>
    </row>
    <row r="14" spans="1:24" ht="20" customHeight="1" x14ac:dyDescent="0.15">
      <c r="A14" s="213" t="str">
        <f>'Tariffs 2020'!F9</f>
        <v>Lumo Energy</v>
      </c>
      <c r="B14" s="213" t="str">
        <f>'Tariffs 2020'!D9</f>
        <v>Envestra Adelaide</v>
      </c>
      <c r="C14" s="213" t="str">
        <f>'Tariffs 2020'!G9</f>
        <v>Basic</v>
      </c>
      <c r="D14" s="216">
        <f>91*'Tariffs 2020'!H9/100</f>
        <v>67.34</v>
      </c>
      <c r="E14" s="216">
        <f>IF('Tariffs 2020'!K9="",$C$5*'Tariffs 2020'!W9/100,IF($C$5&gt;='Tariffs 2020'!L9*1.5,('Tariffs 2020'!L9*1.5*'Tariffs 2020'!W9/100),($C$5*'Tariffs 2020'!W9/100)))</f>
        <v>157.09090909090907</v>
      </c>
      <c r="F14" s="216">
        <f>IF(AND('Tariffs 2020'!L9*1.5&gt;0,'Tariffs 2020'!M9*1.5&gt;0),IF($C$5&lt;'Tariffs 2020'!L9*1.5,0,IF(($C$5-'Tariffs 2020'!L9*1.5)&lt;=('Tariffs 2020'!M9*1.5+'Tariffs 2020'!L9*1.5),(($C$5-'Tariffs 2020'!L9*1.5)*'Tariffs 2020'!X9/100),(('Tariffs 2020'!M9*1.5)*'Tariffs 2020'!X9/100))),0)</f>
        <v>0</v>
      </c>
      <c r="G14" s="216">
        <f>IF(AND('Tariffs 2020'!P9&gt;0,'Tariffs 2020'!O9&gt;0),IF(($C$5&lt;(SUM('Tariffs 2020'!L9:P9))*1.5),(0),($C$5-(SUM('Tariffs 2020'!L9:P9)*1.5))*'Tariffs 2020'!AB9/100),IF(AND('Tariffs 2020'!O9&gt;0,'Tariffs 2020'!P9=""),IF(($C$5&lt; (SUM('Tariffs 2020'!L9:O9))*1.5),(0),($C$5-(SUM('Tariffs 2020'!L9:O9))*1.5)*'Tariffs 2020'!AA9/100),IF(AND('Tariffs 2020'!N9&gt;0,'Tariffs 2020'!O9=""),IF(($C$5&lt;(SUM('Tariffs 2020'!L9:N9))*1.5),(0),($C$5-(SUM('Tariffs 2020'!L9:N9))*1.5)*'Tariffs 2020'!Z9/100),IF(AND('Tariffs 2020'!M9&gt;0,'Tariffs 2020'!N9=""),IF(($C$5&lt;'Tariffs 2020'!M9*1.5+'Tariffs 2020'!L9*1.5),(0),(($C$5-('Tariffs 2020'!M9*1.5+'Tariffs 2020'!L9*1.5))*'Tariffs 2020'!Y9/100)),IF(AND('Tariffs 2020'!L9&gt;0,'Tariffs 2020'!M9=""&gt;0),IF(($C$5&lt;'Tariffs 2020'!L9*1.5),(0),($C$5-('Tariffs 2020'!L9*1.5))*'Tariffs 2020'!X9/100),0)))))</f>
        <v>56.18181818181818</v>
      </c>
      <c r="H14" s="216">
        <f t="shared" ref="H14" si="10">SUM(D14:G14)</f>
        <v>280.61272727272723</v>
      </c>
      <c r="I14" s="216">
        <f t="shared" si="0"/>
        <v>853.09090909090889</v>
      </c>
      <c r="J14" s="252">
        <f t="shared" si="7"/>
        <v>1122.4509090909089</v>
      </c>
      <c r="K14" s="257">
        <f t="shared" si="8"/>
        <v>1234.6959999999999</v>
      </c>
      <c r="L14" s="213">
        <f>'Tariffs 2020'!AT9</f>
        <v>0</v>
      </c>
      <c r="M14" s="213">
        <f>'Tariffs 2020'!AU9</f>
        <v>0</v>
      </c>
      <c r="N14" s="213">
        <f>'Tariffs 2020'!AV9</f>
        <v>0</v>
      </c>
      <c r="O14" s="213">
        <f>'Tariffs 2020'!AW9</f>
        <v>0</v>
      </c>
      <c r="P14" s="217" t="str">
        <f t="shared" si="9"/>
        <v>No discount</v>
      </c>
      <c r="Q14" s="217" t="str">
        <f t="shared" si="2"/>
        <v>Exclusive</v>
      </c>
      <c r="R14" s="253">
        <f t="shared" si="3"/>
        <v>1122.4509090909089</v>
      </c>
      <c r="S14" s="253">
        <f t="shared" si="4"/>
        <v>1122.4509090909089</v>
      </c>
      <c r="T14" s="260">
        <f t="shared" si="5"/>
        <v>1234.6959999999999</v>
      </c>
      <c r="U14" s="260">
        <f t="shared" si="5"/>
        <v>1234.6959999999999</v>
      </c>
      <c r="V14" s="218">
        <f>'Tariffs 2020'!BF9</f>
        <v>0</v>
      </c>
      <c r="W14" s="218" t="str">
        <f>'Tariffs 2020'!BG9</f>
        <v>n</v>
      </c>
      <c r="X14" s="219" t="str">
        <f>'Tariffs 2020'!BP9</f>
        <v>N</v>
      </c>
    </row>
    <row r="15" spans="1:24" ht="20" customHeight="1" thickBot="1" x14ac:dyDescent="0.2">
      <c r="A15" s="281" t="str">
        <f>'Tariffs 2020'!F10</f>
        <v>GloBird Energy</v>
      </c>
      <c r="B15" s="281" t="str">
        <f>'Tariffs 2020'!D10</f>
        <v>Envestra Adelaide</v>
      </c>
      <c r="C15" s="281" t="str">
        <f>'Tariffs 2020'!G10</f>
        <v>GloSave</v>
      </c>
      <c r="D15" s="282">
        <f>91*'Tariffs 2020'!H10/100</f>
        <v>68.25</v>
      </c>
      <c r="E15" s="282">
        <f>IF('Tariffs 2020'!K10="",$C$5*'Tariffs 2020'!W10/100,IF($C$5&gt;='Tariffs 2020'!L10*1.5,('Tariffs 2020'!L10*1.5*'Tariffs 2020'!W10/100),($C$5*'Tariffs 2020'!W10/100)))</f>
        <v>164.16</v>
      </c>
      <c r="F15" s="282">
        <f>IF(AND('Tariffs 2020'!L10*1.5&gt;0,'Tariffs 2020'!M10*1.5&gt;0),IF($C$5&lt;'Tariffs 2020'!L10*1.5,0,IF(($C$5-'Tariffs 2020'!L10*1.5)&lt;=('Tariffs 2020'!M10*1.5+'Tariffs 2020'!L10*1.5),(($C$5-'Tariffs 2020'!L10*1.5)*'Tariffs 2020'!X10/100),(('Tariffs 2020'!M10*1.5)*'Tariffs 2020'!X10/100))),0)</f>
        <v>0</v>
      </c>
      <c r="G15" s="282">
        <f>IF(AND('Tariffs 2020'!P10&gt;0,'Tariffs 2020'!O10&gt;0),IF(($C$5&lt;(SUM('Tariffs 2020'!L10:P10))*1.5),(0),($C$5-(SUM('Tariffs 2020'!L10:P10)*1.5))*'Tariffs 2020'!AB10/100),IF(AND('Tariffs 2020'!O10&gt;0,'Tariffs 2020'!P10=""),IF(($C$5&lt; (SUM('Tariffs 2020'!L10:O10))*1.5),(0),($C$5-(SUM('Tariffs 2020'!L10:O10))*1.5)*'Tariffs 2020'!AA10/100),IF(AND('Tariffs 2020'!N10&gt;0,'Tariffs 2020'!O10=""),IF(($C$5&lt;(SUM('Tariffs 2020'!L10:N10))*1.5),(0),($C$5-(SUM('Tariffs 2020'!L10:N10))*1.5)*'Tariffs 2020'!Z10/100),IF(AND('Tariffs 2020'!M10&gt;0,'Tariffs 2020'!N10=""),IF(($C$5&lt;'Tariffs 2020'!M10*1.5+'Tariffs 2020'!L10*1.5),(0),(($C$5-('Tariffs 2020'!M10*1.5+'Tariffs 2020'!L10*1.5))*'Tariffs 2020'!Y10/100)),IF(AND('Tariffs 2020'!L10&gt;0,'Tariffs 2020'!M10=""&gt;0),IF(($C$5&lt;'Tariffs 2020'!L10*1.5),(0),($C$5-('Tariffs 2020'!L10*1.5))*'Tariffs 2020'!X10/100),0)))))</f>
        <v>66.283636363636361</v>
      </c>
      <c r="H15" s="282">
        <f t="shared" ref="H15" si="11">SUM(D15:G15)</f>
        <v>298.69363636363636</v>
      </c>
      <c r="I15" s="282">
        <f t="shared" ref="I15" si="12">(H15-D15)*4</f>
        <v>921.77454545454543</v>
      </c>
      <c r="J15" s="283">
        <f t="shared" ref="J15" si="13">H15*4</f>
        <v>1194.7745454545454</v>
      </c>
      <c r="K15" s="284">
        <f t="shared" ref="K15" si="14">J15*1.1</f>
        <v>1314.2520000000002</v>
      </c>
      <c r="L15" s="281">
        <f>'Tariffs 2020'!AT10</f>
        <v>0</v>
      </c>
      <c r="M15" s="281">
        <f>'Tariffs 2020'!AU10</f>
        <v>0</v>
      </c>
      <c r="N15" s="281">
        <f>'Tariffs 2020'!AV10</f>
        <v>5</v>
      </c>
      <c r="O15" s="281">
        <f>'Tariffs 2020'!AW10</f>
        <v>0</v>
      </c>
      <c r="P15" s="285" t="str">
        <f t="shared" ref="P15" si="15">IF(SUM(L15:O15)=0,"No discount",IF(L15&gt;0,"Guaranteed off bill",IF(M15&gt;0,"Guaranteed off usage",IF(N15&gt;0,"Pay-on-time off bill","Pay-on-time off usage"))))</f>
        <v>Pay-on-time off bill</v>
      </c>
      <c r="Q15" s="285" t="str">
        <f t="shared" ref="Q15" si="16">IF(OR(A15="Origin Energy",A15="Red Energy",A15="Powershop"),"Inclusive","Exclusive")</f>
        <v>Exclusive</v>
      </c>
      <c r="R15" s="286">
        <f t="shared" ref="R15" si="17">IF(AND(P15="Guaranteed off bill",Q15="Inclusive"),((J15*1.1)-((J15*1.1)*L15/100))/1.1,IF(AND(P15="Guaranteed off usage",Q15="Inclusive"),((J15*1.1)-((I15*1.1)*M15/100))/1.1,IF(AND(P15="Guaranteed off bill",Q15="Exclusive"),J15-(J15*L15/100),IF(AND(P15="Guaranteed off usage",Q15="Exclusive"),J15-(I15*M15/100),IF(Q15="Inclusive",((J15*1.1))/1.1,J15)))))</f>
        <v>1194.7745454545454</v>
      </c>
      <c r="S15" s="286">
        <f t="shared" ref="S15" si="18">IF(AND(P15="Pay-on-time off bill",Q15="Inclusive"),((R15*1.1)-((R15*1.1)*N15/100))/1.1,IF(AND(P15="Pay-on-time off usage",Q15="Inclusive"),((R15*1.1)-((I15*1.1)*O15/100))/1.1,IF(AND(P15="Pay-on-time off bill",Q15="Exclusive"),R15-(R15*N15/100),IF(AND(P15="Pay-on-time off usage",Q15="Exclusive"),R15-(I15*O15/100),IF(Q15="Inclusive",((R15*1.1))/1.1,R15)))))</f>
        <v>1135.0358181818181</v>
      </c>
      <c r="T15" s="287">
        <f t="shared" ref="T15" si="19">R15*1.1</f>
        <v>1314.2520000000002</v>
      </c>
      <c r="U15" s="287">
        <f t="shared" ref="U15" si="20">S15*1.1</f>
        <v>1248.5393999999999</v>
      </c>
      <c r="V15" s="288">
        <f>'Tariffs 2020'!BF10</f>
        <v>0</v>
      </c>
      <c r="W15" s="288" t="str">
        <f>'Tariffs 2020'!BG10</f>
        <v>n</v>
      </c>
      <c r="X15" s="289" t="str">
        <f>'Tariffs 2020'!BP10</f>
        <v>N</v>
      </c>
    </row>
    <row r="16" spans="1:24" ht="20" customHeight="1" thickTop="1" thickBot="1" x14ac:dyDescent="0.2">
      <c r="A16" s="290" t="str">
        <f>'Tariffs 2020'!F11</f>
        <v>Origin Energy</v>
      </c>
      <c r="B16" s="281" t="str">
        <f>'Tariffs 2020'!D11</f>
        <v>Envestra Port Pirie</v>
      </c>
      <c r="C16" s="281" t="str">
        <f>'Tariffs 2020'!G11</f>
        <v>Flexi</v>
      </c>
      <c r="D16" s="282">
        <f>91*'Tariffs 2020'!H11/100</f>
        <v>65.098090909090899</v>
      </c>
      <c r="E16" s="282">
        <f>IF('Tariffs 2020'!K11="",$C$5*'Tariffs 2020'!W11/100,IF($C$5&gt;='Tariffs 2020'!L11*1.5,('Tariffs 2020'!L11*1.5*'Tariffs 2020'!W11/100),($C$5*'Tariffs 2020'!W11/100)))</f>
        <v>184.39364209090908</v>
      </c>
      <c r="F16" s="282">
        <f>IF(AND('Tariffs 2020'!L11*1.5&gt;0,'Tariffs 2020'!M11*1.5&gt;0),IF($C$5&lt;'Tariffs 2020'!L11*1.5,0,IF(($C$5-'Tariffs 2020'!L11*1.5)&lt;=('Tariffs 2020'!M11*1.5+'Tariffs 2020'!L11*1.5),(($C$5-'Tariffs 2020'!L11*1.5)*'Tariffs 2020'!X11/100),(('Tariffs 2020'!M11*1.5)*'Tariffs 2020'!X11/100))),0)</f>
        <v>0</v>
      </c>
      <c r="G16" s="282">
        <f>IF(AND('Tariffs 2020'!P11&gt;0,'Tariffs 2020'!O11&gt;0),IF(($C$5&lt;(SUM('Tariffs 2020'!L11:P11))*1.5),(0),($C$5-(SUM('Tariffs 2020'!L11:P11)*1.5))*'Tariffs 2020'!AB11/100),IF(AND('Tariffs 2020'!O11&gt;0,'Tariffs 2020'!P11=""),IF(($C$5&lt; (SUM('Tariffs 2020'!L11:O11))*1.5),(0),($C$5-(SUM('Tariffs 2020'!L11:O11))*1.5)*'Tariffs 2020'!AA11/100),IF(AND('Tariffs 2020'!N11&gt;0,'Tariffs 2020'!O11=""),IF(($C$5&lt;(SUM('Tariffs 2020'!L11:N11))*1.5),(0),($C$5-(SUM('Tariffs 2020'!L11:N11))*1.5)*'Tariffs 2020'!Z11/100),IF(AND('Tariffs 2020'!M11&gt;0,'Tariffs 2020'!N11=""),IF(($C$5&lt;'Tariffs 2020'!M11*1.5+'Tariffs 2020'!L11*1.5),(0),(($C$5-('Tariffs 2020'!M11*1.5+'Tariffs 2020'!L11*1.5))*'Tariffs 2020'!Y11/100)),IF(AND('Tariffs 2020'!L11&gt;0,'Tariffs 2020'!M11=""&gt;0),IF(($C$5&lt;'Tariffs 2020'!L11*1.5),(0),($C$5-('Tariffs 2020'!L11*1.5))*'Tariffs 2020'!X11/100),0)))))</f>
        <v>60.676157999999987</v>
      </c>
      <c r="H16" s="282">
        <f t="shared" si="6"/>
        <v>310.16789099999994</v>
      </c>
      <c r="I16" s="282">
        <f>(H16-D16)*4</f>
        <v>980.27920036363616</v>
      </c>
      <c r="J16" s="283">
        <f t="shared" si="7"/>
        <v>1240.6715639999998</v>
      </c>
      <c r="K16" s="291">
        <f t="shared" si="8"/>
        <v>1364.7387203999999</v>
      </c>
      <c r="L16" s="281">
        <f>'Tariffs 2020'!AT11</f>
        <v>9</v>
      </c>
      <c r="M16" s="281">
        <f>'Tariffs 2020'!AU11</f>
        <v>0</v>
      </c>
      <c r="N16" s="281">
        <f>'Tariffs 2020'!AV11</f>
        <v>0</v>
      </c>
      <c r="O16" s="281">
        <f>'Tariffs 2020'!AW11</f>
        <v>0</v>
      </c>
      <c r="P16" s="285" t="str">
        <f t="shared" ref="P16" si="21">IF(SUM(L16:O16)=0,"No discount",IF(L16&gt;0,"Guaranteed off bill",IF(M16&gt;0,"Guaranteed off usage",IF(N16&gt;0,"Pay-on-time off bill","Pay-on-time off usage"))))</f>
        <v>Guaranteed off bill</v>
      </c>
      <c r="Q16" s="285" t="str">
        <f>IF(OR(A16="Origin Energy",A16="Red Energy",A16="Powershop"),"Inclusive","Exclusive")</f>
        <v>Inclusive</v>
      </c>
      <c r="R16" s="286">
        <f t="shared" ref="R16" si="22">IF(AND(P16="Guaranteed off bill",Q16="Inclusive"),((J16*1.1)-((J16*1.1)*L16/100))/1.1,IF(AND(P16="Guaranteed off usage",Q16="Inclusive"),((J16*1.1)-((I16*1.1)*M16/100))/1.1,IF(AND(P16="Guaranteed off bill",Q16="Exclusive"),J16-(J16*L16/100),IF(AND(P16="Guaranteed off usage",Q16="Exclusive"),J16-(I16*M16/100),IF(Q16="Inclusive",((J16*1.1))/1.1,J16)))))</f>
        <v>1129.01112324</v>
      </c>
      <c r="S16" s="286">
        <f t="shared" ref="S16" si="23">IF(AND(P16="Pay-on-time off bill",Q16="Inclusive"),((R16*1.1)-((R16*1.1)*N16/100))/1.1,IF(AND(P16="Pay-on-time off usage",Q16="Inclusive"),((R16*1.1)-((I16*1.1)*O16/100))/1.1,IF(AND(P16="Pay-on-time off bill",Q16="Exclusive"),R16-(R16*N16/100),IF(AND(P16="Pay-on-time off usage",Q16="Exclusive"),R16-(I16*O16/100),IF(Q16="Inclusive",((R16*1.1))/1.1,R16)))))</f>
        <v>1129.01112324</v>
      </c>
      <c r="T16" s="292">
        <f t="shared" ref="T16:U16" si="24">R16*1.1</f>
        <v>1241.912235564</v>
      </c>
      <c r="U16" s="292">
        <f t="shared" si="24"/>
        <v>1241.912235564</v>
      </c>
      <c r="V16" s="288">
        <f>'Tariffs 2020'!BF11</f>
        <v>0</v>
      </c>
      <c r="W16" s="293" t="str">
        <f>'Tariffs 2020'!BG11</f>
        <v>n</v>
      </c>
      <c r="X16" s="289" t="str">
        <f>'Tariffs 2020'!BP11</f>
        <v>N</v>
      </c>
    </row>
    <row r="17" spans="1:24" ht="20" customHeight="1" thickTop="1" thickBot="1" x14ac:dyDescent="0.2">
      <c r="A17" s="290" t="str">
        <f>'Tariffs 2020'!F12</f>
        <v>Origin Energy</v>
      </c>
      <c r="B17" s="281" t="str">
        <f>'Tariffs 2020'!D12</f>
        <v>Envestra Whyalla</v>
      </c>
      <c r="C17" s="281" t="str">
        <f>'Tariffs 2020'!G12</f>
        <v>Flexi</v>
      </c>
      <c r="D17" s="282">
        <f>91*'Tariffs 2020'!H12/100</f>
        <v>65.098090909090899</v>
      </c>
      <c r="E17" s="282">
        <f>IF('Tariffs 2020'!K12="",$C$5*'Tariffs 2020'!W12/100,IF($C$5&gt;='Tariffs 2020'!L12*1.5,('Tariffs 2020'!L12*1.5*'Tariffs 2020'!W12/100),($C$5*'Tariffs 2020'!W12/100)))</f>
        <v>184.39364209090908</v>
      </c>
      <c r="F17" s="282">
        <f>IF(AND('Tariffs 2020'!L12*1.5&gt;0,'Tariffs 2020'!M12*1.5&gt;0),IF($C$5&lt;'Tariffs 2020'!L12*1.5,0,IF(($C$5-'Tariffs 2020'!L12*1.5)&lt;=('Tariffs 2020'!M12*1.5+'Tariffs 2020'!L12*1.5),(($C$5-'Tariffs 2020'!L12*1.5)*'Tariffs 2020'!X12/100),(('Tariffs 2020'!M12*1.5)*'Tariffs 2020'!X12/100))),0)</f>
        <v>0</v>
      </c>
      <c r="G17" s="282">
        <f>IF(AND('Tariffs 2020'!P12&gt;0,'Tariffs 2020'!O12&gt;0),IF(($C$5&lt;(SUM('Tariffs 2020'!L12:P12))*1.5),(0),($C$5-(SUM('Tariffs 2020'!L12:P12)*1.5))*'Tariffs 2020'!AB12/100),IF(AND('Tariffs 2020'!O12&gt;0,'Tariffs 2020'!P12=""),IF(($C$5&lt; (SUM('Tariffs 2020'!L12:O12))*1.5),(0),($C$5-(SUM('Tariffs 2020'!L12:O12))*1.5)*'Tariffs 2020'!AA12/100),IF(AND('Tariffs 2020'!N12&gt;0,'Tariffs 2020'!O12=""),IF(($C$5&lt;(SUM('Tariffs 2020'!L12:N12))*1.5),(0),($C$5-(SUM('Tariffs 2020'!L12:N12))*1.5)*'Tariffs 2020'!Z12/100),IF(AND('Tariffs 2020'!M12&gt;0,'Tariffs 2020'!N12=""),IF(($C$5&lt;'Tariffs 2020'!M12*1.5+'Tariffs 2020'!L12*1.5),(0),(($C$5-('Tariffs 2020'!M12*1.5+'Tariffs 2020'!L12*1.5))*'Tariffs 2020'!Y12/100)),IF(AND('Tariffs 2020'!L12&gt;0,'Tariffs 2020'!M12=""&gt;0),IF(($C$5&lt;'Tariffs 2020'!L12*1.5),(0),($C$5-('Tariffs 2020'!L12*1.5))*'Tariffs 2020'!X12/100),0)))))</f>
        <v>60.676157999999987</v>
      </c>
      <c r="H17" s="282">
        <f t="shared" si="6"/>
        <v>310.16789099999994</v>
      </c>
      <c r="I17" s="282">
        <f>(H17-D17)*4</f>
        <v>980.27920036363616</v>
      </c>
      <c r="J17" s="283">
        <f t="shared" si="7"/>
        <v>1240.6715639999998</v>
      </c>
      <c r="K17" s="291">
        <f t="shared" si="8"/>
        <v>1364.7387203999999</v>
      </c>
      <c r="L17" s="281">
        <f>'Tariffs 2020'!AT12</f>
        <v>9</v>
      </c>
      <c r="M17" s="281">
        <f>'Tariffs 2020'!AU12</f>
        <v>0</v>
      </c>
      <c r="N17" s="281">
        <f>'Tariffs 2020'!AV12</f>
        <v>0</v>
      </c>
      <c r="O17" s="281">
        <f>'Tariffs 2020'!AW12</f>
        <v>0</v>
      </c>
      <c r="P17" s="285" t="str">
        <f t="shared" ref="P17" si="25">IF(SUM(L17:O17)=0,"No discount",IF(L17&gt;0,"Guaranteed off bill",IF(M17&gt;0,"Guaranteed off usage",IF(N17&gt;0,"Pay-on-time off bill","Pay-on-time off usage"))))</f>
        <v>Guaranteed off bill</v>
      </c>
      <c r="Q17" s="285" t="str">
        <f>IF(OR(A17="Origin Energy",A17="Red Energy",A17="Powershop"),"Inclusive","Exclusive")</f>
        <v>Inclusive</v>
      </c>
      <c r="R17" s="286">
        <f t="shared" ref="R17" si="26">IF(AND(P17="Guaranteed off bill",Q17="Inclusive"),((J17*1.1)-((J17*1.1)*L17/100))/1.1,IF(AND(P17="Guaranteed off usage",Q17="Inclusive"),((J17*1.1)-((I17*1.1)*M17/100))/1.1,IF(AND(P17="Guaranteed off bill",Q17="Exclusive"),J17-(J17*L17/100),IF(AND(P17="Guaranteed off usage",Q17="Exclusive"),J17-(I17*M17/100),IF(Q17="Inclusive",((J17*1.1))/1.1,J17)))))</f>
        <v>1129.01112324</v>
      </c>
      <c r="S17" s="286">
        <f t="shared" ref="S17" si="27">IF(AND(P17="Pay-on-time off bill",Q17="Inclusive"),((R17*1.1)-((R17*1.1)*N17/100))/1.1,IF(AND(P17="Pay-on-time off usage",Q17="Inclusive"),((R17*1.1)-((I17*1.1)*O17/100))/1.1,IF(AND(P17="Pay-on-time off bill",Q17="Exclusive"),R17-(R17*N17/100),IF(AND(P17="Pay-on-time off usage",Q17="Exclusive"),R17-(I17*O17/100),IF(Q17="Inclusive",((R17*1.1))/1.1,R17)))))</f>
        <v>1129.01112324</v>
      </c>
      <c r="T17" s="292">
        <f t="shared" ref="T17:U17" si="28">R17*1.1</f>
        <v>1241.912235564</v>
      </c>
      <c r="U17" s="292">
        <f t="shared" si="28"/>
        <v>1241.912235564</v>
      </c>
      <c r="V17" s="288">
        <f>'Tariffs 2020'!BF12</f>
        <v>0</v>
      </c>
      <c r="W17" s="293" t="str">
        <f>'Tariffs 2020'!BG12</f>
        <v>n</v>
      </c>
      <c r="X17" s="289" t="str">
        <f>'Tariffs 2020'!BP12</f>
        <v>N</v>
      </c>
    </row>
    <row r="18" spans="1:24" ht="20" customHeight="1" thickTop="1" thickBot="1" x14ac:dyDescent="0.2">
      <c r="A18" s="290" t="str">
        <f>'Tariffs 2020'!F13</f>
        <v>Origin Energy</v>
      </c>
      <c r="B18" s="281" t="str">
        <f>'Tariffs 2020'!D13</f>
        <v>Envestra Mt Gambier</v>
      </c>
      <c r="C18" s="281" t="str">
        <f>'Tariffs 2020'!G13</f>
        <v>Flexi</v>
      </c>
      <c r="D18" s="282">
        <f>91*'Tariffs 2020'!H13/100</f>
        <v>65.098090909090899</v>
      </c>
      <c r="E18" s="282">
        <f>IF('Tariffs 2020'!K13="",$C$5*'Tariffs 2020'!W13/100,IF($C$5&gt;='Tariffs 2020'!L13*1.5,('Tariffs 2020'!L13*1.5*'Tariffs 2020'!W13/100),($C$5*'Tariffs 2020'!W13/100)))</f>
        <v>184.39364209090908</v>
      </c>
      <c r="F18" s="282">
        <f>IF(AND('Tariffs 2020'!L13*1.5&gt;0,'Tariffs 2020'!M13*1.5&gt;0),IF($C$5&lt;'Tariffs 2020'!L13*1.5,0,IF(($C$5-'Tariffs 2020'!L13*1.5)&lt;=('Tariffs 2020'!M13*1.5+'Tariffs 2020'!L13*1.5),(($C$5-'Tariffs 2020'!L13*1.5)*'Tariffs 2020'!X13/100),(('Tariffs 2020'!M13*1.5)*'Tariffs 2020'!X13/100))),0)</f>
        <v>0</v>
      </c>
      <c r="G18" s="282">
        <f>IF(AND('Tariffs 2020'!P13&gt;0,'Tariffs 2020'!O13&gt;0),IF(($C$5&lt;(SUM('Tariffs 2020'!L13:P13))*1.5),(0),($C$5-(SUM('Tariffs 2020'!L13:P13)*1.5))*'Tariffs 2020'!AB13/100),IF(AND('Tariffs 2020'!O13&gt;0,'Tariffs 2020'!P13=""),IF(($C$5&lt; (SUM('Tariffs 2020'!L13:O13))*1.5),(0),($C$5-(SUM('Tariffs 2020'!L13:O13))*1.5)*'Tariffs 2020'!AA13/100),IF(AND('Tariffs 2020'!N13&gt;0,'Tariffs 2020'!O13=""),IF(($C$5&lt;(SUM('Tariffs 2020'!L13:N13))*1.5),(0),($C$5-(SUM('Tariffs 2020'!L13:N13))*1.5)*'Tariffs 2020'!Z13/100),IF(AND('Tariffs 2020'!M13&gt;0,'Tariffs 2020'!N13=""),IF(($C$5&lt;'Tariffs 2020'!M13*1.5+'Tariffs 2020'!L13*1.5),(0),(($C$5-('Tariffs 2020'!M13*1.5+'Tariffs 2020'!L13*1.5))*'Tariffs 2020'!Y13/100)),IF(AND('Tariffs 2020'!L13&gt;0,'Tariffs 2020'!M13=""&gt;0),IF(($C$5&lt;'Tariffs 2020'!L13*1.5),(0),($C$5-('Tariffs 2020'!L13*1.5))*'Tariffs 2020'!X13/100),0)))))</f>
        <v>60.676157999999987</v>
      </c>
      <c r="H18" s="282">
        <f t="shared" si="6"/>
        <v>310.16789099999994</v>
      </c>
      <c r="I18" s="282">
        <f>(H18-D18)*4</f>
        <v>980.27920036363616</v>
      </c>
      <c r="J18" s="283">
        <f t="shared" si="7"/>
        <v>1240.6715639999998</v>
      </c>
      <c r="K18" s="291">
        <f t="shared" si="8"/>
        <v>1364.7387203999999</v>
      </c>
      <c r="L18" s="281">
        <f>'Tariffs 2020'!AT13</f>
        <v>9</v>
      </c>
      <c r="M18" s="281">
        <f>'Tariffs 2020'!AU13</f>
        <v>0</v>
      </c>
      <c r="N18" s="281">
        <f>'Tariffs 2020'!AV13</f>
        <v>0</v>
      </c>
      <c r="O18" s="281">
        <f>'Tariffs 2020'!AW13</f>
        <v>0</v>
      </c>
      <c r="P18" s="285" t="str">
        <f t="shared" ref="P18" si="29">IF(SUM(L18:O18)=0,"No discount",IF(L18&gt;0,"Guaranteed off bill",IF(M18&gt;0,"Guaranteed off usage",IF(N18&gt;0,"Pay-on-time off bill","Pay-on-time off usage"))))</f>
        <v>Guaranteed off bill</v>
      </c>
      <c r="Q18" s="285" t="str">
        <f>IF(OR(A18="Origin Energy",A18="Red Energy",A18="Powershop"),"Inclusive","Exclusive")</f>
        <v>Inclusive</v>
      </c>
      <c r="R18" s="286">
        <f t="shared" ref="R18" si="30">IF(AND(P18="Guaranteed off bill",Q18="Inclusive"),((J18*1.1)-((J18*1.1)*L18/100))/1.1,IF(AND(P18="Guaranteed off usage",Q18="Inclusive"),((J18*1.1)-((I18*1.1)*M18/100))/1.1,IF(AND(P18="Guaranteed off bill",Q18="Exclusive"),J18-(J18*L18/100),IF(AND(P18="Guaranteed off usage",Q18="Exclusive"),J18-(I18*M18/100),IF(Q18="Inclusive",((J18*1.1))/1.1,J18)))))</f>
        <v>1129.01112324</v>
      </c>
      <c r="S18" s="286">
        <f t="shared" ref="S18" si="31">IF(AND(P18="Pay-on-time off bill",Q18="Inclusive"),((R18*1.1)-((R18*1.1)*N18/100))/1.1,IF(AND(P18="Pay-on-time off usage",Q18="Inclusive"),((R18*1.1)-((I18*1.1)*O18/100))/1.1,IF(AND(P18="Pay-on-time off bill",Q18="Exclusive"),R18-(R18*N18/100),IF(AND(P18="Pay-on-time off usage",Q18="Exclusive"),R18-(I18*O18/100),IF(Q18="Inclusive",((R18*1.1))/1.1,R18)))))</f>
        <v>1129.01112324</v>
      </c>
      <c r="T18" s="292">
        <f t="shared" ref="T18:U18" si="32">R18*1.1</f>
        <v>1241.912235564</v>
      </c>
      <c r="U18" s="292">
        <f t="shared" si="32"/>
        <v>1241.912235564</v>
      </c>
      <c r="V18" s="288">
        <f>'Tariffs 2020'!BF13</f>
        <v>0</v>
      </c>
      <c r="W18" s="293" t="str">
        <f>'Tariffs 2020'!BG13</f>
        <v>n</v>
      </c>
      <c r="X18" s="289" t="str">
        <f>'Tariffs 2020'!BP13</f>
        <v>N</v>
      </c>
    </row>
    <row r="19" spans="1:24" ht="20" customHeight="1" thickTop="1" thickBot="1" x14ac:dyDescent="0.2">
      <c r="A19" s="220" t="str">
        <f>'Tariffs 2020'!F14</f>
        <v>Origin Energy</v>
      </c>
      <c r="B19" s="221" t="str">
        <f>'Tariffs 2020'!D14</f>
        <v>Envestra Riverland</v>
      </c>
      <c r="C19" s="221" t="str">
        <f>'Tariffs 2020'!G14</f>
        <v>Flexi</v>
      </c>
      <c r="D19" s="222">
        <f>91*'Tariffs 2020'!H14/100</f>
        <v>65.098090909090899</v>
      </c>
      <c r="E19" s="222">
        <f>IF('Tariffs 2020'!K14="",$C$5*'Tariffs 2020'!W14/100,IF($C$5&gt;='Tariffs 2020'!L14*1.5,('Tariffs 2020'!L14*1.5*'Tariffs 2020'!W14/100),($C$5*'Tariffs 2020'!W14/100)))</f>
        <v>184.39364209090908</v>
      </c>
      <c r="F19" s="222">
        <f>IF(AND('Tariffs 2020'!L14*1.5&gt;0,'Tariffs 2020'!M14*1.5&gt;0),IF($C$5&lt;'Tariffs 2020'!L14*1.5,0,IF(($C$5-'Tariffs 2020'!L14*1.5)&lt;=('Tariffs 2020'!M14*1.5+'Tariffs 2020'!L14*1.5),(($C$5-'Tariffs 2020'!L14*1.5)*'Tariffs 2020'!X14/100),(('Tariffs 2020'!M14*1.5)*'Tariffs 2020'!X14/100))),0)</f>
        <v>0</v>
      </c>
      <c r="G19" s="222">
        <f>IF(AND('Tariffs 2020'!P14&gt;0,'Tariffs 2020'!O14&gt;0),IF(($C$5&lt;(SUM('Tariffs 2020'!L14:P14))*1.5),(0),($C$5-(SUM('Tariffs 2020'!L14:P14)*1.5))*'Tariffs 2020'!AB14/100),IF(AND('Tariffs 2020'!O14&gt;0,'Tariffs 2020'!P14=""),IF(($C$5&lt; (SUM('Tariffs 2020'!L14:O14))*1.5),(0),($C$5-(SUM('Tariffs 2020'!L14:O14))*1.5)*'Tariffs 2020'!AA14/100),IF(AND('Tariffs 2020'!N14&gt;0,'Tariffs 2020'!O14=""),IF(($C$5&lt;(SUM('Tariffs 2020'!L14:N14))*1.5),(0),($C$5-(SUM('Tariffs 2020'!L14:N14))*1.5)*'Tariffs 2020'!Z14/100),IF(AND('Tariffs 2020'!M14&gt;0,'Tariffs 2020'!N14=""),IF(($C$5&lt;'Tariffs 2020'!M14*1.5+'Tariffs 2020'!L14*1.5),(0),(($C$5-('Tariffs 2020'!M14*1.5+'Tariffs 2020'!L14*1.5))*'Tariffs 2020'!Y14/100)),IF(AND('Tariffs 2020'!L14&gt;0,'Tariffs 2020'!M14=""&gt;0),IF(($C$5&lt;'Tariffs 2020'!L14*1.5),(0),($C$5-('Tariffs 2020'!L14*1.5))*'Tariffs 2020'!X14/100),0)))))</f>
        <v>60.676157999999987</v>
      </c>
      <c r="H19" s="222">
        <f t="shared" si="6"/>
        <v>310.16789099999994</v>
      </c>
      <c r="I19" s="222">
        <f>(H19-D19)*4</f>
        <v>980.27920036363616</v>
      </c>
      <c r="J19" s="223">
        <f t="shared" si="7"/>
        <v>1240.6715639999998</v>
      </c>
      <c r="K19" s="258">
        <f t="shared" si="8"/>
        <v>1364.7387203999999</v>
      </c>
      <c r="L19" s="221">
        <f>'Tariffs 2020'!AT14</f>
        <v>9</v>
      </c>
      <c r="M19" s="221">
        <f>'Tariffs 2020'!AU14</f>
        <v>0</v>
      </c>
      <c r="N19" s="221">
        <f>'Tariffs 2020'!AV14</f>
        <v>0</v>
      </c>
      <c r="O19" s="221">
        <f>'Tariffs 2020'!AW14</f>
        <v>0</v>
      </c>
      <c r="P19" s="224" t="str">
        <f t="shared" ref="P19" si="33">IF(SUM(L19:O19)=0,"No discount",IF(L19&gt;0,"Guaranteed off bill",IF(M19&gt;0,"Guaranteed off usage",IF(N19&gt;0,"Pay-on-time off bill","Pay-on-time off usage"))))</f>
        <v>Guaranteed off bill</v>
      </c>
      <c r="Q19" s="224" t="str">
        <f>IF(OR(A19="Origin Energy",A19="Red Energy",A19="Powershop"),"Inclusive","Exclusive")</f>
        <v>Inclusive</v>
      </c>
      <c r="R19" s="254">
        <f t="shared" ref="R19" si="34">IF(AND(P19="Guaranteed off bill",Q19="Inclusive"),((J19*1.1)-((J19*1.1)*L19/100))/1.1,IF(AND(P19="Guaranteed off usage",Q19="Inclusive"),((J19*1.1)-((I19*1.1)*M19/100))/1.1,IF(AND(P19="Guaranteed off bill",Q19="Exclusive"),J19-(J19*L19/100),IF(AND(P19="Guaranteed off usage",Q19="Exclusive"),J19-(I19*M19/100),IF(Q19="Inclusive",((J19*1.1))/1.1,J19)))))</f>
        <v>1129.01112324</v>
      </c>
      <c r="S19" s="255">
        <f t="shared" ref="S19" si="35">IF(AND(P19="Pay-on-time off bill",Q19="Inclusive"),((R19*1.1)-((R19*1.1)*N19/100))/1.1,IF(AND(P19="Pay-on-time off usage",Q19="Inclusive"),((R19*1.1)-((I19*1.1)*O19/100))/1.1,IF(AND(P19="Pay-on-time off bill",Q19="Exclusive"),R19-(R19*N19/100),IF(AND(P19="Pay-on-time off usage",Q19="Exclusive"),R19-(I19*O19/100),IF(Q19="Inclusive",((R19*1.1))/1.1,R19)))))</f>
        <v>1129.01112324</v>
      </c>
      <c r="T19" s="261">
        <f t="shared" ref="T19:U19" si="36">R19*1.1</f>
        <v>1241.912235564</v>
      </c>
      <c r="U19" s="261">
        <f t="shared" si="36"/>
        <v>1241.912235564</v>
      </c>
      <c r="V19" s="225">
        <f>'Tariffs 2020'!BF14</f>
        <v>0</v>
      </c>
      <c r="W19" s="228" t="str">
        <f>'Tariffs 2020'!BG14</f>
        <v>n</v>
      </c>
      <c r="X19" s="226" t="str">
        <f>'Tariffs 2020'!BP14</f>
        <v>N</v>
      </c>
    </row>
  </sheetData>
  <sheetProtection algorithmName="SHA-512" hashValue="sbO1UjqrkQFYyIYTNIiCLNAx4f5e/TLYEJ2GcXyqCzCkU9dDzbh8q1mv7cP4JcQfARqv1VvWxBhyXrl8UGZ/IA==" saltValue="pRlhXm/eeweEv/epgWdkYg==" spinCount="100000" sheet="1" objects="1" scenarios="1"/>
  <mergeCells count="1">
    <mergeCell ref="I2:J2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D9831-FB42-274F-8BA8-A77C798FFE83}">
  <sheetPr codeName="Sheet3"/>
  <dimension ref="A1:V18"/>
  <sheetViews>
    <sheetView workbookViewId="0">
      <selection activeCell="B26" sqref="B26"/>
    </sheetView>
  </sheetViews>
  <sheetFormatPr baseColWidth="10" defaultRowHeight="13" x14ac:dyDescent="0.15"/>
  <cols>
    <col min="1" max="1" width="14.83203125" style="151" customWidth="1"/>
    <col min="2" max="2" width="19.1640625" style="151" customWidth="1"/>
    <col min="3" max="3" width="14.1640625" style="151" customWidth="1"/>
    <col min="4" max="8" width="11.83203125" style="151" customWidth="1"/>
    <col min="9" max="10" width="11.83203125" style="151" hidden="1" customWidth="1"/>
    <col min="11" max="15" width="11.83203125" style="151" customWidth="1"/>
    <col min="16" max="17" width="11.83203125" style="151" hidden="1" customWidth="1"/>
    <col min="18" max="22" width="11.83203125" style="151" customWidth="1"/>
    <col min="23" max="16384" width="10.83203125" style="151"/>
  </cols>
  <sheetData>
    <row r="1" spans="1:22" ht="14" x14ac:dyDescent="0.15">
      <c r="A1" s="150" t="s">
        <v>12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</row>
    <row r="2" spans="1:22" ht="14" x14ac:dyDescent="0.15">
      <c r="A2" s="152" t="s">
        <v>97</v>
      </c>
      <c r="B2" s="152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</row>
    <row r="3" spans="1:22" ht="15" thickBot="1" x14ac:dyDescent="0.2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3"/>
    </row>
    <row r="4" spans="1:22" ht="14" x14ac:dyDescent="0.15">
      <c r="A4" s="102" t="s">
        <v>25</v>
      </c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5"/>
    </row>
    <row r="5" spans="1:22" ht="14" x14ac:dyDescent="0.15">
      <c r="A5" s="106" t="s">
        <v>358</v>
      </c>
      <c r="B5" s="60"/>
      <c r="C5" s="280">
        <v>5250</v>
      </c>
      <c r="D5" s="23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107"/>
    </row>
    <row r="6" spans="1:22" ht="14" x14ac:dyDescent="0.15">
      <c r="A6" s="106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107"/>
    </row>
    <row r="7" spans="1:22" ht="75" x14ac:dyDescent="0.15">
      <c r="A7" s="262" t="s">
        <v>71</v>
      </c>
      <c r="B7" s="263" t="s">
        <v>75</v>
      </c>
      <c r="C7" s="263" t="s">
        <v>45</v>
      </c>
      <c r="D7" s="264" t="s">
        <v>46</v>
      </c>
      <c r="E7" s="264" t="s">
        <v>90</v>
      </c>
      <c r="F7" s="265" t="s">
        <v>91</v>
      </c>
      <c r="G7" s="265" t="s">
        <v>92</v>
      </c>
      <c r="H7" s="265" t="s">
        <v>276</v>
      </c>
      <c r="I7" s="275" t="s">
        <v>79</v>
      </c>
      <c r="J7" s="276" t="s">
        <v>18</v>
      </c>
      <c r="K7" s="266" t="s">
        <v>378</v>
      </c>
      <c r="L7" s="268" t="s">
        <v>19</v>
      </c>
      <c r="M7" s="269" t="s">
        <v>20</v>
      </c>
      <c r="N7" s="269" t="s">
        <v>21</v>
      </c>
      <c r="O7" s="269" t="s">
        <v>22</v>
      </c>
      <c r="P7" s="274" t="s">
        <v>80</v>
      </c>
      <c r="Q7" s="274" t="s">
        <v>81</v>
      </c>
      <c r="R7" s="270" t="s">
        <v>82</v>
      </c>
      <c r="S7" s="270" t="s">
        <v>83</v>
      </c>
      <c r="T7" s="271" t="s">
        <v>23</v>
      </c>
      <c r="U7" s="272" t="s">
        <v>24</v>
      </c>
      <c r="V7" s="273" t="s">
        <v>99</v>
      </c>
    </row>
    <row r="8" spans="1:22" ht="20" customHeight="1" x14ac:dyDescent="0.15">
      <c r="A8" s="108" t="str">
        <f>'Tariffs 2019'!F2</f>
        <v>AGL</v>
      </c>
      <c r="B8" s="23" t="str">
        <f>'Tariffs 2019'!D2</f>
        <v>Envestra SA</v>
      </c>
      <c r="C8" s="23" t="str">
        <f>'Tariffs 2019'!G2</f>
        <v>Smart Saver</v>
      </c>
      <c r="D8" s="33">
        <f>91*'Tariffs 2019'!H2/100</f>
        <v>65.61099999999999</v>
      </c>
      <c r="E8" s="33">
        <f>C5*'Tariffs 2019'!O2/100</f>
        <v>200.45454545454544</v>
      </c>
      <c r="F8" s="33">
        <v>0</v>
      </c>
      <c r="G8" s="33">
        <v>0</v>
      </c>
      <c r="H8" s="33">
        <f>SUM(D8:G8)</f>
        <v>266.06554545454543</v>
      </c>
      <c r="I8" s="33">
        <f t="shared" ref="I8:I13" si="0">(H8-D8)*4</f>
        <v>801.81818181818176</v>
      </c>
      <c r="J8" s="109">
        <f>H8*4</f>
        <v>1064.2621818181817</v>
      </c>
      <c r="K8" s="277">
        <f>J8*1.1</f>
        <v>1170.6884</v>
      </c>
      <c r="L8" s="23">
        <f>'Tariffs 2019'!AL2</f>
        <v>3</v>
      </c>
      <c r="M8" s="23">
        <f>'Tariffs 2019'!AM2</f>
        <v>0</v>
      </c>
      <c r="N8" s="23">
        <f>'Tariffs 2019'!AN2</f>
        <v>0</v>
      </c>
      <c r="O8" s="23">
        <f>'Tariffs 2019'!AO2</f>
        <v>0</v>
      </c>
      <c r="P8" s="109">
        <f>J8-(J8*L8/100)</f>
        <v>1032.3343163636362</v>
      </c>
      <c r="Q8" s="110">
        <f>P8</f>
        <v>1032.3343163636362</v>
      </c>
      <c r="R8" s="111">
        <f>P8*1.1</f>
        <v>1135.5677479999999</v>
      </c>
      <c r="S8" s="111">
        <f>Q8*1.1</f>
        <v>1135.5677479999999</v>
      </c>
      <c r="T8" s="112">
        <f>'Tariffs 2019'!AX2</f>
        <v>0</v>
      </c>
      <c r="U8" s="112" t="str">
        <f>'Tariffs 2019'!AY2</f>
        <v>n</v>
      </c>
      <c r="V8" s="113" t="str">
        <f>'Tariffs 2019'!BH2</f>
        <v>N</v>
      </c>
    </row>
    <row r="9" spans="1:22" ht="20" customHeight="1" x14ac:dyDescent="0.15">
      <c r="A9" s="108" t="str">
        <f>'Tariffs 2019'!F3</f>
        <v xml:space="preserve">Alinta Energy </v>
      </c>
      <c r="B9" s="23" t="str">
        <f>'Tariffs 2019'!D3</f>
        <v>Envestra Adelaide</v>
      </c>
      <c r="C9" s="23" t="str">
        <f>'Tariffs 2019'!G3</f>
        <v>No Fuss</v>
      </c>
      <c r="D9" s="33">
        <f>91*'Tariffs 2019'!H3/100</f>
        <v>63.335999999999991</v>
      </c>
      <c r="E9" s="33">
        <f>IF($C$5&gt;='Tariffs 2019'!J3,('Tariffs 2019'!J3*'Tariffs 2019'!O3/100),($C$5*'Tariffs 2019'!O3/100))</f>
        <v>150.95454545454544</v>
      </c>
      <c r="F9" s="33">
        <v>0</v>
      </c>
      <c r="G9" s="33">
        <f>IF(($C$5&lt;'Tariffs 2019'!K3),(0),($C$5-'Tariffs 2019'!K3)*'Tariffs 2019'!P3/100)</f>
        <v>19.363636363636363</v>
      </c>
      <c r="H9" s="33">
        <f t="shared" ref="H9:H18" si="1">SUM(D9:G9)</f>
        <v>233.6541818181818</v>
      </c>
      <c r="I9" s="33">
        <f t="shared" si="0"/>
        <v>681.27272727272725</v>
      </c>
      <c r="J9" s="109">
        <f t="shared" ref="J9:J18" si="2">H9*4</f>
        <v>934.61672727272719</v>
      </c>
      <c r="K9" s="278">
        <f t="shared" ref="K9:K18" si="3">J9*1.1</f>
        <v>1028.0784000000001</v>
      </c>
      <c r="L9" s="23">
        <f>'Tariffs 2019'!AL3</f>
        <v>0</v>
      </c>
      <c r="M9" s="23">
        <f>'Tariffs 2019'!AM3</f>
        <v>0</v>
      </c>
      <c r="N9" s="23">
        <f>'Tariffs 2019'!AN3</f>
        <v>0</v>
      </c>
      <c r="O9" s="23">
        <f>'Tariffs 2019'!AO3</f>
        <v>0</v>
      </c>
      <c r="P9" s="109">
        <f t="shared" ref="P9:P12" si="4">J9</f>
        <v>934.61672727272719</v>
      </c>
      <c r="Q9" s="110">
        <f>P9</f>
        <v>934.61672727272719</v>
      </c>
      <c r="R9" s="111">
        <f t="shared" ref="R9:S12" si="5">P9*1.1</f>
        <v>1028.0784000000001</v>
      </c>
      <c r="S9" s="111">
        <f t="shared" si="5"/>
        <v>1028.0784000000001</v>
      </c>
      <c r="T9" s="112">
        <f>'Tariffs 2019'!AX3</f>
        <v>0</v>
      </c>
      <c r="U9" s="112" t="str">
        <f>'Tariffs 2019'!AY3</f>
        <v>n</v>
      </c>
      <c r="V9" s="113" t="str">
        <f>'Tariffs 2019'!BH3</f>
        <v>N</v>
      </c>
    </row>
    <row r="10" spans="1:22" ht="20" customHeight="1" x14ac:dyDescent="0.15">
      <c r="A10" s="108" t="str">
        <f>'Tariffs 2019'!F4</f>
        <v>EnergyAustralia</v>
      </c>
      <c r="B10" s="23" t="str">
        <f>'Tariffs 2019'!D4</f>
        <v>Envestra Adelaide</v>
      </c>
      <c r="C10" s="23" t="str">
        <f>'Tariffs 2019'!G4</f>
        <v>Total Plan</v>
      </c>
      <c r="D10" s="33">
        <f>91*'Tariffs 2019'!H4/100</f>
        <v>72.072000000000003</v>
      </c>
      <c r="E10" s="33">
        <f>IF($C$5&gt;='Tariffs 2019'!J4,('Tariffs 2019'!J4*'Tariffs 2019'!O4/100),($C$5*'Tariffs 2019'!O4/100))</f>
        <v>110.5</v>
      </c>
      <c r="F10" s="33">
        <f>IF($C$5&lt;'Tariffs 2019'!J4,0,IF(($C$5-'Tariffs 2019'!J4)&lt;='Tariffs 2019'!K4,(($C$5-'Tariffs 2019'!J4)*'Tariffs 2019'!P4/100),(('Tariffs 2019'!K4-'Tariffs 2019'!J4)*'Tariffs 2019'!P4/100)))</f>
        <v>105.05</v>
      </c>
      <c r="G10" s="33">
        <f>IF(($C$5&lt;'Tariffs 2019'!K4),(0),($C$5-'Tariffs 2019'!K4)*'Tariffs 2019'!Q4/100)</f>
        <v>17.024999999999999</v>
      </c>
      <c r="H10" s="33">
        <f t="shared" si="1"/>
        <v>304.64699999999999</v>
      </c>
      <c r="I10" s="33">
        <f t="shared" si="0"/>
        <v>930.3</v>
      </c>
      <c r="J10" s="109">
        <f t="shared" si="2"/>
        <v>1218.588</v>
      </c>
      <c r="K10" s="278">
        <f t="shared" si="3"/>
        <v>1340.4468000000002</v>
      </c>
      <c r="L10" s="23">
        <f>'Tariffs 2019'!AL4</f>
        <v>15</v>
      </c>
      <c r="M10" s="23">
        <f>'Tariffs 2019'!AM4</f>
        <v>0</v>
      </c>
      <c r="N10" s="23">
        <f>'Tariffs 2019'!AN4</f>
        <v>0</v>
      </c>
      <c r="O10" s="23">
        <f>'Tariffs 2019'!AO4</f>
        <v>0</v>
      </c>
      <c r="P10" s="109">
        <f>J10-(J10*L10/100)</f>
        <v>1035.7998</v>
      </c>
      <c r="Q10" s="110">
        <f>P10</f>
        <v>1035.7998</v>
      </c>
      <c r="R10" s="111">
        <f t="shared" si="5"/>
        <v>1139.3797800000002</v>
      </c>
      <c r="S10" s="111">
        <f t="shared" si="5"/>
        <v>1139.3797800000002</v>
      </c>
      <c r="T10" s="112">
        <f>'Tariffs 2019'!AX4</f>
        <v>0</v>
      </c>
      <c r="U10" s="112" t="str">
        <f>'Tariffs 2019'!AY4</f>
        <v>n</v>
      </c>
      <c r="V10" s="113" t="str">
        <f>'Tariffs 2019'!BH4</f>
        <v>N</v>
      </c>
    </row>
    <row r="11" spans="1:22" ht="20" customHeight="1" x14ac:dyDescent="0.15">
      <c r="A11" s="108" t="str">
        <f>'Tariffs 2019'!F5</f>
        <v>Origin Energy</v>
      </c>
      <c r="B11" s="23" t="str">
        <f>'Tariffs 2019'!D5</f>
        <v>Envestra Adelaide</v>
      </c>
      <c r="C11" s="23" t="str">
        <f>'Tariffs 2019'!G5</f>
        <v>Flexi</v>
      </c>
      <c r="D11" s="33">
        <f>91*'Tariffs 2019'!H5/100</f>
        <v>65.098090909090899</v>
      </c>
      <c r="E11" s="33">
        <f>IF($C$5&gt;='Tariffs 2019'!J5,('Tariffs 2019'!J5*'Tariffs 2019'!O5/100),($C$5*'Tariffs 2019'!O5/100))</f>
        <v>186.95454545454544</v>
      </c>
      <c r="F11" s="33">
        <v>0</v>
      </c>
      <c r="G11" s="33">
        <f>IF(($C$5&lt;'Tariffs 2019'!K5),(0),($C$5-'Tariffs 2019'!K5)*'Tariffs 2019'!P5/100)</f>
        <v>14.863636363636363</v>
      </c>
      <c r="H11" s="33">
        <f t="shared" si="1"/>
        <v>266.91627272727271</v>
      </c>
      <c r="I11" s="33">
        <f t="shared" si="0"/>
        <v>807.27272727272725</v>
      </c>
      <c r="J11" s="109">
        <f t="shared" si="2"/>
        <v>1067.6650909090908</v>
      </c>
      <c r="K11" s="278">
        <f t="shared" si="3"/>
        <v>1174.4316000000001</v>
      </c>
      <c r="L11" s="23">
        <f>'Tariffs 2019'!AL5</f>
        <v>9</v>
      </c>
      <c r="M11" s="23">
        <f>'Tariffs 2019'!AM5</f>
        <v>0</v>
      </c>
      <c r="N11" s="23">
        <f>'Tariffs 2019'!AN5</f>
        <v>0</v>
      </c>
      <c r="O11" s="23">
        <f>'Tariffs 2019'!AO5</f>
        <v>0</v>
      </c>
      <c r="P11" s="109">
        <f>K11-(K11*L11/100)</f>
        <v>1068.7327560000001</v>
      </c>
      <c r="Q11" s="110">
        <f>P11</f>
        <v>1068.7327560000001</v>
      </c>
      <c r="R11" s="111">
        <f>P11</f>
        <v>1068.7327560000001</v>
      </c>
      <c r="S11" s="111">
        <f>Q11</f>
        <v>1068.7327560000001</v>
      </c>
      <c r="T11" s="112">
        <f>'Tariffs 2019'!AX5</f>
        <v>0</v>
      </c>
      <c r="U11" s="112" t="str">
        <f>'Tariffs 2019'!AY5</f>
        <v>n</v>
      </c>
      <c r="V11" s="113" t="str">
        <f>'Tariffs 2019'!BH5</f>
        <v>N</v>
      </c>
    </row>
    <row r="12" spans="1:22" ht="20" customHeight="1" x14ac:dyDescent="0.15">
      <c r="A12" s="108" t="str">
        <f>'Tariffs 2019'!F6</f>
        <v>Simply Energy</v>
      </c>
      <c r="B12" s="23" t="str">
        <f>'Tariffs 2019'!D6</f>
        <v>Envestra Adelaide</v>
      </c>
      <c r="C12" s="23" t="str">
        <f>'Tariffs 2019'!G6</f>
        <v>Plus</v>
      </c>
      <c r="D12" s="33">
        <f>91*'Tariffs 2019'!H6/100</f>
        <v>56.428272727272727</v>
      </c>
      <c r="E12" s="33">
        <f>IF($C$5&gt;='Tariffs 2019'!J6,('Tariffs 2019'!J6*'Tariffs 2019'!O6/100),($C$5*'Tariffs 2019'!O6/100))</f>
        <v>130.68181818181816</v>
      </c>
      <c r="F12" s="33">
        <f>IF($C$5&lt;'Tariffs 2019'!J6,0,IF(($C$5-'Tariffs 2019'!J6)&lt;='Tariffs 2019'!K6,(($C$5-'Tariffs 2019'!J6)*'Tariffs 2019'!P6/100),(('Tariffs 2019'!K6-'Tariffs 2019'!J6)*'Tariffs 2019'!P6/100)))</f>
        <v>89</v>
      </c>
      <c r="G12" s="33">
        <f>IF(($C$5&lt;'Tariffs 2019'!K6),(0),($C$5-'Tariffs 2019'!K6)*'Tariffs 2019'!Q6/100)</f>
        <v>15.136363636363635</v>
      </c>
      <c r="H12" s="33">
        <f t="shared" si="1"/>
        <v>291.24645454545453</v>
      </c>
      <c r="I12" s="33">
        <f t="shared" si="0"/>
        <v>939.27272727272725</v>
      </c>
      <c r="J12" s="109">
        <f t="shared" si="2"/>
        <v>1164.9858181818181</v>
      </c>
      <c r="K12" s="278">
        <f t="shared" si="3"/>
        <v>1281.4844000000001</v>
      </c>
      <c r="L12" s="23">
        <f>'Tariffs 2019'!AL6</f>
        <v>0</v>
      </c>
      <c r="M12" s="23">
        <f>'Tariffs 2019'!AM6</f>
        <v>0</v>
      </c>
      <c r="N12" s="23">
        <f>'Tariffs 2019'!AN6</f>
        <v>0</v>
      </c>
      <c r="O12" s="23">
        <f>'Tariffs 2019'!AO6</f>
        <v>0</v>
      </c>
      <c r="P12" s="109">
        <f t="shared" si="4"/>
        <v>1164.9858181818181</v>
      </c>
      <c r="Q12" s="110">
        <f>P12</f>
        <v>1164.9858181818181</v>
      </c>
      <c r="R12" s="111">
        <f t="shared" si="5"/>
        <v>1281.4844000000001</v>
      </c>
      <c r="S12" s="111">
        <f t="shared" si="5"/>
        <v>1281.4844000000001</v>
      </c>
      <c r="T12" s="112">
        <f>'Tariffs 2019'!AX6</f>
        <v>0</v>
      </c>
      <c r="U12" s="112" t="str">
        <f>'Tariffs 2019'!AY6</f>
        <v>n</v>
      </c>
      <c r="V12" s="113" t="str">
        <f>'Tariffs 2019'!BH6</f>
        <v>Y</v>
      </c>
    </row>
    <row r="13" spans="1:22" ht="20" customHeight="1" x14ac:dyDescent="0.15">
      <c r="A13" s="23" t="str">
        <f>'Tariffs 2019'!F7</f>
        <v>Red Energy</v>
      </c>
      <c r="B13" s="23" t="str">
        <f>'Tariffs 2019'!D7</f>
        <v>Envestra Adelaide</v>
      </c>
      <c r="C13" s="23" t="str">
        <f>'Tariffs 2019'!G7</f>
        <v>Easy Saver</v>
      </c>
      <c r="D13" s="33">
        <f>91*'Tariffs 2019'!H7/100</f>
        <v>65.52</v>
      </c>
      <c r="E13" s="33">
        <f>IF($C$5&gt;='Tariffs 2019'!J7,('Tariffs 2019'!J7*'Tariffs 2019'!O7/100),($C$5*'Tariffs 2019'!O7/100))</f>
        <v>174.6</v>
      </c>
      <c r="F13" s="33">
        <v>0</v>
      </c>
      <c r="G13" s="33">
        <f>IF(($C$5&lt;'Tariffs 2019'!K7),(0),($C$5-'Tariffs 2019'!K7)*'Tariffs 2019'!P7/100)</f>
        <v>14.025</v>
      </c>
      <c r="H13" s="33">
        <f t="shared" si="1"/>
        <v>254.14500000000001</v>
      </c>
      <c r="I13" s="33">
        <f t="shared" si="0"/>
        <v>754.5</v>
      </c>
      <c r="J13" s="109">
        <f t="shared" si="2"/>
        <v>1016.58</v>
      </c>
      <c r="K13" s="278">
        <f t="shared" si="3"/>
        <v>1118.2380000000001</v>
      </c>
      <c r="L13" s="23">
        <f>'Tariffs 2019'!AL7</f>
        <v>0</v>
      </c>
      <c r="M13" s="23">
        <f>'Tariffs 2019'!AM7</f>
        <v>0</v>
      </c>
      <c r="N13" s="23">
        <f>'Tariffs 2019'!AN7</f>
        <v>10</v>
      </c>
      <c r="O13" s="23">
        <f>'Tariffs 2019'!AO7</f>
        <v>0</v>
      </c>
      <c r="P13" s="109">
        <f>K13</f>
        <v>1118.2380000000001</v>
      </c>
      <c r="Q13" s="110">
        <f>P13-(K13*N13/100)</f>
        <v>1006.4142000000001</v>
      </c>
      <c r="R13" s="111">
        <f>P13</f>
        <v>1118.2380000000001</v>
      </c>
      <c r="S13" s="111">
        <f>Q13</f>
        <v>1006.4142000000001</v>
      </c>
      <c r="T13" s="112">
        <f>'Tariffs 2019'!AX7</f>
        <v>0</v>
      </c>
      <c r="U13" s="112" t="str">
        <f>'Tariffs 2019'!AY7</f>
        <v>n</v>
      </c>
      <c r="V13" s="113" t="str">
        <f>'Tariffs 2019'!BH7</f>
        <v>N</v>
      </c>
    </row>
    <row r="14" spans="1:22" ht="20" customHeight="1" thickBot="1" x14ac:dyDescent="0.2">
      <c r="A14" s="295" t="str">
        <f>'Tariffs 2019'!F8</f>
        <v>Lumo Energy</v>
      </c>
      <c r="B14" s="295" t="str">
        <f>'Tariffs 2019'!D8</f>
        <v>Envestra Adelaide</v>
      </c>
      <c r="C14" s="295" t="str">
        <f>'Tariffs 2019'!G8</f>
        <v>Basic</v>
      </c>
      <c r="D14" s="296">
        <f>91*'Tariffs 2019'!H8/100</f>
        <v>62.335000000000001</v>
      </c>
      <c r="E14" s="296">
        <f>IF($C$5&gt;='Tariffs 2019'!J8,('Tariffs 2019'!J8*'Tariffs 2019'!O8/100),($C$5*'Tariffs 2019'!O8/100))</f>
        <v>150.75</v>
      </c>
      <c r="F14" s="296">
        <v>0</v>
      </c>
      <c r="G14" s="296">
        <f>IF(($C$5&lt;'Tariffs 2019'!K8),(0),($C$5-'Tariffs 2019'!K8)*'Tariffs 2019'!P8/100)</f>
        <v>13.35</v>
      </c>
      <c r="H14" s="296">
        <f t="shared" ref="H14" si="6">SUM(D14:G14)</f>
        <v>226.435</v>
      </c>
      <c r="I14" s="296">
        <f t="shared" ref="I14" si="7">(H14-D14)*4</f>
        <v>656.4</v>
      </c>
      <c r="J14" s="297">
        <f t="shared" ref="J14" si="8">H14*4</f>
        <v>905.74</v>
      </c>
      <c r="K14" s="303">
        <f t="shared" si="3"/>
        <v>996.31400000000008</v>
      </c>
      <c r="L14" s="295">
        <f>'Tariffs 2019'!AL8</f>
        <v>0</v>
      </c>
      <c r="M14" s="295">
        <f>'Tariffs 2019'!AM8</f>
        <v>0</v>
      </c>
      <c r="N14" s="295">
        <f>'Tariffs 2019'!AN8</f>
        <v>0</v>
      </c>
      <c r="O14" s="295">
        <f>'Tariffs 2019'!AO8</f>
        <v>0</v>
      </c>
      <c r="P14" s="297">
        <f>J14</f>
        <v>905.74</v>
      </c>
      <c r="Q14" s="299">
        <f>P14</f>
        <v>905.74</v>
      </c>
      <c r="R14" s="300">
        <f t="shared" ref="R14" si="9">P14*1.1</f>
        <v>996.31400000000008</v>
      </c>
      <c r="S14" s="300">
        <f t="shared" ref="S14" si="10">Q14*1.1</f>
        <v>996.31400000000008</v>
      </c>
      <c r="T14" s="301">
        <f>'Tariffs 2019'!AX8</f>
        <v>0</v>
      </c>
      <c r="U14" s="301" t="str">
        <f>'Tariffs 2019'!AY8</f>
        <v>n</v>
      </c>
      <c r="V14" s="302" t="str">
        <f>'Tariffs 2019'!BH8</f>
        <v>N</v>
      </c>
    </row>
    <row r="15" spans="1:22" ht="20" customHeight="1" thickTop="1" thickBot="1" x14ac:dyDescent="0.2">
      <c r="A15" s="294" t="str">
        <f>'Tariffs 2019'!F9</f>
        <v>Origin Energy</v>
      </c>
      <c r="B15" s="295" t="str">
        <f>'Tariffs 2019'!D9</f>
        <v>Envestra Port Pirie</v>
      </c>
      <c r="C15" s="295" t="str">
        <f>'Tariffs 2019'!G9</f>
        <v>Flexi</v>
      </c>
      <c r="D15" s="296">
        <f>91*'Tariffs 2019'!H9/100</f>
        <v>65.098090909090899</v>
      </c>
      <c r="E15" s="296">
        <f>IF($C$5&gt;='Tariffs 2019'!J9,('Tariffs 2019'!J9*'Tariffs 2019'!O9/100),($C$5*'Tariffs 2019'!O9/100))</f>
        <v>186.95454545454544</v>
      </c>
      <c r="F15" s="296">
        <v>0</v>
      </c>
      <c r="G15" s="296">
        <f>IF(($C$5&lt;'Tariffs 2019'!K9),(0),($C$5-'Tariffs 2019'!K9)*'Tariffs 2019'!P9/100)</f>
        <v>14.863636363636363</v>
      </c>
      <c r="H15" s="296">
        <f t="shared" si="1"/>
        <v>266.91627272727271</v>
      </c>
      <c r="I15" s="296">
        <f>(H15-D15)*4</f>
        <v>807.27272727272725</v>
      </c>
      <c r="J15" s="297">
        <f t="shared" si="2"/>
        <v>1067.6650909090908</v>
      </c>
      <c r="K15" s="298">
        <f t="shared" si="3"/>
        <v>1174.4316000000001</v>
      </c>
      <c r="L15" s="295">
        <f>'Tariffs 2019'!AL9</f>
        <v>9</v>
      </c>
      <c r="M15" s="295">
        <f>'Tariffs 2019'!AM9</f>
        <v>0</v>
      </c>
      <c r="N15" s="295">
        <f>'Tariffs 2019'!AN9</f>
        <v>0</v>
      </c>
      <c r="O15" s="295">
        <f>'Tariffs 2019'!AO9</f>
        <v>0</v>
      </c>
      <c r="P15" s="297">
        <f>K15-(K15*L15/100)</f>
        <v>1068.7327560000001</v>
      </c>
      <c r="Q15" s="299">
        <f>P15</f>
        <v>1068.7327560000001</v>
      </c>
      <c r="R15" s="300">
        <f t="shared" ref="R15:S18" si="11">P15</f>
        <v>1068.7327560000001</v>
      </c>
      <c r="S15" s="300">
        <f t="shared" si="11"/>
        <v>1068.7327560000001</v>
      </c>
      <c r="T15" s="301">
        <f>'Tariffs 2019'!AX9</f>
        <v>0</v>
      </c>
      <c r="U15" s="301" t="str">
        <f>'Tariffs 2019'!AY9</f>
        <v>n</v>
      </c>
      <c r="V15" s="302" t="str">
        <f>'Tariffs 2019'!BH9</f>
        <v>N</v>
      </c>
    </row>
    <row r="16" spans="1:22" ht="20" customHeight="1" thickTop="1" thickBot="1" x14ac:dyDescent="0.2">
      <c r="A16" s="294" t="str">
        <f>'Tariffs 2019'!F10</f>
        <v>Origin Energy</v>
      </c>
      <c r="B16" s="295" t="str">
        <f>'Tariffs 2019'!D10</f>
        <v>Envestra Whyalla</v>
      </c>
      <c r="C16" s="295" t="str">
        <f>'Tariffs 2019'!G10</f>
        <v>Flexi</v>
      </c>
      <c r="D16" s="296">
        <f>91*'Tariffs 2019'!H10/100</f>
        <v>65.098090909090899</v>
      </c>
      <c r="E16" s="296">
        <f>IF($C$5&gt;='Tariffs 2019'!J10,('Tariffs 2019'!J10*'Tariffs 2019'!O10/100),($C$5*'Tariffs 2019'!O10/100))</f>
        <v>186.95454545454544</v>
      </c>
      <c r="F16" s="296">
        <v>0</v>
      </c>
      <c r="G16" s="296">
        <f>IF(($C$5&lt;'Tariffs 2019'!K10),(0),($C$5-'Tariffs 2019'!K10)*'Tariffs 2019'!P10/100)</f>
        <v>14.863636363636363</v>
      </c>
      <c r="H16" s="296">
        <f t="shared" si="1"/>
        <v>266.91627272727271</v>
      </c>
      <c r="I16" s="296">
        <f>(H16-D16)*4</f>
        <v>807.27272727272725</v>
      </c>
      <c r="J16" s="297">
        <f t="shared" si="2"/>
        <v>1067.6650909090908</v>
      </c>
      <c r="K16" s="298">
        <f t="shared" si="3"/>
        <v>1174.4316000000001</v>
      </c>
      <c r="L16" s="295">
        <f>'Tariffs 2019'!AL10</f>
        <v>9</v>
      </c>
      <c r="M16" s="295">
        <f>'Tariffs 2019'!AM10</f>
        <v>0</v>
      </c>
      <c r="N16" s="295">
        <f>'Tariffs 2019'!AN10</f>
        <v>0</v>
      </c>
      <c r="O16" s="295">
        <f>'Tariffs 2019'!AO10</f>
        <v>0</v>
      </c>
      <c r="P16" s="297">
        <f>K16-(K16*L16/100)</f>
        <v>1068.7327560000001</v>
      </c>
      <c r="Q16" s="299">
        <f>P16</f>
        <v>1068.7327560000001</v>
      </c>
      <c r="R16" s="300">
        <f t="shared" si="11"/>
        <v>1068.7327560000001</v>
      </c>
      <c r="S16" s="300">
        <f t="shared" si="11"/>
        <v>1068.7327560000001</v>
      </c>
      <c r="T16" s="301">
        <f>'Tariffs 2019'!AX10</f>
        <v>0</v>
      </c>
      <c r="U16" s="301" t="str">
        <f>'Tariffs 2019'!AY10</f>
        <v>n</v>
      </c>
      <c r="V16" s="302" t="str">
        <f>'Tariffs 2019'!BH10</f>
        <v>N</v>
      </c>
    </row>
    <row r="17" spans="1:22" ht="20" customHeight="1" thickTop="1" thickBot="1" x14ac:dyDescent="0.2">
      <c r="A17" s="294" t="str">
        <f>'Tariffs 2019'!F11</f>
        <v>Origin Energy</v>
      </c>
      <c r="B17" s="295" t="str">
        <f>'Tariffs 2019'!D11</f>
        <v>Envestra Mt Gambier</v>
      </c>
      <c r="C17" s="295" t="str">
        <f>'Tariffs 2019'!G11</f>
        <v>Flexi</v>
      </c>
      <c r="D17" s="296">
        <f>91*'Tariffs 2019'!H11/100</f>
        <v>65.098090909090899</v>
      </c>
      <c r="E17" s="296">
        <f>IF($C$5&gt;='Tariffs 2019'!J11,('Tariffs 2019'!J11*'Tariffs 2019'!O11/100),($C$5*'Tariffs 2019'!O11/100))</f>
        <v>186.95454545454544</v>
      </c>
      <c r="F17" s="296">
        <v>0</v>
      </c>
      <c r="G17" s="296">
        <f>IF(($C$5&lt;'Tariffs 2019'!K11),(0),($C$5-'Tariffs 2019'!K11)*'Tariffs 2019'!P11/100)</f>
        <v>14.863636363636363</v>
      </c>
      <c r="H17" s="296">
        <f t="shared" si="1"/>
        <v>266.91627272727271</v>
      </c>
      <c r="I17" s="296">
        <f>(H17-D17)*4</f>
        <v>807.27272727272725</v>
      </c>
      <c r="J17" s="297">
        <f t="shared" si="2"/>
        <v>1067.6650909090908</v>
      </c>
      <c r="K17" s="298">
        <f t="shared" si="3"/>
        <v>1174.4316000000001</v>
      </c>
      <c r="L17" s="295">
        <f>'Tariffs 2019'!AL11</f>
        <v>9</v>
      </c>
      <c r="M17" s="295">
        <f>'Tariffs 2019'!AM11</f>
        <v>0</v>
      </c>
      <c r="N17" s="295">
        <f>'Tariffs 2019'!AN11</f>
        <v>0</v>
      </c>
      <c r="O17" s="295">
        <f>'Tariffs 2019'!AO11</f>
        <v>0</v>
      </c>
      <c r="P17" s="297">
        <f>K17-(K17*L17/100)</f>
        <v>1068.7327560000001</v>
      </c>
      <c r="Q17" s="299">
        <f>P17</f>
        <v>1068.7327560000001</v>
      </c>
      <c r="R17" s="300">
        <f t="shared" si="11"/>
        <v>1068.7327560000001</v>
      </c>
      <c r="S17" s="300">
        <f t="shared" si="11"/>
        <v>1068.7327560000001</v>
      </c>
      <c r="T17" s="301">
        <f>'Tariffs 2019'!AX11</f>
        <v>0</v>
      </c>
      <c r="U17" s="301" t="str">
        <f>'Tariffs 2019'!AY11</f>
        <v>n</v>
      </c>
      <c r="V17" s="302" t="str">
        <f>'Tariffs 2019'!BH11</f>
        <v>N</v>
      </c>
    </row>
    <row r="18" spans="1:22" ht="20" customHeight="1" thickTop="1" thickBot="1" x14ac:dyDescent="0.2">
      <c r="A18" s="114" t="str">
        <f>'Tariffs 2019'!F12</f>
        <v>Origin Energy</v>
      </c>
      <c r="B18" s="115" t="str">
        <f>'Tariffs 2019'!D12</f>
        <v>Envestra Riverland</v>
      </c>
      <c r="C18" s="115" t="str">
        <f>'Tariffs 2019'!G12</f>
        <v>Flexi</v>
      </c>
      <c r="D18" s="116">
        <f>91*'Tariffs 2019'!H12/100</f>
        <v>65.098090909090899</v>
      </c>
      <c r="E18" s="116">
        <f>IF($C$5&gt;='Tariffs 2019'!J12,('Tariffs 2019'!J12*'Tariffs 2019'!O12/100),($C$5*'Tariffs 2019'!O12/100))</f>
        <v>186.95454545454544</v>
      </c>
      <c r="F18" s="116">
        <v>0</v>
      </c>
      <c r="G18" s="116">
        <f>IF(($C$5&lt;'Tariffs 2019'!K12),(0),($C$5-'Tariffs 2019'!K12)*'Tariffs 2019'!P12/100)</f>
        <v>14.863636363636363</v>
      </c>
      <c r="H18" s="116">
        <f t="shared" si="1"/>
        <v>266.91627272727271</v>
      </c>
      <c r="I18" s="116">
        <f>(H18-D18)*4</f>
        <v>807.27272727272725</v>
      </c>
      <c r="J18" s="117">
        <f t="shared" si="2"/>
        <v>1067.6650909090908</v>
      </c>
      <c r="K18" s="279">
        <f t="shared" si="3"/>
        <v>1174.4316000000001</v>
      </c>
      <c r="L18" s="115">
        <f>'Tariffs 2019'!AL12</f>
        <v>9</v>
      </c>
      <c r="M18" s="115">
        <f>'Tariffs 2019'!AM12</f>
        <v>0</v>
      </c>
      <c r="N18" s="115">
        <f>'Tariffs 2019'!AN12</f>
        <v>0</v>
      </c>
      <c r="O18" s="115">
        <f>'Tariffs 2019'!AO12</f>
        <v>0</v>
      </c>
      <c r="P18" s="117">
        <f>K18-(K18*L18/100)</f>
        <v>1068.7327560000001</v>
      </c>
      <c r="Q18" s="118">
        <f>P18</f>
        <v>1068.7327560000001</v>
      </c>
      <c r="R18" s="119">
        <f t="shared" si="11"/>
        <v>1068.7327560000001</v>
      </c>
      <c r="S18" s="119">
        <f t="shared" si="11"/>
        <v>1068.7327560000001</v>
      </c>
      <c r="T18" s="120">
        <f>'Tariffs 2019'!AX12</f>
        <v>0</v>
      </c>
      <c r="U18" s="120" t="str">
        <f>'Tariffs 2019'!AY12</f>
        <v>n</v>
      </c>
      <c r="V18" s="121" t="str">
        <f>'Tariffs 2019'!BH12</f>
        <v>N</v>
      </c>
    </row>
  </sheetData>
  <sheetProtection algorithmName="SHA-512" hashValue="YSImPcXrgH1CvXjwdZFUP+2gU8IUXHRwOV7MLpXDawsR1FzWfdBfBMsLjPnRMjB9tpJw46HckwPMJXhYdlAF/A==" saltValue="trk8sdmI4FCccSfBys8ejA==" spinCount="100000" sheet="1" objects="1" scenarios="1"/>
  <pageMargins left="0.75" right="0.75" top="1" bottom="1" header="0.5" footer="0.5"/>
  <ignoredErrors>
    <ignoredError sqref="R11:S13" formula="1"/>
  </ignoredError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5B347-8BC6-814B-87D3-5CD12B37F629}">
  <sheetPr codeName="Sheet4"/>
  <dimension ref="A1:BB17"/>
  <sheetViews>
    <sheetView workbookViewId="0">
      <selection activeCell="E25" sqref="E25"/>
    </sheetView>
  </sheetViews>
  <sheetFormatPr baseColWidth="10" defaultRowHeight="13" x14ac:dyDescent="0.15"/>
  <cols>
    <col min="1" max="1" width="14.83203125" style="139" customWidth="1"/>
    <col min="2" max="2" width="19.1640625" style="139" customWidth="1"/>
    <col min="3" max="3" width="14.1640625" style="139" customWidth="1"/>
    <col min="4" max="8" width="11.83203125" style="139" customWidth="1"/>
    <col min="9" max="9" width="10.6640625" style="139" hidden="1" customWidth="1"/>
    <col min="10" max="10" width="12.1640625" style="139" hidden="1" customWidth="1"/>
    <col min="11" max="15" width="11.83203125" style="139" customWidth="1"/>
    <col min="16" max="17" width="10.6640625" style="139" hidden="1" customWidth="1"/>
    <col min="18" max="22" width="11.83203125" style="139" customWidth="1"/>
    <col min="23" max="16384" width="10.83203125" style="139"/>
  </cols>
  <sheetData>
    <row r="1" spans="1:54" ht="14" x14ac:dyDescent="0.15">
      <c r="A1" s="138" t="s">
        <v>12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</row>
    <row r="2" spans="1:54" ht="14" x14ac:dyDescent="0.15">
      <c r="A2" s="140" t="s">
        <v>97</v>
      </c>
      <c r="B2" s="140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</row>
    <row r="3" spans="1:54" ht="15" thickBot="1" x14ac:dyDescent="0.2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41"/>
    </row>
    <row r="4" spans="1:54" s="23" customFormat="1" ht="14" x14ac:dyDescent="0.15">
      <c r="A4" s="102" t="s">
        <v>25</v>
      </c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5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</row>
    <row r="5" spans="1:54" s="23" customFormat="1" ht="14" x14ac:dyDescent="0.15">
      <c r="A5" s="106" t="s">
        <v>358</v>
      </c>
      <c r="B5" s="60"/>
      <c r="C5" s="122">
        <v>7500</v>
      </c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107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</row>
    <row r="6" spans="1:54" s="23" customFormat="1" ht="14" x14ac:dyDescent="0.15">
      <c r="A6" s="106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107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39"/>
      <c r="AZ6" s="139"/>
      <c r="BA6" s="139"/>
      <c r="BB6" s="139"/>
    </row>
    <row r="7" spans="1:54" s="23" customFormat="1" ht="90" x14ac:dyDescent="0.15">
      <c r="A7" s="262" t="s">
        <v>71</v>
      </c>
      <c r="B7" s="263" t="s">
        <v>75</v>
      </c>
      <c r="C7" s="263" t="s">
        <v>45</v>
      </c>
      <c r="D7" s="264" t="s">
        <v>46</v>
      </c>
      <c r="E7" s="264" t="s">
        <v>90</v>
      </c>
      <c r="F7" s="265" t="s">
        <v>91</v>
      </c>
      <c r="G7" s="265" t="s">
        <v>92</v>
      </c>
      <c r="H7" s="265" t="s">
        <v>276</v>
      </c>
      <c r="I7" s="266" t="s">
        <v>79</v>
      </c>
      <c r="J7" s="267" t="s">
        <v>18</v>
      </c>
      <c r="K7" s="266" t="s">
        <v>378</v>
      </c>
      <c r="L7" s="268" t="s">
        <v>19</v>
      </c>
      <c r="M7" s="269" t="s">
        <v>20</v>
      </c>
      <c r="N7" s="269" t="s">
        <v>21</v>
      </c>
      <c r="O7" s="269" t="s">
        <v>22</v>
      </c>
      <c r="P7" s="270" t="s">
        <v>80</v>
      </c>
      <c r="Q7" s="270" t="s">
        <v>81</v>
      </c>
      <c r="R7" s="270" t="s">
        <v>82</v>
      </c>
      <c r="S7" s="270" t="s">
        <v>83</v>
      </c>
      <c r="T7" s="271" t="s">
        <v>23</v>
      </c>
      <c r="U7" s="272" t="s">
        <v>24</v>
      </c>
      <c r="V7" s="273" t="s">
        <v>99</v>
      </c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39"/>
      <c r="BB7" s="139"/>
    </row>
    <row r="8" spans="1:54" s="23" customFormat="1" ht="20" customHeight="1" x14ac:dyDescent="0.15">
      <c r="A8" s="108" t="str">
        <f>'Tariffs 2018'!F2</f>
        <v>AGL</v>
      </c>
      <c r="B8" s="23" t="str">
        <f>'Tariffs 2018'!D2</f>
        <v>Envestra SA</v>
      </c>
      <c r="C8" s="23" t="str">
        <f>'Tariffs 2018'!G2</f>
        <v>Savers</v>
      </c>
      <c r="D8" s="33">
        <f>91*'Tariffs 2018'!H2/100</f>
        <v>62.79</v>
      </c>
      <c r="E8" s="33">
        <f>C5*'Tariffs 2018'!O2/100</f>
        <v>273.75</v>
      </c>
      <c r="F8" s="33">
        <v>0</v>
      </c>
      <c r="G8" s="33">
        <v>0</v>
      </c>
      <c r="H8" s="33">
        <f>SUM(D8:G8)</f>
        <v>336.54</v>
      </c>
      <c r="I8" s="124">
        <f t="shared" ref="I8:I13" si="0">(H8-D8)*4</f>
        <v>1095</v>
      </c>
      <c r="J8" s="123">
        <f>H8*4</f>
        <v>1346.16</v>
      </c>
      <c r="K8" s="277">
        <f>J8*1.1</f>
        <v>1480.7760000000003</v>
      </c>
      <c r="L8" s="23">
        <f>'Tariffs 2018'!AL2</f>
        <v>0</v>
      </c>
      <c r="M8" s="23">
        <f>'Tariffs 2018'!AM2</f>
        <v>0</v>
      </c>
      <c r="N8" s="23">
        <f>'Tariffs 2018'!AN2</f>
        <v>0</v>
      </c>
      <c r="O8" s="23">
        <f>'Tariffs 2018'!AO2</f>
        <v>7</v>
      </c>
      <c r="P8" s="123">
        <f>J8</f>
        <v>1346.16</v>
      </c>
      <c r="Q8" s="125">
        <f>P8-(I8*O8/100)</f>
        <v>1269.51</v>
      </c>
      <c r="R8" s="111">
        <f>P8*1.1</f>
        <v>1480.7760000000003</v>
      </c>
      <c r="S8" s="111">
        <f>Q8*1.1</f>
        <v>1396.461</v>
      </c>
      <c r="T8" s="112">
        <f>'Tariffs 2018'!AX2</f>
        <v>0</v>
      </c>
      <c r="U8" s="112" t="str">
        <f>'Tariffs 2018'!AY2</f>
        <v>n</v>
      </c>
      <c r="V8" s="113" t="str">
        <f>'Tariffs 2018'!BH2</f>
        <v>N</v>
      </c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</row>
    <row r="9" spans="1:54" s="23" customFormat="1" ht="20" customHeight="1" x14ac:dyDescent="0.15">
      <c r="A9" s="108" t="str">
        <f>'Tariffs 2018'!F3</f>
        <v xml:space="preserve">Alinta Energy </v>
      </c>
      <c r="B9" s="23" t="str">
        <f>'Tariffs 2018'!D3</f>
        <v>Envestra Adelaide</v>
      </c>
      <c r="C9" s="23" t="str">
        <f>'Tariffs 2018'!G3</f>
        <v>Fair Deal</v>
      </c>
      <c r="D9" s="33">
        <f>91*'Tariffs 2018'!H3/100</f>
        <v>63.335999999999991</v>
      </c>
      <c r="E9" s="33">
        <f>IF($C$5&gt;='Tariffs 2018'!J3,('Tariffs 2018'!J3*'Tariffs 2018'!O3/100),($C$5*'Tariffs 2018'!O3/100))</f>
        <v>171.45</v>
      </c>
      <c r="F9" s="33">
        <v>0</v>
      </c>
      <c r="G9" s="33">
        <f>IF(($C$5&lt;'Tariffs 2018'!K3),(0),($C$5-'Tariffs 2018'!K3)*'Tariffs 2018'!P3/100)</f>
        <v>87.9</v>
      </c>
      <c r="H9" s="33">
        <f t="shared" ref="H9:H17" si="1">SUM(D9:G9)</f>
        <v>322.68599999999998</v>
      </c>
      <c r="I9" s="124">
        <f t="shared" si="0"/>
        <v>1037.3999999999999</v>
      </c>
      <c r="J9" s="123">
        <f t="shared" ref="J9:J17" si="2">H9*4</f>
        <v>1290.7439999999999</v>
      </c>
      <c r="K9" s="278">
        <f t="shared" ref="K9:K17" si="3">J9*1.1</f>
        <v>1419.8184000000001</v>
      </c>
      <c r="L9" s="23">
        <f>'Tariffs 2018'!AL3</f>
        <v>0</v>
      </c>
      <c r="M9" s="23">
        <f>'Tariffs 2018'!AM3</f>
        <v>0</v>
      </c>
      <c r="N9" s="23">
        <f>'Tariffs 2018'!AN3</f>
        <v>0</v>
      </c>
      <c r="O9" s="23">
        <f>'Tariffs 2018'!AO3</f>
        <v>12</v>
      </c>
      <c r="P9" s="123">
        <f t="shared" ref="P9:P17" si="4">J9</f>
        <v>1290.7439999999999</v>
      </c>
      <c r="Q9" s="125">
        <f>P9-(I9*O9/100)</f>
        <v>1166.2559999999999</v>
      </c>
      <c r="R9" s="111">
        <f t="shared" ref="R9:S17" si="5">P9*1.1</f>
        <v>1419.8184000000001</v>
      </c>
      <c r="S9" s="111">
        <f t="shared" si="5"/>
        <v>1282.8815999999999</v>
      </c>
      <c r="T9" s="112">
        <f>'Tariffs 2018'!AX3</f>
        <v>0</v>
      </c>
      <c r="U9" s="112" t="str">
        <f>'Tariffs 2018'!AY3</f>
        <v>n</v>
      </c>
      <c r="V9" s="113" t="str">
        <f>'Tariffs 2018'!BH3</f>
        <v>Y</v>
      </c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39"/>
      <c r="AO9" s="139"/>
      <c r="AP9" s="139"/>
      <c r="AQ9" s="139"/>
      <c r="AR9" s="139"/>
      <c r="AS9" s="139"/>
      <c r="AT9" s="139"/>
      <c r="AU9" s="139"/>
      <c r="AV9" s="139"/>
      <c r="AW9" s="139"/>
      <c r="AX9" s="139"/>
      <c r="AY9" s="139"/>
      <c r="AZ9" s="139"/>
      <c r="BA9" s="139"/>
      <c r="BB9" s="139"/>
    </row>
    <row r="10" spans="1:54" s="23" customFormat="1" ht="20" customHeight="1" x14ac:dyDescent="0.15">
      <c r="A10" s="108" t="str">
        <f>'Tariffs 2018'!F4</f>
        <v>EnergyAustralia</v>
      </c>
      <c r="B10" s="23" t="str">
        <f>'Tariffs 2018'!D4</f>
        <v>Envestra Adelaide</v>
      </c>
      <c r="C10" s="23" t="str">
        <f>'Tariffs 2018'!G4</f>
        <v xml:space="preserve">Anytime Saver </v>
      </c>
      <c r="D10" s="33">
        <f>91*'Tariffs 2018'!H4/100</f>
        <v>72.072000000000003</v>
      </c>
      <c r="E10" s="33">
        <f>IF($C$5&gt;='Tariffs 2018'!J4,('Tariffs 2018'!J4*'Tariffs 2018'!O4/100),($C$5*'Tariffs 2018'!O4/100))</f>
        <v>110.5</v>
      </c>
      <c r="F10" s="33">
        <f>IF($C$5&lt;'Tariffs 2018'!J4,0,IF(($C$5-'Tariffs 2018'!J4)&lt;='Tariffs 2018'!K4,(($C$5-'Tariffs 2018'!J4)*'Tariffs 2018'!P4/100),(('Tariffs 2018'!K4-'Tariffs 2018'!J4)*'Tariffs 2018'!P4/100)))</f>
        <v>76.400000000000006</v>
      </c>
      <c r="G10" s="33">
        <f>IF(($C$5&lt;'Tariffs 2018'!K4),(0),($C$5-'Tariffs 2018'!K4)*'Tariffs 2018'!Q4/100)</f>
        <v>68.099999999999994</v>
      </c>
      <c r="H10" s="33">
        <f t="shared" si="1"/>
        <v>327.072</v>
      </c>
      <c r="I10" s="124">
        <f t="shared" si="0"/>
        <v>1020</v>
      </c>
      <c r="J10" s="123">
        <f t="shared" si="2"/>
        <v>1308.288</v>
      </c>
      <c r="K10" s="278">
        <f t="shared" si="3"/>
        <v>1439.1168000000002</v>
      </c>
      <c r="L10" s="23">
        <f>'Tariffs 2018'!AL4</f>
        <v>0</v>
      </c>
      <c r="M10" s="23">
        <f>'Tariffs 2018'!AM4</f>
        <v>20</v>
      </c>
      <c r="N10" s="23">
        <f>'Tariffs 2018'!AN4</f>
        <v>0</v>
      </c>
      <c r="O10" s="23">
        <f>'Tariffs 2018'!AO4</f>
        <v>0</v>
      </c>
      <c r="P10" s="123">
        <f>J10-(I10*M10/100)</f>
        <v>1104.288</v>
      </c>
      <c r="Q10" s="125">
        <f>P10-(I10*O10/100)</f>
        <v>1104.288</v>
      </c>
      <c r="R10" s="111">
        <f t="shared" si="5"/>
        <v>1214.7168000000001</v>
      </c>
      <c r="S10" s="111">
        <f t="shared" si="5"/>
        <v>1214.7168000000001</v>
      </c>
      <c r="T10" s="112">
        <f>'Tariffs 2018'!AX4</f>
        <v>0</v>
      </c>
      <c r="U10" s="112" t="str">
        <f>'Tariffs 2018'!AY4</f>
        <v>n</v>
      </c>
      <c r="V10" s="113" t="str">
        <f>'Tariffs 2018'!BH4</f>
        <v>N</v>
      </c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</row>
    <row r="11" spans="1:54" s="23" customFormat="1" ht="20" customHeight="1" x14ac:dyDescent="0.15">
      <c r="A11" s="108" t="str">
        <f>'Tariffs 2018'!F5</f>
        <v>Origin Energy</v>
      </c>
      <c r="B11" s="23" t="str">
        <f>'Tariffs 2018'!D5</f>
        <v>Envestra Adelaide</v>
      </c>
      <c r="C11" s="23" t="str">
        <f>'Tariffs 2018'!G5</f>
        <v>Saver</v>
      </c>
      <c r="D11" s="33">
        <f>91*'Tariffs 2018'!H5/100</f>
        <v>64.61</v>
      </c>
      <c r="E11" s="33">
        <f>IF($C$5&gt;='Tariffs 2018'!J5,('Tariffs 2018'!J5*'Tariffs 2018'!O5/100),($C$5*'Tariffs 2018'!O5/100))</f>
        <v>175.5</v>
      </c>
      <c r="F11" s="33">
        <v>0</v>
      </c>
      <c r="G11" s="33">
        <f>IF(($C$5&lt;'Tariffs 2018'!K5),(0),($C$5-'Tariffs 2018'!K5)*'Tariffs 2018'!P5/100)</f>
        <v>57</v>
      </c>
      <c r="H11" s="33">
        <f t="shared" si="1"/>
        <v>297.11</v>
      </c>
      <c r="I11" s="124">
        <f t="shared" si="0"/>
        <v>930</v>
      </c>
      <c r="J11" s="123">
        <f t="shared" si="2"/>
        <v>1188.44</v>
      </c>
      <c r="K11" s="278">
        <f t="shared" si="3"/>
        <v>1307.2840000000001</v>
      </c>
      <c r="L11" s="23">
        <f>'Tariffs 2018'!AL5</f>
        <v>0</v>
      </c>
      <c r="M11" s="23">
        <f>'Tariffs 2018'!AM5</f>
        <v>0</v>
      </c>
      <c r="N11" s="23">
        <f>'Tariffs 2018'!AN5</f>
        <v>0</v>
      </c>
      <c r="O11" s="23">
        <f>'Tariffs 2018'!AO5</f>
        <v>11</v>
      </c>
      <c r="P11" s="123">
        <f t="shared" si="4"/>
        <v>1188.44</v>
      </c>
      <c r="Q11" s="125">
        <f>P11-(I11*O11/100)</f>
        <v>1086.1400000000001</v>
      </c>
      <c r="R11" s="111">
        <f t="shared" si="5"/>
        <v>1307.2840000000001</v>
      </c>
      <c r="S11" s="111">
        <f t="shared" si="5"/>
        <v>1194.7540000000001</v>
      </c>
      <c r="T11" s="112">
        <f>'Tariffs 2018'!AX5</f>
        <v>0</v>
      </c>
      <c r="U11" s="112" t="str">
        <f>'Tariffs 2018'!AY5</f>
        <v>n</v>
      </c>
      <c r="V11" s="113" t="str">
        <f>'Tariffs 2018'!BH5</f>
        <v>N</v>
      </c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</row>
    <row r="12" spans="1:54" s="23" customFormat="1" ht="20" customHeight="1" x14ac:dyDescent="0.15">
      <c r="A12" s="108" t="str">
        <f>'Tariffs 2018'!F6</f>
        <v>Simply Energy</v>
      </c>
      <c r="B12" s="23" t="str">
        <f>'Tariffs 2018'!D6</f>
        <v>Envestra Adelaide</v>
      </c>
      <c r="C12" s="23" t="str">
        <f>'Tariffs 2018'!G6</f>
        <v>Plus</v>
      </c>
      <c r="D12" s="33">
        <f>91*'Tariffs 2018'!H6/100</f>
        <v>57.002399999999994</v>
      </c>
      <c r="E12" s="33">
        <f>IF($C$5&gt;='Tariffs 2018'!J6,('Tariffs 2018'!J6*'Tariffs 2018'!O6/100),($C$5*'Tariffs 2018'!O6/100))</f>
        <v>121.75</v>
      </c>
      <c r="F12" s="33">
        <f>IF($C$5&lt;'Tariffs 2018'!J6,0,IF(($C$5-'Tariffs 2018'!J6)&lt;='Tariffs 2018'!K6,(($C$5-'Tariffs 2018'!J6)*'Tariffs 2018'!P6/100),(('Tariffs 2018'!K6-'Tariffs 2018'!J6)*'Tariffs 2018'!P6/100)))</f>
        <v>60.4</v>
      </c>
      <c r="G12" s="33">
        <f>IF(($C$5&lt;'Tariffs 2018'!K6),(0),($C$5-'Tariffs 2018'!K6)*'Tariffs 2018'!Q6/100)</f>
        <v>56.4</v>
      </c>
      <c r="H12" s="33">
        <f t="shared" si="1"/>
        <v>295.55239999999998</v>
      </c>
      <c r="I12" s="124">
        <f t="shared" si="0"/>
        <v>954.19999999999993</v>
      </c>
      <c r="J12" s="123">
        <f t="shared" si="2"/>
        <v>1182.2095999999999</v>
      </c>
      <c r="K12" s="278">
        <f t="shared" si="3"/>
        <v>1300.43056</v>
      </c>
      <c r="L12" s="23">
        <f>'Tariffs 2018'!AL6</f>
        <v>0</v>
      </c>
      <c r="M12" s="23">
        <f>'Tariffs 2018'!AM6</f>
        <v>0</v>
      </c>
      <c r="N12" s="23">
        <f>'Tariffs 2018'!AN6</f>
        <v>0</v>
      </c>
      <c r="O12" s="23">
        <f>'Tariffs 2018'!AO6</f>
        <v>15</v>
      </c>
      <c r="P12" s="123">
        <f t="shared" si="4"/>
        <v>1182.2095999999999</v>
      </c>
      <c r="Q12" s="125">
        <f>P12-(I12*O12/100)</f>
        <v>1039.0796</v>
      </c>
      <c r="R12" s="111">
        <f t="shared" si="5"/>
        <v>1300.43056</v>
      </c>
      <c r="S12" s="111">
        <f t="shared" si="5"/>
        <v>1142.98756</v>
      </c>
      <c r="T12" s="112">
        <f>'Tariffs 2018'!AX6</f>
        <v>0</v>
      </c>
      <c r="U12" s="112" t="str">
        <f>'Tariffs 2018'!AY6</f>
        <v>n</v>
      </c>
      <c r="V12" s="113" t="str">
        <f>'Tariffs 2018'!BH6</f>
        <v>Y</v>
      </c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</row>
    <row r="13" spans="1:54" s="23" customFormat="1" ht="20" customHeight="1" thickBot="1" x14ac:dyDescent="0.2">
      <c r="A13" s="294" t="str">
        <f>'Tariffs 2018'!F7</f>
        <v>Red Energy</v>
      </c>
      <c r="B13" s="295" t="str">
        <f>'Tariffs 2018'!D7</f>
        <v>Envestra Adelaide</v>
      </c>
      <c r="C13" s="295" t="str">
        <f>'Tariffs 2018'!G7</f>
        <v>Easy Saver</v>
      </c>
      <c r="D13" s="296">
        <f>91*'Tariffs 2018'!H7/100</f>
        <v>65.52</v>
      </c>
      <c r="E13" s="296">
        <f>IF($C$5&gt;='Tariffs 2018'!J7,('Tariffs 2018'!J7*'Tariffs 2018'!O7/100),($C$5*'Tariffs 2018'!O7/100))</f>
        <v>174.6</v>
      </c>
      <c r="F13" s="296">
        <v>0</v>
      </c>
      <c r="G13" s="296">
        <f>IF(($C$5&lt;'Tariffs 2018'!K7),(0),($C$5-'Tariffs 2018'!K7)*'Tariffs 2018'!P7/100)</f>
        <v>56.1</v>
      </c>
      <c r="H13" s="296">
        <f t="shared" si="1"/>
        <v>296.22000000000003</v>
      </c>
      <c r="I13" s="304">
        <f t="shared" si="0"/>
        <v>922.80000000000018</v>
      </c>
      <c r="J13" s="305">
        <f t="shared" si="2"/>
        <v>1184.8800000000001</v>
      </c>
      <c r="K13" s="303">
        <f t="shared" si="3"/>
        <v>1303.3680000000002</v>
      </c>
      <c r="L13" s="295">
        <f>'Tariffs 2018'!AL7</f>
        <v>0</v>
      </c>
      <c r="M13" s="295">
        <f>'Tariffs 2018'!AM7</f>
        <v>0</v>
      </c>
      <c r="N13" s="295">
        <f>'Tariffs 2018'!AN7</f>
        <v>10</v>
      </c>
      <c r="O13" s="295">
        <f>'Tariffs 2018'!AO7</f>
        <v>0</v>
      </c>
      <c r="P13" s="305">
        <f t="shared" si="4"/>
        <v>1184.8800000000001</v>
      </c>
      <c r="Q13" s="306">
        <f>P13-(J13*N13/100)</f>
        <v>1066.3920000000001</v>
      </c>
      <c r="R13" s="300">
        <f t="shared" si="5"/>
        <v>1303.3680000000002</v>
      </c>
      <c r="S13" s="300">
        <f t="shared" si="5"/>
        <v>1173.0312000000001</v>
      </c>
      <c r="T13" s="301">
        <f>'Tariffs 2018'!AX7</f>
        <v>0</v>
      </c>
      <c r="U13" s="301" t="str">
        <f>'Tariffs 2018'!AY7</f>
        <v>n</v>
      </c>
      <c r="V13" s="302" t="str">
        <f>'Tariffs 2018'!BH7</f>
        <v>N</v>
      </c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</row>
    <row r="14" spans="1:54" s="23" customFormat="1" ht="20" customHeight="1" thickTop="1" thickBot="1" x14ac:dyDescent="0.2">
      <c r="A14" s="294" t="str">
        <f>'Tariffs 2018'!F8</f>
        <v>Origin Energy</v>
      </c>
      <c r="B14" s="295" t="str">
        <f>'Tariffs 2018'!D8</f>
        <v>Envestra Port Pirie</v>
      </c>
      <c r="C14" s="295" t="str">
        <f>'Tariffs 2018'!G8</f>
        <v>Saver</v>
      </c>
      <c r="D14" s="296">
        <f>91*'Tariffs 2018'!H8/100</f>
        <v>64.61</v>
      </c>
      <c r="E14" s="296">
        <f>IF($C$5&gt;='Tariffs 2018'!J8,('Tariffs 2018'!J8*'Tariffs 2018'!O8/100),($C$5*'Tariffs 2018'!O8/100))</f>
        <v>175.5</v>
      </c>
      <c r="F14" s="296">
        <v>0</v>
      </c>
      <c r="G14" s="296">
        <f>IF(($C$5&lt;'Tariffs 2018'!K8),(0),($C$5-'Tariffs 2018'!K8)*'Tariffs 2018'!P8/100)</f>
        <v>57</v>
      </c>
      <c r="H14" s="296">
        <f t="shared" si="1"/>
        <v>297.11</v>
      </c>
      <c r="I14" s="296">
        <f>(H14-D14)*4</f>
        <v>930</v>
      </c>
      <c r="J14" s="297">
        <f t="shared" si="2"/>
        <v>1188.44</v>
      </c>
      <c r="K14" s="298">
        <f t="shared" si="3"/>
        <v>1307.2840000000001</v>
      </c>
      <c r="L14" s="295">
        <f>'Tariffs 2018'!AL8</f>
        <v>0</v>
      </c>
      <c r="M14" s="295">
        <f>'Tariffs 2018'!AM8</f>
        <v>0</v>
      </c>
      <c r="N14" s="295">
        <f>'Tariffs 2018'!AN8</f>
        <v>0</v>
      </c>
      <c r="O14" s="295">
        <f>'Tariffs 2018'!AO8</f>
        <v>11</v>
      </c>
      <c r="P14" s="297">
        <f t="shared" si="4"/>
        <v>1188.44</v>
      </c>
      <c r="Q14" s="299">
        <f>P14-(I14*O14/100)</f>
        <v>1086.1400000000001</v>
      </c>
      <c r="R14" s="300">
        <f t="shared" si="5"/>
        <v>1307.2840000000001</v>
      </c>
      <c r="S14" s="300">
        <f t="shared" si="5"/>
        <v>1194.7540000000001</v>
      </c>
      <c r="T14" s="301">
        <f>'Tariffs 2018'!AX8</f>
        <v>0</v>
      </c>
      <c r="U14" s="301" t="str">
        <f>'Tariffs 2018'!AY8</f>
        <v>n</v>
      </c>
      <c r="V14" s="302" t="str">
        <f>'Tariffs 2018'!BH8</f>
        <v>N</v>
      </c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</row>
    <row r="15" spans="1:54" s="23" customFormat="1" ht="20" customHeight="1" thickTop="1" thickBot="1" x14ac:dyDescent="0.2">
      <c r="A15" s="294" t="str">
        <f>'Tariffs 2018'!F9</f>
        <v>Origin Energy</v>
      </c>
      <c r="B15" s="295" t="str">
        <f>'Tariffs 2018'!D9</f>
        <v>Envestra Whyalla</v>
      </c>
      <c r="C15" s="295" t="str">
        <f>'Tariffs 2018'!G9</f>
        <v>Saver</v>
      </c>
      <c r="D15" s="296">
        <f>91*'Tariffs 2018'!H9/100</f>
        <v>64.61</v>
      </c>
      <c r="E15" s="296">
        <f>IF($C$5&gt;='Tariffs 2018'!J9,('Tariffs 2018'!J9*'Tariffs 2018'!O9/100),($C$5*'Tariffs 2018'!O9/100))</f>
        <v>175.5</v>
      </c>
      <c r="F15" s="296">
        <v>0</v>
      </c>
      <c r="G15" s="296">
        <f>IF(($C$5&lt;'Tariffs 2018'!K9),(0),($C$5-'Tariffs 2018'!K9)*'Tariffs 2018'!P9/100)</f>
        <v>57</v>
      </c>
      <c r="H15" s="296">
        <f t="shared" si="1"/>
        <v>297.11</v>
      </c>
      <c r="I15" s="296">
        <f>(H15-D15)*4</f>
        <v>930</v>
      </c>
      <c r="J15" s="297">
        <f t="shared" si="2"/>
        <v>1188.44</v>
      </c>
      <c r="K15" s="298">
        <f t="shared" si="3"/>
        <v>1307.2840000000001</v>
      </c>
      <c r="L15" s="295">
        <f>'Tariffs 2018'!AL9</f>
        <v>0</v>
      </c>
      <c r="M15" s="295">
        <f>'Tariffs 2018'!AM9</f>
        <v>0</v>
      </c>
      <c r="N15" s="295">
        <f>'Tariffs 2018'!AN9</f>
        <v>0</v>
      </c>
      <c r="O15" s="295">
        <f>'Tariffs 2018'!AO9</f>
        <v>11</v>
      </c>
      <c r="P15" s="297">
        <f t="shared" si="4"/>
        <v>1188.44</v>
      </c>
      <c r="Q15" s="299">
        <f>P15-(I15*O15/100)</f>
        <v>1086.1400000000001</v>
      </c>
      <c r="R15" s="300">
        <f t="shared" si="5"/>
        <v>1307.2840000000001</v>
      </c>
      <c r="S15" s="300">
        <f t="shared" si="5"/>
        <v>1194.7540000000001</v>
      </c>
      <c r="T15" s="301">
        <f>'Tariffs 2018'!AX9</f>
        <v>0</v>
      </c>
      <c r="U15" s="301" t="str">
        <f>'Tariffs 2018'!AY9</f>
        <v>n</v>
      </c>
      <c r="V15" s="302" t="str">
        <f>'Tariffs 2018'!BH9</f>
        <v>N</v>
      </c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</row>
    <row r="16" spans="1:54" s="23" customFormat="1" ht="20" customHeight="1" thickTop="1" thickBot="1" x14ac:dyDescent="0.2">
      <c r="A16" s="294" t="str">
        <f>'Tariffs 2018'!F10</f>
        <v>Origin Energy</v>
      </c>
      <c r="B16" s="295" t="str">
        <f>'Tariffs 2018'!D10</f>
        <v>Envestra Mt Gambier</v>
      </c>
      <c r="C16" s="295" t="str">
        <f>'Tariffs 2018'!G10</f>
        <v>Saver</v>
      </c>
      <c r="D16" s="296">
        <f>91*'Tariffs 2018'!H10/100</f>
        <v>64.61</v>
      </c>
      <c r="E16" s="296">
        <f>IF($C$5&gt;='Tariffs 2018'!J10,('Tariffs 2018'!J10*'Tariffs 2018'!O10/100),($C$5*'Tariffs 2018'!O10/100))</f>
        <v>175.5</v>
      </c>
      <c r="F16" s="296">
        <v>0</v>
      </c>
      <c r="G16" s="296">
        <f>IF(($C$5&lt;'Tariffs 2018'!K10),(0),($C$5-'Tariffs 2018'!K10)*'Tariffs 2018'!P10/100)</f>
        <v>57</v>
      </c>
      <c r="H16" s="296">
        <f t="shared" si="1"/>
        <v>297.11</v>
      </c>
      <c r="I16" s="296">
        <f>(H16-D16)*4</f>
        <v>930</v>
      </c>
      <c r="J16" s="297">
        <f t="shared" si="2"/>
        <v>1188.44</v>
      </c>
      <c r="K16" s="298">
        <f t="shared" si="3"/>
        <v>1307.2840000000001</v>
      </c>
      <c r="L16" s="295">
        <f>'Tariffs 2018'!AL10</f>
        <v>0</v>
      </c>
      <c r="M16" s="295">
        <f>'Tariffs 2018'!AM10</f>
        <v>0</v>
      </c>
      <c r="N16" s="295">
        <f>'Tariffs 2018'!AN10</f>
        <v>0</v>
      </c>
      <c r="O16" s="295">
        <f>'Tariffs 2018'!AO10</f>
        <v>11</v>
      </c>
      <c r="P16" s="297">
        <f t="shared" si="4"/>
        <v>1188.44</v>
      </c>
      <c r="Q16" s="299">
        <f t="shared" ref="Q16:Q17" si="6">P16-(I16*O16/100)</f>
        <v>1086.1400000000001</v>
      </c>
      <c r="R16" s="300">
        <f t="shared" si="5"/>
        <v>1307.2840000000001</v>
      </c>
      <c r="S16" s="300">
        <f t="shared" si="5"/>
        <v>1194.7540000000001</v>
      </c>
      <c r="T16" s="301">
        <f>'Tariffs 2018'!AX10</f>
        <v>0</v>
      </c>
      <c r="U16" s="301" t="str">
        <f>'Tariffs 2018'!AY10</f>
        <v>n</v>
      </c>
      <c r="V16" s="302" t="str">
        <f>'Tariffs 2018'!BH10</f>
        <v>N</v>
      </c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</row>
    <row r="17" spans="1:54" s="23" customFormat="1" ht="20" customHeight="1" thickTop="1" thickBot="1" x14ac:dyDescent="0.2">
      <c r="A17" s="114" t="str">
        <f>'Tariffs 2018'!F11</f>
        <v>Origin Energy</v>
      </c>
      <c r="B17" s="115" t="str">
        <f>'Tariffs 2018'!D11</f>
        <v>Envestra Riverland</v>
      </c>
      <c r="C17" s="115" t="str">
        <f>'Tariffs 2018'!G11</f>
        <v>Saver</v>
      </c>
      <c r="D17" s="116">
        <f>91*'Tariffs 2018'!H11/100</f>
        <v>64.61</v>
      </c>
      <c r="E17" s="116">
        <f>IF($C$5&gt;='Tariffs 2018'!J11,('Tariffs 2018'!J11*'Tariffs 2018'!O11/100),($C$5*'Tariffs 2018'!O11/100))</f>
        <v>175.5</v>
      </c>
      <c r="F17" s="116">
        <v>0</v>
      </c>
      <c r="G17" s="116">
        <f>IF(($C$5&lt;'Tariffs 2018'!K11),(0),($C$5-'Tariffs 2018'!K11)*'Tariffs 2018'!P11/100)</f>
        <v>57</v>
      </c>
      <c r="H17" s="116">
        <f t="shared" si="1"/>
        <v>297.11</v>
      </c>
      <c r="I17" s="116">
        <f>(H17-D17)*4</f>
        <v>930</v>
      </c>
      <c r="J17" s="117">
        <f t="shared" si="2"/>
        <v>1188.44</v>
      </c>
      <c r="K17" s="279">
        <f t="shared" si="3"/>
        <v>1307.2840000000001</v>
      </c>
      <c r="L17" s="115">
        <f>'Tariffs 2018'!AL11</f>
        <v>0</v>
      </c>
      <c r="M17" s="115">
        <f>'Tariffs 2018'!AM11</f>
        <v>0</v>
      </c>
      <c r="N17" s="115">
        <f>'Tariffs 2018'!AN11</f>
        <v>0</v>
      </c>
      <c r="O17" s="115">
        <f>'Tariffs 2018'!AO11</f>
        <v>11</v>
      </c>
      <c r="P17" s="117">
        <f t="shared" si="4"/>
        <v>1188.44</v>
      </c>
      <c r="Q17" s="118">
        <f t="shared" si="6"/>
        <v>1086.1400000000001</v>
      </c>
      <c r="R17" s="119">
        <f t="shared" si="5"/>
        <v>1307.2840000000001</v>
      </c>
      <c r="S17" s="119">
        <f t="shared" si="5"/>
        <v>1194.7540000000001</v>
      </c>
      <c r="T17" s="120">
        <f>'Tariffs 2018'!AX11</f>
        <v>0</v>
      </c>
      <c r="U17" s="120" t="str">
        <f>'Tariffs 2018'!AY11</f>
        <v>n</v>
      </c>
      <c r="V17" s="121" t="str">
        <f>'Tariffs 2018'!BH11</f>
        <v>N</v>
      </c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</row>
  </sheetData>
  <sheetProtection algorithmName="SHA-512" hashValue="XXSDoPqm8jzcBS01inSbi2cN7jhgBpMjklkQuZshNttggW62tLwQWIPS89WP+etH0EH8iBPH1G8ZRz2BdQw9Yg==" saltValue="0wvKtLisOqdF0Si/5eBG/w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AV236"/>
  <sheetViews>
    <sheetView workbookViewId="0">
      <selection activeCell="D28" sqref="D28"/>
    </sheetView>
  </sheetViews>
  <sheetFormatPr baseColWidth="10" defaultRowHeight="13" x14ac:dyDescent="0.15"/>
  <cols>
    <col min="1" max="1" width="14.83203125" style="23" customWidth="1"/>
    <col min="2" max="2" width="19.1640625" style="23" customWidth="1"/>
    <col min="3" max="8" width="11.83203125" style="23" customWidth="1"/>
    <col min="9" max="9" width="10.6640625" style="23" hidden="1" customWidth="1"/>
    <col min="10" max="10" width="12.1640625" style="23" hidden="1" customWidth="1"/>
    <col min="11" max="15" width="11.83203125" style="23" customWidth="1"/>
    <col min="16" max="17" width="10.6640625" style="23" hidden="1" customWidth="1"/>
    <col min="18" max="22" width="11.83203125" style="23" customWidth="1"/>
    <col min="23" max="16384" width="10.83203125" style="23"/>
  </cols>
  <sheetData>
    <row r="1" spans="1:48" s="135" customFormat="1" ht="14" x14ac:dyDescent="0.15">
      <c r="A1" s="134" t="s">
        <v>12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</row>
    <row r="2" spans="1:48" s="135" customFormat="1" ht="14" x14ac:dyDescent="0.15">
      <c r="A2" s="136" t="s">
        <v>97</v>
      </c>
      <c r="B2" s="136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</row>
    <row r="3" spans="1:48" s="135" customFormat="1" ht="15" thickBot="1" x14ac:dyDescent="0.2">
      <c r="A3" s="134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7"/>
    </row>
    <row r="4" spans="1:48" ht="14" x14ac:dyDescent="0.15">
      <c r="A4" s="102" t="s">
        <v>25</v>
      </c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  <c r="AR4" s="135"/>
      <c r="AS4" s="135"/>
      <c r="AT4" s="135"/>
      <c r="AU4" s="135"/>
      <c r="AV4" s="135"/>
    </row>
    <row r="5" spans="1:48" ht="14" x14ac:dyDescent="0.15">
      <c r="A5" s="106" t="s">
        <v>358</v>
      </c>
      <c r="B5" s="60"/>
      <c r="C5" s="122">
        <v>7500</v>
      </c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107"/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/>
      <c r="AM5" s="135"/>
      <c r="AN5" s="135"/>
      <c r="AO5" s="135"/>
      <c r="AP5" s="135"/>
      <c r="AQ5" s="135"/>
      <c r="AR5" s="135"/>
      <c r="AS5" s="135"/>
      <c r="AT5" s="135"/>
      <c r="AU5" s="135"/>
      <c r="AV5" s="135"/>
    </row>
    <row r="6" spans="1:48" ht="14" x14ac:dyDescent="0.15">
      <c r="A6" s="106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107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</row>
    <row r="7" spans="1:48" ht="90" x14ac:dyDescent="0.15">
      <c r="A7" s="262" t="s">
        <v>71</v>
      </c>
      <c r="B7" s="263" t="s">
        <v>75</v>
      </c>
      <c r="C7" s="263" t="s">
        <v>45</v>
      </c>
      <c r="D7" s="264" t="s">
        <v>46</v>
      </c>
      <c r="E7" s="264" t="s">
        <v>90</v>
      </c>
      <c r="F7" s="265" t="s">
        <v>91</v>
      </c>
      <c r="G7" s="265" t="s">
        <v>92</v>
      </c>
      <c r="H7" s="265" t="s">
        <v>276</v>
      </c>
      <c r="I7" s="266" t="s">
        <v>79</v>
      </c>
      <c r="J7" s="267" t="s">
        <v>18</v>
      </c>
      <c r="K7" s="266" t="s">
        <v>378</v>
      </c>
      <c r="L7" s="268" t="s">
        <v>19</v>
      </c>
      <c r="M7" s="269" t="s">
        <v>20</v>
      </c>
      <c r="N7" s="269" t="s">
        <v>21</v>
      </c>
      <c r="O7" s="269" t="s">
        <v>22</v>
      </c>
      <c r="P7" s="270" t="s">
        <v>80</v>
      </c>
      <c r="Q7" s="270" t="s">
        <v>81</v>
      </c>
      <c r="R7" s="270" t="s">
        <v>82</v>
      </c>
      <c r="S7" s="270" t="s">
        <v>83</v>
      </c>
      <c r="T7" s="271" t="s">
        <v>23</v>
      </c>
      <c r="U7" s="272" t="s">
        <v>24</v>
      </c>
      <c r="V7" s="273" t="s">
        <v>99</v>
      </c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</row>
    <row r="8" spans="1:48" ht="20" customHeight="1" x14ac:dyDescent="0.15">
      <c r="A8" s="108" t="str">
        <f>'Tariffs 2017'!F2</f>
        <v>AGL</v>
      </c>
      <c r="B8" s="23" t="str">
        <f>'Tariffs 2017'!D2</f>
        <v>Envestra SA</v>
      </c>
      <c r="C8" s="23" t="str">
        <f>'Tariffs 2017'!G2</f>
        <v>Savers</v>
      </c>
      <c r="D8" s="33">
        <f>91*'Tariffs 2017'!H2/100</f>
        <v>62.79</v>
      </c>
      <c r="E8" s="33">
        <f>C5*'Tariffs 2017'!O2/100</f>
        <v>262.5</v>
      </c>
      <c r="F8" s="33">
        <v>0</v>
      </c>
      <c r="G8" s="33">
        <v>0</v>
      </c>
      <c r="H8" s="33">
        <f>SUM(D8:G8)</f>
        <v>325.29000000000002</v>
      </c>
      <c r="I8" s="124">
        <f t="shared" ref="I8:I13" si="0">(H8-D8)*4</f>
        <v>1050</v>
      </c>
      <c r="J8" s="123">
        <f>H8*4</f>
        <v>1301.1600000000001</v>
      </c>
      <c r="K8" s="277">
        <f>J8*1.1</f>
        <v>1431.2760000000003</v>
      </c>
      <c r="L8" s="23">
        <f>'Tariffs 2017'!AK2</f>
        <v>0</v>
      </c>
      <c r="M8" s="23">
        <f>'Tariffs 2017'!AL2</f>
        <v>0</v>
      </c>
      <c r="N8" s="23">
        <f>'Tariffs 2017'!AM2</f>
        <v>0</v>
      </c>
      <c r="O8" s="23">
        <f>'Tariffs 2017'!AN2</f>
        <v>7</v>
      </c>
      <c r="P8" s="123">
        <f>J8</f>
        <v>1301.1600000000001</v>
      </c>
      <c r="Q8" s="125">
        <f>P8-(I8*O8/100)</f>
        <v>1227.6600000000001</v>
      </c>
      <c r="R8" s="111">
        <f>P8*1.1</f>
        <v>1431.2760000000003</v>
      </c>
      <c r="S8" s="111">
        <f>Q8*1.1</f>
        <v>1350.4260000000002</v>
      </c>
      <c r="T8" s="112">
        <f>'Tariffs 2017'!AU2</f>
        <v>0</v>
      </c>
      <c r="U8" s="112" t="str">
        <f>'Tariffs 2017'!AV2</f>
        <v>n</v>
      </c>
      <c r="V8" s="113" t="str">
        <f>'Tariffs 2017'!BB2</f>
        <v>N</v>
      </c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</row>
    <row r="9" spans="1:48" ht="20" customHeight="1" x14ac:dyDescent="0.15">
      <c r="A9" s="108" t="str">
        <f>'Tariffs 2017'!F3</f>
        <v xml:space="preserve">Alinta Energy </v>
      </c>
      <c r="B9" s="23" t="str">
        <f>'Tariffs 2017'!D3</f>
        <v>Envestra Adelaide</v>
      </c>
      <c r="C9" s="23" t="str">
        <f>'Tariffs 2017'!G3</f>
        <v>Fair Deal</v>
      </c>
      <c r="D9" s="33">
        <f>91*'Tariffs 2017'!H3/100</f>
        <v>63.335999999999991</v>
      </c>
      <c r="E9" s="33">
        <f>IF($C$5&gt;='Tariffs 2017'!J3,('Tariffs 2017'!J3*'Tariffs 2017'!O3/100),($C$5*'Tariffs 2017'!O3/100))</f>
        <v>176.85</v>
      </c>
      <c r="F9" s="33">
        <v>0</v>
      </c>
      <c r="G9" s="33">
        <f>IF(($C$5&lt;'Tariffs 2017'!K3),(0),($C$5-'Tariffs 2017'!K3)*'Tariffs 2017'!P3/100)</f>
        <v>61.2</v>
      </c>
      <c r="H9" s="33">
        <f t="shared" ref="H9:H17" si="1">SUM(D9:G9)</f>
        <v>301.38599999999997</v>
      </c>
      <c r="I9" s="124">
        <f t="shared" si="0"/>
        <v>952.19999999999993</v>
      </c>
      <c r="J9" s="123">
        <f t="shared" ref="J9:J17" si="2">H9*4</f>
        <v>1205.5439999999999</v>
      </c>
      <c r="K9" s="278">
        <f t="shared" ref="K9:K17" si="3">J9*1.1</f>
        <v>1326.0983999999999</v>
      </c>
      <c r="L9" s="23">
        <f>'Tariffs 2017'!AK3</f>
        <v>0</v>
      </c>
      <c r="M9" s="23">
        <f>'Tariffs 2017'!AL3</f>
        <v>0</v>
      </c>
      <c r="N9" s="23">
        <f>'Tariffs 2017'!AM3</f>
        <v>0</v>
      </c>
      <c r="O9" s="23">
        <f>'Tariffs 2017'!AN3</f>
        <v>12</v>
      </c>
      <c r="P9" s="123">
        <f t="shared" ref="P9:P17" si="4">J9</f>
        <v>1205.5439999999999</v>
      </c>
      <c r="Q9" s="125">
        <f>P9-(I9*O9/100)</f>
        <v>1091.28</v>
      </c>
      <c r="R9" s="111">
        <f t="shared" ref="R9:S17" si="5">P9*1.1</f>
        <v>1326.0983999999999</v>
      </c>
      <c r="S9" s="111">
        <f t="shared" si="5"/>
        <v>1200.4080000000001</v>
      </c>
      <c r="T9" s="112">
        <f>'Tariffs 2017'!AU3</f>
        <v>0</v>
      </c>
      <c r="U9" s="112" t="str">
        <f>'Tariffs 2017'!AV3</f>
        <v>n</v>
      </c>
      <c r="V9" s="113" t="str">
        <f>'Tariffs 2017'!BB3</f>
        <v>Y</v>
      </c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</row>
    <row r="10" spans="1:48" ht="20" customHeight="1" x14ac:dyDescent="0.15">
      <c r="A10" s="108" t="str">
        <f>'Tariffs 2017'!F4</f>
        <v>EnergyAustralia</v>
      </c>
      <c r="B10" s="23" t="str">
        <f>'Tariffs 2017'!D4</f>
        <v>Envestra Adelaide</v>
      </c>
      <c r="C10" s="23" t="str">
        <f>'Tariffs 2017'!G4</f>
        <v xml:space="preserve">Flexi Saver </v>
      </c>
      <c r="D10" s="33">
        <f>91*'Tariffs 2017'!H4/100</f>
        <v>72.072000000000003</v>
      </c>
      <c r="E10" s="33">
        <f>IF($C$5&gt;='Tariffs 2017'!J4,('Tariffs 2017'!J4*'Tariffs 2017'!O4/100),($C$5*'Tariffs 2017'!O4/100))</f>
        <v>110.5</v>
      </c>
      <c r="F10" s="33">
        <f>IF($C$5&lt;'Tariffs 2017'!J4,0,IF(($C$5-'Tariffs 2017'!J4)&lt;='Tariffs 2017'!K4,(($C$5-'Tariffs 2017'!J4)*'Tariffs 2017'!P4/100),(('Tariffs 2017'!K4-'Tariffs 2017'!J4)*'Tariffs 2017'!P4/100)))</f>
        <v>76.400000000000006</v>
      </c>
      <c r="G10" s="33">
        <f>IF(($C$5&lt;'Tariffs 2017'!K4),(0),($C$5-'Tariffs 2017'!K4)*'Tariffs 2017'!Q4/100)</f>
        <v>68.099999999999994</v>
      </c>
      <c r="H10" s="33">
        <f t="shared" si="1"/>
        <v>327.072</v>
      </c>
      <c r="I10" s="124">
        <f t="shared" si="0"/>
        <v>1020</v>
      </c>
      <c r="J10" s="123">
        <f t="shared" si="2"/>
        <v>1308.288</v>
      </c>
      <c r="K10" s="278">
        <f t="shared" si="3"/>
        <v>1439.1168000000002</v>
      </c>
      <c r="L10" s="23">
        <f>'Tariffs 2017'!AK4</f>
        <v>0</v>
      </c>
      <c r="M10" s="23">
        <f>'Tariffs 2017'!AL4</f>
        <v>0</v>
      </c>
      <c r="N10" s="23">
        <f>'Tariffs 2017'!AM4</f>
        <v>0</v>
      </c>
      <c r="O10" s="23">
        <f>'Tariffs 2017'!AN4</f>
        <v>15</v>
      </c>
      <c r="P10" s="123">
        <f t="shared" si="4"/>
        <v>1308.288</v>
      </c>
      <c r="Q10" s="125">
        <f>P10-(I10*O10/100)</f>
        <v>1155.288</v>
      </c>
      <c r="R10" s="111">
        <f t="shared" si="5"/>
        <v>1439.1168000000002</v>
      </c>
      <c r="S10" s="111">
        <f t="shared" si="5"/>
        <v>1270.8168000000001</v>
      </c>
      <c r="T10" s="112">
        <f>'Tariffs 2017'!AU4</f>
        <v>0</v>
      </c>
      <c r="U10" s="112" t="str">
        <f>'Tariffs 2017'!AV4</f>
        <v>n</v>
      </c>
      <c r="V10" s="113" t="str">
        <f>'Tariffs 2017'!BB4</f>
        <v>N</v>
      </c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</row>
    <row r="11" spans="1:48" ht="20" customHeight="1" x14ac:dyDescent="0.15">
      <c r="A11" s="108" t="str">
        <f>'Tariffs 2017'!F5</f>
        <v>Origin Energy</v>
      </c>
      <c r="B11" s="23" t="str">
        <f>'Tariffs 2017'!D5</f>
        <v>Envestra Adelaide</v>
      </c>
      <c r="C11" s="23" t="str">
        <f>'Tariffs 2017'!G5</f>
        <v>Saver</v>
      </c>
      <c r="D11" s="33">
        <f>91*'Tariffs 2017'!H5/100</f>
        <v>64.61</v>
      </c>
      <c r="E11" s="33">
        <f>IF($C$5&gt;='Tariffs 2017'!J5,('Tariffs 2017'!J5*'Tariffs 2017'!O5/100),($C$5*'Tariffs 2017'!O5/100))</f>
        <v>175.5</v>
      </c>
      <c r="F11" s="33">
        <v>0</v>
      </c>
      <c r="G11" s="33">
        <f>IF(($C$5&lt;'Tariffs 2017'!K5),(0),($C$5-'Tariffs 2017'!K5)*'Tariffs 2017'!P5/100)</f>
        <v>57</v>
      </c>
      <c r="H11" s="33">
        <f t="shared" si="1"/>
        <v>297.11</v>
      </c>
      <c r="I11" s="124">
        <f t="shared" si="0"/>
        <v>930</v>
      </c>
      <c r="J11" s="123">
        <f t="shared" si="2"/>
        <v>1188.44</v>
      </c>
      <c r="K11" s="278">
        <f t="shared" si="3"/>
        <v>1307.2840000000001</v>
      </c>
      <c r="L11" s="23">
        <f>'Tariffs 2017'!AK5</f>
        <v>0</v>
      </c>
      <c r="M11" s="23">
        <f>'Tariffs 2017'!AL5</f>
        <v>0</v>
      </c>
      <c r="N11" s="23">
        <f>'Tariffs 2017'!AM5</f>
        <v>0</v>
      </c>
      <c r="O11" s="23">
        <f>'Tariffs 2017'!AN5</f>
        <v>9</v>
      </c>
      <c r="P11" s="123">
        <f t="shared" si="4"/>
        <v>1188.44</v>
      </c>
      <c r="Q11" s="125">
        <f>P11-(I11*O11/100)</f>
        <v>1104.74</v>
      </c>
      <c r="R11" s="111">
        <f t="shared" si="5"/>
        <v>1307.2840000000001</v>
      </c>
      <c r="S11" s="111">
        <f t="shared" si="5"/>
        <v>1215.2140000000002</v>
      </c>
      <c r="T11" s="112">
        <f>'Tariffs 2017'!AU5</f>
        <v>0</v>
      </c>
      <c r="U11" s="112" t="str">
        <f>'Tariffs 2017'!AV5</f>
        <v>n</v>
      </c>
      <c r="V11" s="113" t="str">
        <f>'Tariffs 2017'!BB5</f>
        <v>N</v>
      </c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</row>
    <row r="12" spans="1:48" ht="20" customHeight="1" x14ac:dyDescent="0.15">
      <c r="A12" s="108" t="str">
        <f>'Tariffs 2017'!F6</f>
        <v>Simply Energy</v>
      </c>
      <c r="B12" s="23" t="str">
        <f>'Tariffs 2017'!D6</f>
        <v>Envestra Adelaide</v>
      </c>
      <c r="C12" s="23" t="str">
        <f>'Tariffs 2017'!G6</f>
        <v>Plus</v>
      </c>
      <c r="D12" s="33">
        <f>91*'Tariffs 2017'!H6/100</f>
        <v>56.611099999999993</v>
      </c>
      <c r="E12" s="33">
        <f>IF($C$5&gt;='Tariffs 2017'!J6,('Tariffs 2017'!J6*'Tariffs 2017'!O6/100),($C$5*'Tariffs 2017'!O6/100))</f>
        <v>329.25</v>
      </c>
      <c r="F12" s="33">
        <f>IF($C$5&lt;'Tariffs 2017'!J6,0,IF(($C$5-'Tariffs 2017'!J6)&lt;='Tariffs 2017'!K6,(($C$5-'Tariffs 2017'!J6)*'Tariffs 2017'!P6/100),(('Tariffs 2017'!K6-'Tariffs 2017'!J6)*'Tariffs 2017'!P6/100)))</f>
        <v>0</v>
      </c>
      <c r="G12" s="33">
        <f>IF(($C$5&lt;'Tariffs 2017'!K6),(0),($C$5-'Tariffs 2017'!K6)*'Tariffs 2017'!Q6/100)</f>
        <v>0</v>
      </c>
      <c r="H12" s="33">
        <f t="shared" si="1"/>
        <v>385.86109999999996</v>
      </c>
      <c r="I12" s="124">
        <f t="shared" si="0"/>
        <v>1317</v>
      </c>
      <c r="J12" s="123">
        <f t="shared" si="2"/>
        <v>1543.4443999999999</v>
      </c>
      <c r="K12" s="278">
        <f t="shared" si="3"/>
        <v>1697.7888399999999</v>
      </c>
      <c r="L12" s="23">
        <f>'Tariffs 2017'!AK6</f>
        <v>0</v>
      </c>
      <c r="M12" s="23">
        <f>'Tariffs 2017'!AL6</f>
        <v>0</v>
      </c>
      <c r="N12" s="23">
        <f>'Tariffs 2017'!AM6</f>
        <v>0</v>
      </c>
      <c r="O12" s="23">
        <f>'Tariffs 2017'!AN6</f>
        <v>15</v>
      </c>
      <c r="P12" s="123">
        <f t="shared" si="4"/>
        <v>1543.4443999999999</v>
      </c>
      <c r="Q12" s="125">
        <f>P12-(I12*O12/100)</f>
        <v>1345.8943999999999</v>
      </c>
      <c r="R12" s="111">
        <f t="shared" si="5"/>
        <v>1697.7888399999999</v>
      </c>
      <c r="S12" s="111">
        <f t="shared" si="5"/>
        <v>1480.4838400000001</v>
      </c>
      <c r="T12" s="112">
        <f>'Tariffs 2017'!AU6</f>
        <v>24</v>
      </c>
      <c r="U12" s="112" t="str">
        <f>'Tariffs 2017'!AV6</f>
        <v>y</v>
      </c>
      <c r="V12" s="113" t="str">
        <f>'Tariffs 2017'!BB6</f>
        <v>Y</v>
      </c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</row>
    <row r="13" spans="1:48" ht="20" customHeight="1" thickBot="1" x14ac:dyDescent="0.2">
      <c r="A13" s="294" t="str">
        <f>'Tariffs 2017'!F7</f>
        <v>Red Energy</v>
      </c>
      <c r="B13" s="295" t="str">
        <f>'Tariffs 2017'!D7</f>
        <v>Envestra Adelaide</v>
      </c>
      <c r="C13" s="295" t="str">
        <f>'Tariffs 2017'!G7</f>
        <v>Easy Saver</v>
      </c>
      <c r="D13" s="296">
        <f>91*'Tariffs 2017'!H7/100</f>
        <v>65.52</v>
      </c>
      <c r="E13" s="296">
        <f>IF($C$5&gt;='Tariffs 2017'!J7,('Tariffs 2017'!J7*'Tariffs 2017'!O7/100),($C$5*'Tariffs 2017'!O7/100))</f>
        <v>174.6</v>
      </c>
      <c r="F13" s="296">
        <v>0</v>
      </c>
      <c r="G13" s="296">
        <f>IF(($C$5&lt;'Tariffs 2017'!K7),(0),($C$5-'Tariffs 2017'!K7)*'Tariffs 2017'!P7/100)</f>
        <v>56.1</v>
      </c>
      <c r="H13" s="296">
        <f t="shared" ref="H13" si="6">SUM(D13:G13)</f>
        <v>296.22000000000003</v>
      </c>
      <c r="I13" s="304">
        <f t="shared" si="0"/>
        <v>922.80000000000018</v>
      </c>
      <c r="J13" s="305">
        <f t="shared" ref="J13" si="7">H13*4</f>
        <v>1184.8800000000001</v>
      </c>
      <c r="K13" s="303">
        <f t="shared" ref="K13" si="8">J13*1.1</f>
        <v>1303.3680000000002</v>
      </c>
      <c r="L13" s="295">
        <f>'Tariffs 2017'!AK7</f>
        <v>0</v>
      </c>
      <c r="M13" s="295">
        <f>'Tariffs 2017'!AL7</f>
        <v>0</v>
      </c>
      <c r="N13" s="295">
        <f>'Tariffs 2017'!AM7</f>
        <v>10</v>
      </c>
      <c r="O13" s="295">
        <f>'Tariffs 2017'!AN7</f>
        <v>0</v>
      </c>
      <c r="P13" s="305">
        <f t="shared" si="4"/>
        <v>1184.8800000000001</v>
      </c>
      <c r="Q13" s="306">
        <f>P13-(K13*N13/100)</f>
        <v>1054.5432000000001</v>
      </c>
      <c r="R13" s="300">
        <f t="shared" ref="R13" si="9">P13*1.1</f>
        <v>1303.3680000000002</v>
      </c>
      <c r="S13" s="300">
        <f t="shared" ref="S13" si="10">Q13*1.1</f>
        <v>1159.9975200000001</v>
      </c>
      <c r="T13" s="301">
        <f>'Tariffs 2017'!AU7</f>
        <v>0</v>
      </c>
      <c r="U13" s="301" t="str">
        <f>'Tariffs 2017'!AV7</f>
        <v>n</v>
      </c>
      <c r="V13" s="302" t="str">
        <f>'Tariffs 2017'!BB7</f>
        <v>Y</v>
      </c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</row>
    <row r="14" spans="1:48" ht="20" customHeight="1" thickTop="1" thickBot="1" x14ac:dyDescent="0.2">
      <c r="A14" s="294" t="str">
        <f>'Tariffs 2017'!F8</f>
        <v>Origin Energy</v>
      </c>
      <c r="B14" s="295" t="str">
        <f>'Tariffs 2017'!D8</f>
        <v>Envestra Port Pirie</v>
      </c>
      <c r="C14" s="295" t="str">
        <f>'Tariffs 2017'!G8</f>
        <v>Saver</v>
      </c>
      <c r="D14" s="296">
        <f>91*'Tariffs 2017'!H8/100</f>
        <v>64.61</v>
      </c>
      <c r="E14" s="296">
        <f>IF($C$5&gt;='Tariffs 2017'!J8,('Tariffs 2017'!J8*'Tariffs 2017'!O8/100),($C$5*'Tariffs 2017'!O8/100))</f>
        <v>175.5</v>
      </c>
      <c r="F14" s="296">
        <v>0</v>
      </c>
      <c r="G14" s="296">
        <f>IF(($C$5&lt;'Tariffs 2017'!K8),(0),($C$5-'Tariffs 2017'!K8)*'Tariffs 2017'!P8/100)</f>
        <v>57</v>
      </c>
      <c r="H14" s="296">
        <f t="shared" si="1"/>
        <v>297.11</v>
      </c>
      <c r="I14" s="296">
        <f>(H14-D14)*4</f>
        <v>930</v>
      </c>
      <c r="J14" s="297">
        <f t="shared" si="2"/>
        <v>1188.44</v>
      </c>
      <c r="K14" s="298">
        <f t="shared" si="3"/>
        <v>1307.2840000000001</v>
      </c>
      <c r="L14" s="295">
        <f>'Tariffs 2017'!AK8</f>
        <v>0</v>
      </c>
      <c r="M14" s="295">
        <f>'Tariffs 2017'!AL8</f>
        <v>0</v>
      </c>
      <c r="N14" s="295">
        <f>'Tariffs 2017'!AM8</f>
        <v>0</v>
      </c>
      <c r="O14" s="295">
        <f>'Tariffs 2017'!AN8</f>
        <v>9</v>
      </c>
      <c r="P14" s="297">
        <f t="shared" si="4"/>
        <v>1188.44</v>
      </c>
      <c r="Q14" s="299">
        <f t="shared" ref="Q14:Q17" si="11">P14-(I14*O14/100)</f>
        <v>1104.74</v>
      </c>
      <c r="R14" s="300">
        <f t="shared" si="5"/>
        <v>1307.2840000000001</v>
      </c>
      <c r="S14" s="300">
        <f t="shared" si="5"/>
        <v>1215.2140000000002</v>
      </c>
      <c r="T14" s="301">
        <f>'Tariffs 2017'!AU8</f>
        <v>0</v>
      </c>
      <c r="U14" s="301" t="str">
        <f>'Tariffs 2017'!AV8</f>
        <v>n</v>
      </c>
      <c r="V14" s="302" t="str">
        <f>'Tariffs 2017'!BB8</f>
        <v>N</v>
      </c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</row>
    <row r="15" spans="1:48" ht="20" customHeight="1" thickTop="1" thickBot="1" x14ac:dyDescent="0.2">
      <c r="A15" s="294" t="str">
        <f>'Tariffs 2017'!F9</f>
        <v>Origin Energy</v>
      </c>
      <c r="B15" s="295" t="str">
        <f>'Tariffs 2017'!D9</f>
        <v>Envestra Whyalla</v>
      </c>
      <c r="C15" s="295" t="str">
        <f>'Tariffs 2017'!G9</f>
        <v>Saver</v>
      </c>
      <c r="D15" s="296">
        <f>91*'Tariffs 2017'!H9/100</f>
        <v>64.61</v>
      </c>
      <c r="E15" s="296">
        <f>IF($C$5&gt;='Tariffs 2017'!J9,('Tariffs 2017'!J9*'Tariffs 2017'!O9/100),($C$5*'Tariffs 2017'!O9/100))</f>
        <v>175.5</v>
      </c>
      <c r="F15" s="296">
        <v>0</v>
      </c>
      <c r="G15" s="296">
        <f>IF(($C$5&lt;'Tariffs 2017'!K9),(0),($C$5-'Tariffs 2017'!K9)*'Tariffs 2017'!P9/100)</f>
        <v>57</v>
      </c>
      <c r="H15" s="296">
        <f t="shared" si="1"/>
        <v>297.11</v>
      </c>
      <c r="I15" s="296">
        <f>(H15-D15)*4</f>
        <v>930</v>
      </c>
      <c r="J15" s="297">
        <f t="shared" si="2"/>
        <v>1188.44</v>
      </c>
      <c r="K15" s="298">
        <f t="shared" si="3"/>
        <v>1307.2840000000001</v>
      </c>
      <c r="L15" s="295">
        <f>'Tariffs 2017'!AK9</f>
        <v>0</v>
      </c>
      <c r="M15" s="295">
        <f>'Tariffs 2017'!AL9</f>
        <v>0</v>
      </c>
      <c r="N15" s="295">
        <f>'Tariffs 2017'!AM9</f>
        <v>0</v>
      </c>
      <c r="O15" s="295">
        <f>'Tariffs 2017'!AN9</f>
        <v>9</v>
      </c>
      <c r="P15" s="297">
        <f t="shared" si="4"/>
        <v>1188.44</v>
      </c>
      <c r="Q15" s="299">
        <f t="shared" si="11"/>
        <v>1104.74</v>
      </c>
      <c r="R15" s="300">
        <f t="shared" si="5"/>
        <v>1307.2840000000001</v>
      </c>
      <c r="S15" s="300">
        <f t="shared" si="5"/>
        <v>1215.2140000000002</v>
      </c>
      <c r="T15" s="301">
        <f>'Tariffs 2017'!AU9</f>
        <v>0</v>
      </c>
      <c r="U15" s="301" t="str">
        <f>'Tariffs 2017'!AV9</f>
        <v>n</v>
      </c>
      <c r="V15" s="302" t="str">
        <f>'Tariffs 2017'!BB9</f>
        <v>N</v>
      </c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</row>
    <row r="16" spans="1:48" ht="20" customHeight="1" thickTop="1" thickBot="1" x14ac:dyDescent="0.2">
      <c r="A16" s="294" t="str">
        <f>'Tariffs 2017'!F10</f>
        <v>Origin Energy</v>
      </c>
      <c r="B16" s="295" t="str">
        <f>'Tariffs 2017'!D10</f>
        <v>Envestra Mt Gambier</v>
      </c>
      <c r="C16" s="295" t="str">
        <f>'Tariffs 2017'!G10</f>
        <v>Saver</v>
      </c>
      <c r="D16" s="296">
        <f>91*'Tariffs 2017'!H10/100</f>
        <v>64.61</v>
      </c>
      <c r="E16" s="296">
        <f>IF($C$5&gt;='Tariffs 2017'!J10,('Tariffs 2017'!J10*'Tariffs 2017'!O10/100),($C$5*'Tariffs 2017'!O10/100))</f>
        <v>175.5</v>
      </c>
      <c r="F16" s="296">
        <v>0</v>
      </c>
      <c r="G16" s="296">
        <f>IF(($C$5&lt;'Tariffs 2017'!K10),(0),($C$5-'Tariffs 2017'!K10)*'Tariffs 2017'!P10/100)</f>
        <v>57</v>
      </c>
      <c r="H16" s="296">
        <f t="shared" si="1"/>
        <v>297.11</v>
      </c>
      <c r="I16" s="296">
        <f>(H16-D16)*4</f>
        <v>930</v>
      </c>
      <c r="J16" s="297">
        <f t="shared" si="2"/>
        <v>1188.44</v>
      </c>
      <c r="K16" s="298">
        <f t="shared" si="3"/>
        <v>1307.2840000000001</v>
      </c>
      <c r="L16" s="295">
        <f>'Tariffs 2017'!AK10</f>
        <v>0</v>
      </c>
      <c r="M16" s="295">
        <f>'Tariffs 2017'!AL10</f>
        <v>0</v>
      </c>
      <c r="N16" s="295">
        <f>'Tariffs 2017'!AM10</f>
        <v>0</v>
      </c>
      <c r="O16" s="295">
        <f>'Tariffs 2017'!AN10</f>
        <v>9</v>
      </c>
      <c r="P16" s="297">
        <f t="shared" si="4"/>
        <v>1188.44</v>
      </c>
      <c r="Q16" s="299">
        <f t="shared" si="11"/>
        <v>1104.74</v>
      </c>
      <c r="R16" s="300">
        <f t="shared" si="5"/>
        <v>1307.2840000000001</v>
      </c>
      <c r="S16" s="300">
        <f t="shared" si="5"/>
        <v>1215.2140000000002</v>
      </c>
      <c r="T16" s="301">
        <f>'Tariffs 2017'!AU10</f>
        <v>0</v>
      </c>
      <c r="U16" s="301" t="str">
        <f>'Tariffs 2017'!AV10</f>
        <v>n</v>
      </c>
      <c r="V16" s="302" t="str">
        <f>'Tariffs 2017'!BB10</f>
        <v>N</v>
      </c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</row>
    <row r="17" spans="1:48" ht="20" customHeight="1" thickTop="1" thickBot="1" x14ac:dyDescent="0.2">
      <c r="A17" s="114" t="str">
        <f>'Tariffs 2017'!F11</f>
        <v>Origin Energy</v>
      </c>
      <c r="B17" s="115" t="str">
        <f>'Tariffs 2017'!D11</f>
        <v>Envestra Riverland</v>
      </c>
      <c r="C17" s="115" t="str">
        <f>'Tariffs 2017'!G11</f>
        <v>Saver</v>
      </c>
      <c r="D17" s="116">
        <f>91*'Tariffs 2017'!H11/100</f>
        <v>64.61</v>
      </c>
      <c r="E17" s="116">
        <f>IF($C$5&gt;='Tariffs 2017'!J11,('Tariffs 2017'!J11*'Tariffs 2017'!O11/100),($C$5*'Tariffs 2017'!O11/100))</f>
        <v>175.5</v>
      </c>
      <c r="F17" s="116">
        <v>0</v>
      </c>
      <c r="G17" s="116">
        <f>IF(($C$5&lt;'Tariffs 2017'!K11),(0),($C$5-'Tariffs 2017'!K11)*'Tariffs 2017'!P11/100)</f>
        <v>57</v>
      </c>
      <c r="H17" s="116">
        <f t="shared" si="1"/>
        <v>297.11</v>
      </c>
      <c r="I17" s="116">
        <f>(H17-D17)*4</f>
        <v>930</v>
      </c>
      <c r="J17" s="117">
        <f t="shared" si="2"/>
        <v>1188.44</v>
      </c>
      <c r="K17" s="279">
        <f t="shared" si="3"/>
        <v>1307.2840000000001</v>
      </c>
      <c r="L17" s="115">
        <f>'Tariffs 2017'!AK11</f>
        <v>0</v>
      </c>
      <c r="M17" s="115">
        <f>'Tariffs 2017'!AL11</f>
        <v>0</v>
      </c>
      <c r="N17" s="115">
        <f>'Tariffs 2017'!AM11</f>
        <v>0</v>
      </c>
      <c r="O17" s="115">
        <f>'Tariffs 2017'!AN11</f>
        <v>9</v>
      </c>
      <c r="P17" s="117">
        <f t="shared" si="4"/>
        <v>1188.44</v>
      </c>
      <c r="Q17" s="118">
        <f t="shared" si="11"/>
        <v>1104.74</v>
      </c>
      <c r="R17" s="119">
        <f t="shared" si="5"/>
        <v>1307.2840000000001</v>
      </c>
      <c r="S17" s="119">
        <f t="shared" si="5"/>
        <v>1215.2140000000002</v>
      </c>
      <c r="T17" s="120">
        <f>'Tariffs 2017'!AU11</f>
        <v>0</v>
      </c>
      <c r="U17" s="120" t="str">
        <f>'Tariffs 2017'!AV11</f>
        <v>n</v>
      </c>
      <c r="V17" s="121" t="str">
        <f>'Tariffs 2017'!BB11</f>
        <v>N</v>
      </c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</row>
    <row r="18" spans="1:48" s="135" customFormat="1" x14ac:dyDescent="0.15"/>
    <row r="19" spans="1:48" s="135" customFormat="1" x14ac:dyDescent="0.15"/>
    <row r="20" spans="1:48" s="135" customFormat="1" x14ac:dyDescent="0.15"/>
    <row r="21" spans="1:48" s="135" customFormat="1" x14ac:dyDescent="0.15"/>
    <row r="22" spans="1:48" s="135" customFormat="1" x14ac:dyDescent="0.15"/>
    <row r="23" spans="1:48" s="135" customFormat="1" x14ac:dyDescent="0.15"/>
    <row r="24" spans="1:48" s="135" customFormat="1" x14ac:dyDescent="0.15"/>
    <row r="25" spans="1:48" s="135" customFormat="1" x14ac:dyDescent="0.15"/>
    <row r="26" spans="1:48" s="135" customFormat="1" x14ac:dyDescent="0.15"/>
    <row r="27" spans="1:48" s="135" customFormat="1" x14ac:dyDescent="0.15"/>
    <row r="28" spans="1:48" s="135" customFormat="1" x14ac:dyDescent="0.15"/>
    <row r="29" spans="1:48" s="135" customFormat="1" x14ac:dyDescent="0.15"/>
    <row r="30" spans="1:48" s="135" customFormat="1" x14ac:dyDescent="0.15"/>
    <row r="31" spans="1:48" s="135" customFormat="1" x14ac:dyDescent="0.15"/>
    <row r="32" spans="1:48" s="135" customFormat="1" x14ac:dyDescent="0.15"/>
    <row r="33" s="135" customFormat="1" x14ac:dyDescent="0.15"/>
    <row r="34" s="135" customFormat="1" x14ac:dyDescent="0.15"/>
    <row r="35" s="135" customFormat="1" x14ac:dyDescent="0.15"/>
    <row r="36" s="135" customFormat="1" x14ac:dyDescent="0.15"/>
    <row r="37" s="135" customFormat="1" x14ac:dyDescent="0.15"/>
    <row r="38" s="135" customFormat="1" x14ac:dyDescent="0.15"/>
    <row r="39" s="135" customFormat="1" x14ac:dyDescent="0.15"/>
    <row r="40" s="135" customFormat="1" x14ac:dyDescent="0.15"/>
    <row r="41" s="135" customFormat="1" x14ac:dyDescent="0.15"/>
    <row r="42" s="135" customFormat="1" x14ac:dyDescent="0.15"/>
    <row r="43" s="135" customFormat="1" x14ac:dyDescent="0.15"/>
    <row r="44" s="135" customFormat="1" x14ac:dyDescent="0.15"/>
    <row r="45" s="135" customFormat="1" x14ac:dyDescent="0.15"/>
    <row r="46" s="135" customFormat="1" x14ac:dyDescent="0.15"/>
    <row r="47" s="135" customFormat="1" x14ac:dyDescent="0.15"/>
    <row r="48" s="135" customFormat="1" x14ac:dyDescent="0.15"/>
    <row r="49" s="135" customFormat="1" x14ac:dyDescent="0.15"/>
    <row r="50" s="135" customFormat="1" x14ac:dyDescent="0.15"/>
    <row r="51" s="135" customFormat="1" x14ac:dyDescent="0.15"/>
    <row r="52" s="135" customFormat="1" x14ac:dyDescent="0.15"/>
    <row r="53" s="135" customFormat="1" x14ac:dyDescent="0.15"/>
    <row r="54" s="135" customFormat="1" x14ac:dyDescent="0.15"/>
    <row r="55" s="135" customFormat="1" x14ac:dyDescent="0.15"/>
    <row r="56" s="135" customFormat="1" x14ac:dyDescent="0.15"/>
    <row r="57" s="135" customFormat="1" x14ac:dyDescent="0.15"/>
    <row r="58" s="135" customFormat="1" x14ac:dyDescent="0.15"/>
    <row r="59" s="135" customFormat="1" x14ac:dyDescent="0.15"/>
    <row r="60" s="135" customFormat="1" x14ac:dyDescent="0.15"/>
    <row r="61" s="135" customFormat="1" x14ac:dyDescent="0.15"/>
    <row r="62" s="135" customFormat="1" x14ac:dyDescent="0.15"/>
    <row r="63" s="135" customFormat="1" x14ac:dyDescent="0.15"/>
    <row r="64" s="135" customFormat="1" x14ac:dyDescent="0.15"/>
    <row r="65" s="135" customFormat="1" x14ac:dyDescent="0.15"/>
    <row r="66" s="135" customFormat="1" x14ac:dyDescent="0.15"/>
    <row r="67" s="135" customFormat="1" x14ac:dyDescent="0.15"/>
    <row r="68" s="135" customFormat="1" x14ac:dyDescent="0.15"/>
    <row r="69" s="135" customFormat="1" x14ac:dyDescent="0.15"/>
    <row r="70" s="135" customFormat="1" x14ac:dyDescent="0.15"/>
    <row r="71" s="135" customFormat="1" x14ac:dyDescent="0.15"/>
    <row r="72" s="135" customFormat="1" x14ac:dyDescent="0.15"/>
    <row r="73" s="135" customFormat="1" x14ac:dyDescent="0.15"/>
    <row r="74" s="135" customFormat="1" x14ac:dyDescent="0.15"/>
    <row r="75" s="135" customFormat="1" x14ac:dyDescent="0.15"/>
    <row r="76" s="135" customFormat="1" x14ac:dyDescent="0.15"/>
    <row r="77" s="135" customFormat="1" x14ac:dyDescent="0.15"/>
    <row r="78" s="135" customFormat="1" x14ac:dyDescent="0.15"/>
    <row r="79" s="135" customFormat="1" x14ac:dyDescent="0.15"/>
    <row r="80" s="135" customFormat="1" x14ac:dyDescent="0.15"/>
    <row r="81" s="135" customFormat="1" x14ac:dyDescent="0.15"/>
    <row r="82" s="135" customFormat="1" x14ac:dyDescent="0.15"/>
    <row r="83" s="135" customFormat="1" x14ac:dyDescent="0.15"/>
    <row r="84" s="135" customFormat="1" x14ac:dyDescent="0.15"/>
    <row r="85" s="135" customFormat="1" x14ac:dyDescent="0.15"/>
    <row r="86" s="135" customFormat="1" x14ac:dyDescent="0.15"/>
    <row r="87" s="135" customFormat="1" x14ac:dyDescent="0.15"/>
    <row r="88" s="135" customFormat="1" x14ac:dyDescent="0.15"/>
    <row r="89" s="135" customFormat="1" x14ac:dyDescent="0.15"/>
    <row r="90" s="135" customFormat="1" x14ac:dyDescent="0.15"/>
    <row r="91" s="135" customFormat="1" x14ac:dyDescent="0.15"/>
    <row r="92" s="135" customFormat="1" x14ac:dyDescent="0.15"/>
    <row r="93" s="135" customFormat="1" x14ac:dyDescent="0.15"/>
    <row r="94" s="135" customFormat="1" x14ac:dyDescent="0.15"/>
    <row r="95" s="135" customFormat="1" x14ac:dyDescent="0.15"/>
    <row r="96" s="135" customFormat="1" x14ac:dyDescent="0.15"/>
    <row r="97" s="135" customFormat="1" x14ac:dyDescent="0.15"/>
    <row r="98" s="135" customFormat="1" x14ac:dyDescent="0.15"/>
    <row r="99" s="135" customFormat="1" x14ac:dyDescent="0.15"/>
    <row r="100" s="135" customFormat="1" x14ac:dyDescent="0.15"/>
    <row r="101" s="135" customFormat="1" x14ac:dyDescent="0.15"/>
    <row r="102" s="135" customFormat="1" x14ac:dyDescent="0.15"/>
    <row r="103" s="135" customFormat="1" x14ac:dyDescent="0.15"/>
    <row r="104" s="135" customFormat="1" x14ac:dyDescent="0.15"/>
    <row r="105" s="135" customFormat="1" x14ac:dyDescent="0.15"/>
    <row r="106" s="135" customFormat="1" x14ac:dyDescent="0.15"/>
    <row r="107" s="135" customFormat="1" x14ac:dyDescent="0.15"/>
    <row r="108" s="135" customFormat="1" x14ac:dyDescent="0.15"/>
    <row r="109" s="135" customFormat="1" x14ac:dyDescent="0.15"/>
    <row r="110" s="135" customFormat="1" x14ac:dyDescent="0.15"/>
    <row r="111" s="135" customFormat="1" x14ac:dyDescent="0.15"/>
    <row r="112" s="135" customFormat="1" x14ac:dyDescent="0.15"/>
    <row r="113" s="135" customFormat="1" x14ac:dyDescent="0.15"/>
    <row r="114" s="135" customFormat="1" x14ac:dyDescent="0.15"/>
    <row r="115" s="135" customFormat="1" x14ac:dyDescent="0.15"/>
    <row r="116" s="135" customFormat="1" x14ac:dyDescent="0.15"/>
    <row r="117" s="135" customFormat="1" x14ac:dyDescent="0.15"/>
    <row r="118" s="135" customFormat="1" x14ac:dyDescent="0.15"/>
    <row r="119" s="135" customFormat="1" x14ac:dyDescent="0.15"/>
    <row r="120" s="135" customFormat="1" x14ac:dyDescent="0.15"/>
    <row r="121" s="135" customFormat="1" x14ac:dyDescent="0.15"/>
    <row r="122" s="135" customFormat="1" x14ac:dyDescent="0.15"/>
    <row r="123" s="135" customFormat="1" x14ac:dyDescent="0.15"/>
    <row r="124" s="135" customFormat="1" x14ac:dyDescent="0.15"/>
    <row r="125" s="135" customFormat="1" x14ac:dyDescent="0.15"/>
    <row r="126" s="135" customFormat="1" x14ac:dyDescent="0.15"/>
    <row r="127" s="135" customFormat="1" x14ac:dyDescent="0.15"/>
    <row r="128" s="135" customFormat="1" x14ac:dyDescent="0.15"/>
    <row r="129" s="135" customFormat="1" x14ac:dyDescent="0.15"/>
    <row r="130" s="135" customFormat="1" x14ac:dyDescent="0.15"/>
    <row r="131" s="135" customFormat="1" x14ac:dyDescent="0.15"/>
    <row r="132" s="135" customFormat="1" x14ac:dyDescent="0.15"/>
    <row r="133" s="135" customFormat="1" x14ac:dyDescent="0.15"/>
    <row r="134" s="135" customFormat="1" x14ac:dyDescent="0.15"/>
    <row r="135" s="135" customFormat="1" x14ac:dyDescent="0.15"/>
    <row r="136" s="135" customFormat="1" x14ac:dyDescent="0.15"/>
    <row r="137" s="135" customFormat="1" x14ac:dyDescent="0.15"/>
    <row r="138" s="135" customFormat="1" x14ac:dyDescent="0.15"/>
    <row r="139" s="135" customFormat="1" x14ac:dyDescent="0.15"/>
    <row r="140" s="135" customFormat="1" x14ac:dyDescent="0.15"/>
    <row r="141" s="135" customFormat="1" x14ac:dyDescent="0.15"/>
    <row r="142" s="135" customFormat="1" x14ac:dyDescent="0.15"/>
    <row r="143" s="135" customFormat="1" x14ac:dyDescent="0.15"/>
    <row r="144" s="135" customFormat="1" x14ac:dyDescent="0.15"/>
    <row r="145" s="135" customFormat="1" x14ac:dyDescent="0.15"/>
    <row r="146" s="135" customFormat="1" x14ac:dyDescent="0.15"/>
    <row r="147" s="135" customFormat="1" x14ac:dyDescent="0.15"/>
    <row r="148" s="135" customFormat="1" x14ac:dyDescent="0.15"/>
    <row r="149" s="135" customFormat="1" x14ac:dyDescent="0.15"/>
    <row r="150" s="135" customFormat="1" x14ac:dyDescent="0.15"/>
    <row r="151" s="135" customFormat="1" x14ac:dyDescent="0.15"/>
    <row r="152" s="135" customFormat="1" x14ac:dyDescent="0.15"/>
    <row r="153" s="135" customFormat="1" x14ac:dyDescent="0.15"/>
    <row r="154" s="135" customFormat="1" x14ac:dyDescent="0.15"/>
    <row r="155" s="135" customFormat="1" x14ac:dyDescent="0.15"/>
    <row r="156" s="135" customFormat="1" x14ac:dyDescent="0.15"/>
    <row r="157" s="135" customFormat="1" x14ac:dyDescent="0.15"/>
    <row r="158" s="135" customFormat="1" x14ac:dyDescent="0.15"/>
    <row r="159" s="135" customFormat="1" x14ac:dyDescent="0.15"/>
    <row r="160" s="135" customFormat="1" x14ac:dyDescent="0.15"/>
    <row r="161" s="135" customFormat="1" x14ac:dyDescent="0.15"/>
    <row r="162" s="135" customFormat="1" x14ac:dyDescent="0.15"/>
    <row r="163" s="135" customFormat="1" x14ac:dyDescent="0.15"/>
    <row r="164" s="135" customFormat="1" x14ac:dyDescent="0.15"/>
    <row r="165" s="135" customFormat="1" x14ac:dyDescent="0.15"/>
    <row r="166" s="135" customFormat="1" x14ac:dyDescent="0.15"/>
    <row r="167" s="135" customFormat="1" x14ac:dyDescent="0.15"/>
    <row r="168" s="135" customFormat="1" x14ac:dyDescent="0.15"/>
    <row r="169" s="135" customFormat="1" x14ac:dyDescent="0.15"/>
    <row r="170" s="135" customFormat="1" x14ac:dyDescent="0.15"/>
    <row r="171" s="135" customFormat="1" x14ac:dyDescent="0.15"/>
    <row r="172" s="135" customFormat="1" x14ac:dyDescent="0.15"/>
    <row r="173" s="135" customFormat="1" x14ac:dyDescent="0.15"/>
    <row r="174" s="135" customFormat="1" x14ac:dyDescent="0.15"/>
    <row r="175" s="135" customFormat="1" x14ac:dyDescent="0.15"/>
    <row r="176" s="135" customFormat="1" x14ac:dyDescent="0.15"/>
    <row r="177" s="135" customFormat="1" x14ac:dyDescent="0.15"/>
    <row r="178" s="135" customFormat="1" x14ac:dyDescent="0.15"/>
    <row r="179" s="135" customFormat="1" x14ac:dyDescent="0.15"/>
    <row r="180" s="135" customFormat="1" x14ac:dyDescent="0.15"/>
    <row r="181" s="135" customFormat="1" x14ac:dyDescent="0.15"/>
    <row r="182" s="135" customFormat="1" x14ac:dyDescent="0.15"/>
    <row r="183" s="135" customFormat="1" x14ac:dyDescent="0.15"/>
    <row r="184" s="135" customFormat="1" x14ac:dyDescent="0.15"/>
    <row r="185" s="135" customFormat="1" x14ac:dyDescent="0.15"/>
    <row r="186" s="135" customFormat="1" x14ac:dyDescent="0.15"/>
    <row r="187" s="135" customFormat="1" x14ac:dyDescent="0.15"/>
    <row r="188" s="135" customFormat="1" x14ac:dyDescent="0.15"/>
    <row r="189" s="135" customFormat="1" x14ac:dyDescent="0.15"/>
    <row r="190" s="135" customFormat="1" x14ac:dyDescent="0.15"/>
    <row r="191" s="135" customFormat="1" x14ac:dyDescent="0.15"/>
    <row r="192" s="135" customFormat="1" x14ac:dyDescent="0.15"/>
    <row r="193" s="135" customFormat="1" x14ac:dyDescent="0.15"/>
    <row r="194" s="135" customFormat="1" x14ac:dyDescent="0.15"/>
    <row r="195" s="135" customFormat="1" x14ac:dyDescent="0.15"/>
    <row r="196" s="135" customFormat="1" x14ac:dyDescent="0.15"/>
    <row r="197" s="135" customFormat="1" x14ac:dyDescent="0.15"/>
    <row r="198" s="135" customFormat="1" x14ac:dyDescent="0.15"/>
    <row r="199" s="135" customFormat="1" x14ac:dyDescent="0.15"/>
    <row r="200" s="135" customFormat="1" x14ac:dyDescent="0.15"/>
    <row r="201" s="135" customFormat="1" x14ac:dyDescent="0.15"/>
    <row r="202" s="135" customFormat="1" x14ac:dyDescent="0.15"/>
    <row r="203" s="135" customFormat="1" x14ac:dyDescent="0.15"/>
    <row r="204" s="135" customFormat="1" x14ac:dyDescent="0.15"/>
    <row r="205" s="135" customFormat="1" x14ac:dyDescent="0.15"/>
    <row r="206" s="135" customFormat="1" x14ac:dyDescent="0.15"/>
    <row r="207" s="135" customFormat="1" x14ac:dyDescent="0.15"/>
    <row r="208" s="135" customFormat="1" x14ac:dyDescent="0.15"/>
    <row r="209" s="135" customFormat="1" x14ac:dyDescent="0.15"/>
    <row r="210" s="135" customFormat="1" x14ac:dyDescent="0.15"/>
    <row r="211" s="135" customFormat="1" x14ac:dyDescent="0.15"/>
    <row r="212" s="135" customFormat="1" x14ac:dyDescent="0.15"/>
    <row r="213" s="135" customFormat="1" x14ac:dyDescent="0.15"/>
    <row r="214" s="135" customFormat="1" x14ac:dyDescent="0.15"/>
    <row r="215" s="135" customFormat="1" x14ac:dyDescent="0.15"/>
    <row r="216" s="135" customFormat="1" x14ac:dyDescent="0.15"/>
    <row r="217" s="135" customFormat="1" x14ac:dyDescent="0.15"/>
    <row r="218" s="135" customFormat="1" x14ac:dyDescent="0.15"/>
    <row r="219" s="135" customFormat="1" x14ac:dyDescent="0.15"/>
    <row r="220" s="135" customFormat="1" x14ac:dyDescent="0.15"/>
    <row r="221" s="135" customFormat="1" x14ac:dyDescent="0.15"/>
    <row r="222" s="135" customFormat="1" x14ac:dyDescent="0.15"/>
    <row r="223" s="135" customFormat="1" x14ac:dyDescent="0.15"/>
    <row r="224" s="135" customFormat="1" x14ac:dyDescent="0.15"/>
    <row r="225" s="135" customFormat="1" x14ac:dyDescent="0.15"/>
    <row r="226" s="135" customFormat="1" x14ac:dyDescent="0.15"/>
    <row r="227" s="135" customFormat="1" x14ac:dyDescent="0.15"/>
    <row r="228" s="135" customFormat="1" x14ac:dyDescent="0.15"/>
    <row r="229" s="135" customFormat="1" x14ac:dyDescent="0.15"/>
    <row r="230" s="135" customFormat="1" x14ac:dyDescent="0.15"/>
    <row r="231" s="135" customFormat="1" x14ac:dyDescent="0.15"/>
    <row r="232" s="135" customFormat="1" x14ac:dyDescent="0.15"/>
    <row r="233" s="135" customFormat="1" x14ac:dyDescent="0.15"/>
    <row r="234" s="135" customFormat="1" x14ac:dyDescent="0.15"/>
    <row r="235" s="135" customFormat="1" x14ac:dyDescent="0.15"/>
    <row r="236" s="135" customFormat="1" x14ac:dyDescent="0.15"/>
  </sheetData>
  <sheetProtection algorithmName="SHA-512" hashValue="xAatlkiyCSKPaHcNN6GFthYMSDtutjqUynMx0K9gn72+2Phajs31znLLc3SzNx7yhp9mGSfh24iqQ4+om04hkg==" saltValue="GFEVKa60PP44LfjXucNM/w==" spinCount="100000" sheet="1" objects="1" scenarios="1"/>
  <phoneticPr fontId="7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FD186"/>
  <sheetViews>
    <sheetView workbookViewId="0">
      <selection activeCell="D23" sqref="D23"/>
    </sheetView>
  </sheetViews>
  <sheetFormatPr baseColWidth="10" defaultRowHeight="13" x14ac:dyDescent="0.15"/>
  <cols>
    <col min="1" max="1" width="14.33203125" style="23" customWidth="1"/>
    <col min="2" max="2" width="19" style="23" bestFit="1" customWidth="1"/>
    <col min="3" max="3" width="12" style="23" bestFit="1" customWidth="1"/>
    <col min="4" max="8" width="11.83203125" style="23" customWidth="1"/>
    <col min="9" max="9" width="10.6640625" style="23" hidden="1" customWidth="1"/>
    <col min="10" max="10" width="12.1640625" style="23" hidden="1" customWidth="1"/>
    <col min="11" max="11" width="12.1640625" style="23" customWidth="1"/>
    <col min="12" max="15" width="11.83203125" style="23" customWidth="1"/>
    <col min="16" max="17" width="10.6640625" style="23" hidden="1" customWidth="1"/>
    <col min="18" max="22" width="11.83203125" style="23" customWidth="1"/>
    <col min="23" max="16384" width="10.83203125" style="23"/>
  </cols>
  <sheetData>
    <row r="1" spans="1:160" ht="14" x14ac:dyDescent="0.15">
      <c r="A1" s="98" t="s">
        <v>12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99"/>
      <c r="DG1" s="99"/>
      <c r="DH1" s="99"/>
      <c r="DI1" s="99"/>
      <c r="DJ1" s="99"/>
      <c r="DK1" s="99"/>
      <c r="DL1" s="99"/>
      <c r="DM1" s="99"/>
      <c r="DN1" s="99"/>
      <c r="DO1" s="99"/>
      <c r="DP1" s="99"/>
      <c r="DQ1" s="99"/>
      <c r="DR1" s="99"/>
      <c r="DS1" s="99"/>
      <c r="DT1" s="99"/>
      <c r="DU1" s="99"/>
      <c r="DV1" s="99"/>
      <c r="DW1" s="99"/>
      <c r="DX1" s="99"/>
      <c r="DY1" s="99"/>
      <c r="DZ1" s="99"/>
      <c r="EA1" s="99"/>
      <c r="EB1" s="99"/>
      <c r="EC1" s="99"/>
      <c r="ED1" s="99"/>
      <c r="EE1" s="99"/>
      <c r="EF1" s="99"/>
      <c r="EG1" s="99"/>
      <c r="EH1" s="99"/>
      <c r="EI1" s="99"/>
      <c r="EJ1" s="99"/>
      <c r="EK1" s="99"/>
      <c r="EL1" s="99"/>
      <c r="EM1" s="99"/>
      <c r="EN1" s="99"/>
      <c r="EO1" s="99"/>
      <c r="EP1" s="99"/>
      <c r="EQ1" s="99"/>
      <c r="ER1" s="99"/>
      <c r="ES1" s="99"/>
      <c r="ET1" s="99"/>
      <c r="EU1" s="99"/>
      <c r="EV1" s="99"/>
      <c r="EW1" s="99"/>
      <c r="EX1" s="99"/>
      <c r="EY1" s="99"/>
      <c r="EZ1" s="99"/>
      <c r="FA1" s="99"/>
      <c r="FB1" s="99"/>
      <c r="FC1" s="99"/>
      <c r="FD1" s="99"/>
    </row>
    <row r="2" spans="1:160" ht="14" x14ac:dyDescent="0.15">
      <c r="A2" s="100" t="s">
        <v>97</v>
      </c>
      <c r="B2" s="100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  <c r="DG2" s="99"/>
      <c r="DH2" s="99"/>
      <c r="DI2" s="99"/>
      <c r="DJ2" s="99"/>
      <c r="DK2" s="99"/>
      <c r="DL2" s="99"/>
      <c r="DM2" s="99"/>
      <c r="DN2" s="99"/>
      <c r="DO2" s="99"/>
      <c r="DP2" s="99"/>
      <c r="DQ2" s="99"/>
      <c r="DR2" s="99"/>
      <c r="DS2" s="99"/>
      <c r="DT2" s="99"/>
      <c r="DU2" s="99"/>
      <c r="DV2" s="99"/>
      <c r="DW2" s="99"/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  <c r="EM2" s="99"/>
      <c r="EN2" s="99"/>
      <c r="EO2" s="99"/>
      <c r="EP2" s="99"/>
      <c r="EQ2" s="99"/>
      <c r="ER2" s="99"/>
      <c r="ES2" s="99"/>
      <c r="ET2" s="99"/>
      <c r="EU2" s="99"/>
      <c r="EV2" s="99"/>
      <c r="EW2" s="99"/>
      <c r="EX2" s="99"/>
      <c r="EY2" s="99"/>
      <c r="EZ2" s="99"/>
      <c r="FA2" s="99"/>
      <c r="FB2" s="99"/>
      <c r="FC2" s="99"/>
      <c r="FD2" s="99"/>
    </row>
    <row r="3" spans="1:160" ht="15" thickBot="1" x14ac:dyDescent="0.2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101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  <c r="DG3" s="99"/>
      <c r="DH3" s="99"/>
      <c r="DI3" s="99"/>
      <c r="DJ3" s="99"/>
      <c r="DK3" s="99"/>
      <c r="DL3" s="99"/>
      <c r="DM3" s="99"/>
      <c r="DN3" s="99"/>
      <c r="DO3" s="99"/>
      <c r="DP3" s="99"/>
      <c r="DQ3" s="99"/>
      <c r="DR3" s="99"/>
      <c r="DS3" s="99"/>
      <c r="DT3" s="99"/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99"/>
      <c r="EG3" s="99"/>
      <c r="EH3" s="99"/>
      <c r="EI3" s="99"/>
      <c r="EJ3" s="99"/>
      <c r="EK3" s="99"/>
      <c r="EL3" s="99"/>
      <c r="EM3" s="99"/>
      <c r="EN3" s="99"/>
      <c r="EO3" s="99"/>
      <c r="EP3" s="99"/>
      <c r="EQ3" s="99"/>
      <c r="ER3" s="99"/>
      <c r="ES3" s="99"/>
      <c r="ET3" s="99"/>
      <c r="EU3" s="99"/>
      <c r="EV3" s="99"/>
      <c r="EW3" s="99"/>
      <c r="EX3" s="99"/>
      <c r="EY3" s="99"/>
      <c r="EZ3" s="99"/>
      <c r="FA3" s="99"/>
      <c r="FB3" s="99"/>
      <c r="FC3" s="99"/>
      <c r="FD3" s="99"/>
    </row>
    <row r="4" spans="1:160" ht="14" x14ac:dyDescent="0.15">
      <c r="A4" s="102" t="s">
        <v>25</v>
      </c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5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  <c r="EM4" s="99"/>
      <c r="EN4" s="99"/>
      <c r="EO4" s="99"/>
      <c r="EP4" s="99"/>
      <c r="EQ4" s="99"/>
      <c r="ER4" s="99"/>
      <c r="ES4" s="99"/>
      <c r="ET4" s="99"/>
      <c r="EU4" s="99"/>
      <c r="EV4" s="99"/>
      <c r="EW4" s="99"/>
      <c r="EX4" s="99"/>
      <c r="EY4" s="99"/>
      <c r="EZ4" s="99"/>
      <c r="FA4" s="99"/>
      <c r="FB4" s="99"/>
      <c r="FC4" s="99"/>
      <c r="FD4" s="99"/>
    </row>
    <row r="5" spans="1:160" ht="14" x14ac:dyDescent="0.15">
      <c r="A5" s="106" t="s">
        <v>358</v>
      </c>
      <c r="B5" s="60"/>
      <c r="C5" s="122">
        <v>5250</v>
      </c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107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I5" s="99"/>
      <c r="DJ5" s="99"/>
      <c r="DK5" s="99"/>
      <c r="DL5" s="99"/>
      <c r="DM5" s="99"/>
      <c r="DN5" s="99"/>
      <c r="DO5" s="99"/>
      <c r="DP5" s="99"/>
      <c r="DQ5" s="99"/>
      <c r="DR5" s="99"/>
      <c r="DS5" s="99"/>
      <c r="DT5" s="99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  <c r="EM5" s="99"/>
      <c r="EN5" s="99"/>
      <c r="EO5" s="99"/>
      <c r="EP5" s="99"/>
      <c r="EQ5" s="99"/>
      <c r="ER5" s="99"/>
      <c r="ES5" s="99"/>
      <c r="ET5" s="99"/>
      <c r="EU5" s="99"/>
      <c r="EV5" s="99"/>
      <c r="EW5" s="99"/>
      <c r="EX5" s="99"/>
      <c r="EY5" s="99"/>
      <c r="EZ5" s="99"/>
      <c r="FA5" s="99"/>
      <c r="FB5" s="99"/>
      <c r="FC5" s="99"/>
      <c r="FD5" s="99"/>
    </row>
    <row r="6" spans="1:160" ht="14" x14ac:dyDescent="0.15">
      <c r="A6" s="106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107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  <c r="EM6" s="99"/>
      <c r="EN6" s="99"/>
      <c r="EO6" s="99"/>
      <c r="EP6" s="99"/>
      <c r="EQ6" s="99"/>
      <c r="ER6" s="99"/>
      <c r="ES6" s="99"/>
      <c r="ET6" s="99"/>
      <c r="EU6" s="99"/>
      <c r="EV6" s="99"/>
      <c r="EW6" s="99"/>
      <c r="EX6" s="99"/>
      <c r="EY6" s="99"/>
      <c r="EZ6" s="99"/>
      <c r="FA6" s="99"/>
      <c r="FB6" s="99"/>
      <c r="FC6" s="99"/>
      <c r="FD6" s="99"/>
    </row>
    <row r="7" spans="1:160" ht="90" x14ac:dyDescent="0.15">
      <c r="A7" s="262" t="s">
        <v>71</v>
      </c>
      <c r="B7" s="263" t="s">
        <v>75</v>
      </c>
      <c r="C7" s="263" t="s">
        <v>45</v>
      </c>
      <c r="D7" s="264" t="s">
        <v>46</v>
      </c>
      <c r="E7" s="264" t="s">
        <v>90</v>
      </c>
      <c r="F7" s="265" t="s">
        <v>91</v>
      </c>
      <c r="G7" s="265" t="s">
        <v>92</v>
      </c>
      <c r="H7" s="265" t="s">
        <v>276</v>
      </c>
      <c r="I7" s="275" t="s">
        <v>79</v>
      </c>
      <c r="J7" s="276" t="s">
        <v>18</v>
      </c>
      <c r="K7" s="266" t="s">
        <v>378</v>
      </c>
      <c r="L7" s="268" t="s">
        <v>19</v>
      </c>
      <c r="M7" s="269" t="s">
        <v>20</v>
      </c>
      <c r="N7" s="269" t="s">
        <v>21</v>
      </c>
      <c r="O7" s="269" t="s">
        <v>22</v>
      </c>
      <c r="P7" s="274" t="s">
        <v>80</v>
      </c>
      <c r="Q7" s="274" t="s">
        <v>81</v>
      </c>
      <c r="R7" s="270" t="s">
        <v>82</v>
      </c>
      <c r="S7" s="270" t="s">
        <v>83</v>
      </c>
      <c r="T7" s="271" t="s">
        <v>23</v>
      </c>
      <c r="U7" s="272" t="s">
        <v>24</v>
      </c>
      <c r="V7" s="273" t="s">
        <v>99</v>
      </c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99"/>
      <c r="DI7" s="99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  <c r="EK7" s="99"/>
      <c r="EL7" s="99"/>
      <c r="EM7" s="99"/>
      <c r="EN7" s="99"/>
      <c r="EO7" s="99"/>
      <c r="EP7" s="99"/>
      <c r="EQ7" s="99"/>
      <c r="ER7" s="99"/>
      <c r="ES7" s="99"/>
      <c r="ET7" s="99"/>
      <c r="EU7" s="99"/>
      <c r="EV7" s="99"/>
      <c r="EW7" s="99"/>
      <c r="EX7" s="99"/>
      <c r="EY7" s="99"/>
      <c r="EZ7" s="99"/>
      <c r="FA7" s="99"/>
      <c r="FB7" s="99"/>
      <c r="FC7" s="99"/>
      <c r="FD7" s="99"/>
    </row>
    <row r="8" spans="1:160" ht="20" customHeight="1" x14ac:dyDescent="0.15">
      <c r="A8" s="108" t="str">
        <f>'Tariffs 2016'!F2</f>
        <v>AGL</v>
      </c>
      <c r="B8" s="23" t="str">
        <f>'Tariffs 2016'!D2</f>
        <v>Envestra Adelaide</v>
      </c>
      <c r="C8" s="23" t="str">
        <f>'Tariffs 2016'!G2</f>
        <v>Savers</v>
      </c>
      <c r="D8" s="33">
        <f>91*'Tariffs 2016'!H2/100</f>
        <v>59.805199999999992</v>
      </c>
      <c r="E8" s="33">
        <f>IF($C$5&gt;='Tariffs 2016'!J2,('Tariffs 2016'!J2*'Tariffs 2016'!O2/100),($C$5*'Tariffs 2016'!O2/100))</f>
        <v>96.275000000000006</v>
      </c>
      <c r="F8" s="33">
        <f>IF($C$5&lt;'Tariffs 2016'!J2,0,IF(($C$5-'Tariffs 2016'!J2)&lt;='Tariffs 2016'!K2,(($C$5-'Tariffs 2016'!J2)*'Tariffs 2016'!P2/100),(('Tariffs 2016'!K2-'Tariffs 2016'!J2)*'Tariffs 2016'!P2/100)))</f>
        <v>82.362499999999997</v>
      </c>
      <c r="G8" s="33">
        <f>IF(($C$5&lt;'Tariffs 2016'!K2),(0),($C$5-'Tariffs 2016'!K2)*'Tariffs 2016'!Q2/100)</f>
        <v>11.685</v>
      </c>
      <c r="H8" s="33">
        <f>SUM(D8:G8)</f>
        <v>250.1277</v>
      </c>
      <c r="I8" s="33">
        <f t="shared" ref="I8:I16" si="0">(H8-D8)*4</f>
        <v>761.29000000000008</v>
      </c>
      <c r="J8" s="109">
        <f>H8*4</f>
        <v>1000.5108</v>
      </c>
      <c r="K8" s="277">
        <f>J8*1.1</f>
        <v>1100.5618800000002</v>
      </c>
      <c r="L8" s="23">
        <f>'Tariffs 2016'!AK2</f>
        <v>0</v>
      </c>
      <c r="M8" s="23">
        <f>'Tariffs 2016'!AL2</f>
        <v>0</v>
      </c>
      <c r="N8" s="23">
        <f>'Tariffs 2016'!AM2</f>
        <v>0</v>
      </c>
      <c r="O8" s="23">
        <f>'Tariffs 2016'!AN2</f>
        <v>10</v>
      </c>
      <c r="P8" s="109">
        <f>J8</f>
        <v>1000.5108</v>
      </c>
      <c r="Q8" s="110">
        <f>P8-(I8*O8/100)</f>
        <v>924.3818</v>
      </c>
      <c r="R8" s="111">
        <f>P8*1.1</f>
        <v>1100.5618800000002</v>
      </c>
      <c r="S8" s="111">
        <f>Q8*1.1</f>
        <v>1016.8199800000001</v>
      </c>
      <c r="T8" s="112">
        <f>'Tariffs 2016'!AU2</f>
        <v>0</v>
      </c>
      <c r="U8" s="112" t="str">
        <f>'Tariffs 2016'!AV2</f>
        <v>n</v>
      </c>
      <c r="V8" s="113" t="str">
        <f>'Tariffs 2016'!BB2</f>
        <v>n</v>
      </c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99"/>
      <c r="EZ8" s="99"/>
      <c r="FA8" s="99"/>
      <c r="FB8" s="99"/>
      <c r="FC8" s="99"/>
      <c r="FD8" s="99"/>
    </row>
    <row r="9" spans="1:160" ht="20" customHeight="1" x14ac:dyDescent="0.15">
      <c r="A9" s="108" t="str">
        <f>'Tariffs 2016'!F3</f>
        <v xml:space="preserve">Alinta Energy </v>
      </c>
      <c r="B9" s="23" t="str">
        <f>'Tariffs 2016'!D3</f>
        <v>Envestra Adelaide</v>
      </c>
      <c r="C9" s="23" t="str">
        <f>'Tariffs 2016'!G3</f>
        <v>Fair Deal</v>
      </c>
      <c r="D9" s="33">
        <f>91*'Tariffs 2016'!H3/100</f>
        <v>58.103500000000004</v>
      </c>
      <c r="E9" s="33">
        <f>IF($C$5&gt;='Tariffs 2016'!J3,('Tariffs 2016'!J3*'Tariffs 2016'!O3/100),($C$5*'Tariffs 2016'!O3/100))</f>
        <v>107.10989010989012</v>
      </c>
      <c r="F9" s="33">
        <v>0</v>
      </c>
      <c r="G9" s="33">
        <f>IF(($C$5&lt;'Tariffs 2016'!K3),(0),($C$5-'Tariffs 2016'!K3)*'Tariffs 2016'!P3/100)</f>
        <v>42.691483516483522</v>
      </c>
      <c r="H9" s="33">
        <f t="shared" ref="H9:H16" si="1">SUM(D9:G9)</f>
        <v>207.90487362637364</v>
      </c>
      <c r="I9" s="33">
        <f t="shared" si="0"/>
        <v>599.20549450549458</v>
      </c>
      <c r="J9" s="109">
        <f t="shared" ref="J9:J16" si="2">H9*4</f>
        <v>831.61949450549457</v>
      </c>
      <c r="K9" s="278">
        <f t="shared" ref="K9:K16" si="3">J9*1.1</f>
        <v>914.78144395604409</v>
      </c>
      <c r="L9" s="23">
        <f>'Tariffs 2016'!AK3</f>
        <v>0</v>
      </c>
      <c r="M9" s="23">
        <f>'Tariffs 2016'!AL3</f>
        <v>0</v>
      </c>
      <c r="N9" s="23">
        <f>'Tariffs 2016'!AM3</f>
        <v>0</v>
      </c>
      <c r="O9" s="23">
        <f>'Tariffs 2016'!AN3</f>
        <v>10</v>
      </c>
      <c r="P9" s="109">
        <f t="shared" ref="P9:P16" si="4">J9</f>
        <v>831.61949450549457</v>
      </c>
      <c r="Q9" s="110">
        <f t="shared" ref="Q9:Q16" si="5">P9-(I9*O9/100)</f>
        <v>771.69894505494517</v>
      </c>
      <c r="R9" s="111">
        <f t="shared" ref="R9:R16" si="6">P9*1.1</f>
        <v>914.78144395604409</v>
      </c>
      <c r="S9" s="111">
        <f t="shared" ref="S9:S16" si="7">Q9*1.1</f>
        <v>848.86883956043971</v>
      </c>
      <c r="T9" s="112">
        <f>'Tariffs 2016'!AU3</f>
        <v>0</v>
      </c>
      <c r="U9" s="112" t="str">
        <f>'Tariffs 2016'!AV3</f>
        <v>n</v>
      </c>
      <c r="V9" s="113" t="str">
        <f>'Tariffs 2016'!BB3</f>
        <v>y</v>
      </c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</row>
    <row r="10" spans="1:160" ht="20" customHeight="1" x14ac:dyDescent="0.15">
      <c r="A10" s="108" t="str">
        <f>'Tariffs 2016'!F4</f>
        <v>EnergyAustralia</v>
      </c>
      <c r="B10" s="23" t="str">
        <f>'Tariffs 2016'!D4</f>
        <v>Envestra Adelaide</v>
      </c>
      <c r="C10" s="23" t="str">
        <f>'Tariffs 2016'!G4</f>
        <v xml:space="preserve">Flexi Saver </v>
      </c>
      <c r="D10" s="33">
        <f>91*'Tariffs 2016'!H4/100</f>
        <v>70.998199999999997</v>
      </c>
      <c r="E10" s="33">
        <f>IF($C$5&gt;='Tariffs 2016'!J4,('Tariffs 2016'!J4*'Tariffs 2016'!O4/100),($C$5*'Tariffs 2016'!O4/100))</f>
        <v>90.3</v>
      </c>
      <c r="F10" s="33">
        <f>IF($C$5&lt;'Tariffs 2016'!J4,0,IF(($C$5-'Tariffs 2016'!J4)&lt;='Tariffs 2016'!K4,(($C$5-'Tariffs 2016'!J4)*'Tariffs 2016'!P4/100),(('Tariffs 2016'!K4-'Tariffs 2016'!J4)*'Tariffs 2016'!P4/100)))</f>
        <v>98.832250000000002</v>
      </c>
      <c r="G10" s="33">
        <f>IF(($C$5&lt;'Tariffs 2016'!K4),(0),($C$5-'Tariffs 2016'!K4)*'Tariffs 2016'!Q4/100)</f>
        <v>16.931249999999999</v>
      </c>
      <c r="H10" s="33">
        <f t="shared" si="1"/>
        <v>277.06169999999997</v>
      </c>
      <c r="I10" s="33">
        <f t="shared" si="0"/>
        <v>824.25399999999991</v>
      </c>
      <c r="J10" s="109">
        <f t="shared" si="2"/>
        <v>1108.2467999999999</v>
      </c>
      <c r="K10" s="278">
        <f t="shared" si="3"/>
        <v>1219.0714800000001</v>
      </c>
      <c r="L10" s="23">
        <f>'Tariffs 2016'!AK4</f>
        <v>0</v>
      </c>
      <c r="M10" s="23">
        <f>'Tariffs 2016'!AL4</f>
        <v>0</v>
      </c>
      <c r="N10" s="23">
        <f>'Tariffs 2016'!AM4</f>
        <v>0</v>
      </c>
      <c r="O10" s="23">
        <f>'Tariffs 2016'!AN4</f>
        <v>13</v>
      </c>
      <c r="P10" s="109">
        <f t="shared" si="4"/>
        <v>1108.2467999999999</v>
      </c>
      <c r="Q10" s="110">
        <f t="shared" si="5"/>
        <v>1001.0937799999999</v>
      </c>
      <c r="R10" s="111">
        <f t="shared" si="6"/>
        <v>1219.0714800000001</v>
      </c>
      <c r="S10" s="111">
        <f t="shared" si="7"/>
        <v>1101.203158</v>
      </c>
      <c r="T10" s="112">
        <f>'Tariffs 2016'!AU4</f>
        <v>0</v>
      </c>
      <c r="U10" s="112" t="str">
        <f>'Tariffs 2016'!AV4</f>
        <v>n</v>
      </c>
      <c r="V10" s="113" t="str">
        <f>'Tariffs 2016'!BB4</f>
        <v>n</v>
      </c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</row>
    <row r="11" spans="1:160" ht="20" customHeight="1" x14ac:dyDescent="0.15">
      <c r="A11" s="108" t="str">
        <f>'Tariffs 2016'!F5</f>
        <v>Origin Energy</v>
      </c>
      <c r="B11" s="23" t="str">
        <f>'Tariffs 2016'!D5</f>
        <v>Envestra Adelaide</v>
      </c>
      <c r="C11" s="23" t="str">
        <f>'Tariffs 2016'!G5</f>
        <v>Saver</v>
      </c>
      <c r="D11" s="33">
        <f>91*'Tariffs 2016'!H5/100</f>
        <v>59.15</v>
      </c>
      <c r="E11" s="33">
        <f>IF($C$5&gt;='Tariffs 2016'!J5,('Tariffs 2016'!J5*'Tariffs 2016'!O5/100),($C$5*'Tariffs 2016'!O5/100))</f>
        <v>164.02500000000001</v>
      </c>
      <c r="F11" s="33">
        <v>0</v>
      </c>
      <c r="G11" s="33">
        <f>IF(($C$5&lt;'Tariffs 2016'!K5),(0),($C$5-'Tariffs 2016'!K5)*'Tariffs 2016'!P5/100)</f>
        <v>12.2475</v>
      </c>
      <c r="H11" s="33">
        <f t="shared" si="1"/>
        <v>235.42250000000001</v>
      </c>
      <c r="I11" s="33">
        <f t="shared" si="0"/>
        <v>705.09</v>
      </c>
      <c r="J11" s="109">
        <f t="shared" si="2"/>
        <v>941.69</v>
      </c>
      <c r="K11" s="278">
        <f t="shared" si="3"/>
        <v>1035.8590000000002</v>
      </c>
      <c r="L11" s="23">
        <f>'Tariffs 2016'!AK5</f>
        <v>0</v>
      </c>
      <c r="M11" s="23">
        <f>'Tariffs 2016'!AL5</f>
        <v>0</v>
      </c>
      <c r="N11" s="23">
        <f>'Tariffs 2016'!AM5</f>
        <v>0</v>
      </c>
      <c r="O11" s="23">
        <f>'Tariffs 2016'!AN5</f>
        <v>10</v>
      </c>
      <c r="P11" s="109">
        <f t="shared" si="4"/>
        <v>941.69</v>
      </c>
      <c r="Q11" s="110">
        <f t="shared" si="5"/>
        <v>871.18100000000004</v>
      </c>
      <c r="R11" s="111">
        <f t="shared" si="6"/>
        <v>1035.8590000000002</v>
      </c>
      <c r="S11" s="111">
        <f t="shared" si="7"/>
        <v>958.29910000000007</v>
      </c>
      <c r="T11" s="112">
        <f>'Tariffs 2016'!AU5</f>
        <v>0</v>
      </c>
      <c r="U11" s="112" t="str">
        <f>'Tariffs 2016'!AV5</f>
        <v>n</v>
      </c>
      <c r="V11" s="113" t="str">
        <f>'Tariffs 2016'!BB5</f>
        <v>n</v>
      </c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</row>
    <row r="12" spans="1:160" ht="20" customHeight="1" thickBot="1" x14ac:dyDescent="0.2">
      <c r="A12" s="294" t="str">
        <f>'Tariffs 2016'!F6</f>
        <v>Simply Energy</v>
      </c>
      <c r="B12" s="295" t="str">
        <f>'Tariffs 2016'!D6</f>
        <v>Envestra Adelaide</v>
      </c>
      <c r="C12" s="295" t="str">
        <f>'Tariffs 2016'!G6</f>
        <v>Autumn Sale</v>
      </c>
      <c r="D12" s="296">
        <f>91*'Tariffs 2016'!H6/100</f>
        <v>64.209599999999995</v>
      </c>
      <c r="E12" s="296">
        <f>IF($C$5&gt;='Tariffs 2016'!J6,('Tariffs 2016'!J6*'Tariffs 2016'!O6/100),($C$5*'Tariffs 2016'!O6/100))</f>
        <v>111.25</v>
      </c>
      <c r="F12" s="296">
        <f>IF($C$5&lt;'Tariffs 2016'!J6,0,IF(($C$5-'Tariffs 2016'!J6)&lt;='Tariffs 2016'!K6,(($C$5-'Tariffs 2016'!J6)*'Tariffs 2016'!P6/100),(('Tariffs 2016'!K6-'Tariffs 2016'!J6)*'Tariffs 2016'!P6/100)))</f>
        <v>77.275000000000006</v>
      </c>
      <c r="G12" s="296">
        <f>IF(($C$5&lt;'Tariffs 2016'!K6),(0),($C$5-'Tariffs 2016'!K6)*'Tariffs 2016'!Q6/100)</f>
        <v>13.5</v>
      </c>
      <c r="H12" s="296">
        <f t="shared" si="1"/>
        <v>266.2346</v>
      </c>
      <c r="I12" s="296">
        <f t="shared" si="0"/>
        <v>808.1</v>
      </c>
      <c r="J12" s="297">
        <f t="shared" si="2"/>
        <v>1064.9384</v>
      </c>
      <c r="K12" s="303">
        <f t="shared" si="3"/>
        <v>1171.4322400000001</v>
      </c>
      <c r="L12" s="295">
        <f>'Tariffs 2016'!AK6</f>
        <v>0</v>
      </c>
      <c r="M12" s="295">
        <f>'Tariffs 2016'!AL6</f>
        <v>0</v>
      </c>
      <c r="N12" s="295">
        <f>'Tariffs 2016'!AM6</f>
        <v>0</v>
      </c>
      <c r="O12" s="295">
        <f>'Tariffs 2016'!AN6</f>
        <v>10</v>
      </c>
      <c r="P12" s="297">
        <f t="shared" si="4"/>
        <v>1064.9384</v>
      </c>
      <c r="Q12" s="299">
        <f t="shared" si="5"/>
        <v>984.12840000000006</v>
      </c>
      <c r="R12" s="300">
        <f t="shared" si="6"/>
        <v>1171.4322400000001</v>
      </c>
      <c r="S12" s="300">
        <f t="shared" si="7"/>
        <v>1082.5412400000002</v>
      </c>
      <c r="T12" s="301">
        <f>'Tariffs 2016'!AU6</f>
        <v>24</v>
      </c>
      <c r="U12" s="301" t="str">
        <f>'Tariffs 2016'!AV6</f>
        <v>y</v>
      </c>
      <c r="V12" s="302" t="str">
        <f>'Tariffs 2016'!BB6</f>
        <v>y</v>
      </c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</row>
    <row r="13" spans="1:160" ht="20" customHeight="1" thickTop="1" thickBot="1" x14ac:dyDescent="0.2">
      <c r="A13" s="294" t="str">
        <f>'Tariffs 2016'!F7</f>
        <v>Origin Energy</v>
      </c>
      <c r="B13" s="295" t="str">
        <f>'Tariffs 2016'!D7</f>
        <v>Envestra Port Pirie</v>
      </c>
      <c r="C13" s="295" t="str">
        <f>'Tariffs 2016'!G7</f>
        <v>Saver</v>
      </c>
      <c r="D13" s="296">
        <f>91*'Tariffs 2016'!H7/100</f>
        <v>59.15</v>
      </c>
      <c r="E13" s="296">
        <f>IF($C$5&gt;='Tariffs 2016'!J7,('Tariffs 2016'!J7*'Tariffs 2016'!O7/100),($C$5*'Tariffs 2016'!O7/100))</f>
        <v>164.02500000000001</v>
      </c>
      <c r="F13" s="296">
        <v>0</v>
      </c>
      <c r="G13" s="296">
        <f>IF(($C$5&lt;'Tariffs 2016'!K7),(0),($C$5-'Tariffs 2016'!K7)*'Tariffs 2016'!P7/100)</f>
        <v>12.2475</v>
      </c>
      <c r="H13" s="296">
        <f t="shared" si="1"/>
        <v>235.42250000000001</v>
      </c>
      <c r="I13" s="296">
        <f t="shared" si="0"/>
        <v>705.09</v>
      </c>
      <c r="J13" s="297">
        <f t="shared" si="2"/>
        <v>941.69</v>
      </c>
      <c r="K13" s="298">
        <f t="shared" si="3"/>
        <v>1035.8590000000002</v>
      </c>
      <c r="L13" s="295">
        <f>'Tariffs 2016'!AK7</f>
        <v>0</v>
      </c>
      <c r="M13" s="295">
        <f>'Tariffs 2016'!AL7</f>
        <v>0</v>
      </c>
      <c r="N13" s="295">
        <f>'Tariffs 2016'!AM7</f>
        <v>0</v>
      </c>
      <c r="O13" s="295">
        <f>'Tariffs 2016'!AN7</f>
        <v>10</v>
      </c>
      <c r="P13" s="297">
        <f t="shared" si="4"/>
        <v>941.69</v>
      </c>
      <c r="Q13" s="299">
        <f t="shared" si="5"/>
        <v>871.18100000000004</v>
      </c>
      <c r="R13" s="300">
        <f t="shared" si="6"/>
        <v>1035.8590000000002</v>
      </c>
      <c r="S13" s="300">
        <f t="shared" si="7"/>
        <v>958.29910000000007</v>
      </c>
      <c r="T13" s="301">
        <f>'Tariffs 2016'!AU7</f>
        <v>0</v>
      </c>
      <c r="U13" s="301" t="str">
        <f>'Tariffs 2016'!AV7</f>
        <v>n</v>
      </c>
      <c r="V13" s="302" t="str">
        <f>'Tariffs 2016'!BB7</f>
        <v>n</v>
      </c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</row>
    <row r="14" spans="1:160" ht="20" customHeight="1" thickTop="1" thickBot="1" x14ac:dyDescent="0.2">
      <c r="A14" s="294" t="str">
        <f>'Tariffs 2016'!F8</f>
        <v>Origin Energy</v>
      </c>
      <c r="B14" s="295" t="str">
        <f>'Tariffs 2016'!D8</f>
        <v>Envestra Whyalla</v>
      </c>
      <c r="C14" s="295" t="str">
        <f>'Tariffs 2016'!G8</f>
        <v>Saver</v>
      </c>
      <c r="D14" s="296">
        <f>91*'Tariffs 2016'!H8/100</f>
        <v>59.15</v>
      </c>
      <c r="E14" s="296">
        <f>IF($C$5&gt;='Tariffs 2016'!J8,('Tariffs 2016'!J8*'Tariffs 2016'!O8/100),($C$5*'Tariffs 2016'!O8/100))</f>
        <v>164.02500000000001</v>
      </c>
      <c r="F14" s="296">
        <v>0</v>
      </c>
      <c r="G14" s="296">
        <f>IF(($C$5&lt;'Tariffs 2016'!K8),(0),($C$5-'Tariffs 2016'!K8)*'Tariffs 2016'!P8/100)</f>
        <v>12.2475</v>
      </c>
      <c r="H14" s="296">
        <f t="shared" si="1"/>
        <v>235.42250000000001</v>
      </c>
      <c r="I14" s="296">
        <f t="shared" si="0"/>
        <v>705.09</v>
      </c>
      <c r="J14" s="297">
        <f t="shared" si="2"/>
        <v>941.69</v>
      </c>
      <c r="K14" s="298">
        <f t="shared" si="3"/>
        <v>1035.8590000000002</v>
      </c>
      <c r="L14" s="295">
        <f>'Tariffs 2016'!AK8</f>
        <v>0</v>
      </c>
      <c r="M14" s="295">
        <f>'Tariffs 2016'!AL8</f>
        <v>0</v>
      </c>
      <c r="N14" s="295">
        <f>'Tariffs 2016'!AM8</f>
        <v>0</v>
      </c>
      <c r="O14" s="295">
        <f>'Tariffs 2016'!AN8</f>
        <v>10</v>
      </c>
      <c r="P14" s="297">
        <f t="shared" si="4"/>
        <v>941.69</v>
      </c>
      <c r="Q14" s="299">
        <f t="shared" si="5"/>
        <v>871.18100000000004</v>
      </c>
      <c r="R14" s="300">
        <f t="shared" si="6"/>
        <v>1035.8590000000002</v>
      </c>
      <c r="S14" s="300">
        <f t="shared" si="7"/>
        <v>958.29910000000007</v>
      </c>
      <c r="T14" s="301">
        <f>'Tariffs 2016'!AU8</f>
        <v>0</v>
      </c>
      <c r="U14" s="301" t="str">
        <f>'Tariffs 2016'!AV8</f>
        <v>n</v>
      </c>
      <c r="V14" s="302" t="str">
        <f>'Tariffs 2016'!BB8</f>
        <v>n</v>
      </c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</row>
    <row r="15" spans="1:160" ht="20" customHeight="1" thickTop="1" thickBot="1" x14ac:dyDescent="0.2">
      <c r="A15" s="294" t="str">
        <f>'Tariffs 2016'!F9</f>
        <v>Origin Energy</v>
      </c>
      <c r="B15" s="295" t="str">
        <f>'Tariffs 2016'!D9</f>
        <v>Envestra Mt Gambier</v>
      </c>
      <c r="C15" s="295" t="str">
        <f>'Tariffs 2016'!G9</f>
        <v>Saver</v>
      </c>
      <c r="D15" s="296">
        <f>91*'Tariffs 2016'!H9/100</f>
        <v>59.15</v>
      </c>
      <c r="E15" s="296">
        <f>IF($C$5&gt;='Tariffs 2016'!J9,('Tariffs 2016'!J9*'Tariffs 2016'!O9/100),($C$5*'Tariffs 2016'!O9/100))</f>
        <v>164.02500000000001</v>
      </c>
      <c r="F15" s="296">
        <v>0</v>
      </c>
      <c r="G15" s="296">
        <f>IF(($C$5&lt;'Tariffs 2016'!K9),(0),($C$5-'Tariffs 2016'!K9)*'Tariffs 2016'!P9/100)</f>
        <v>12.2475</v>
      </c>
      <c r="H15" s="296">
        <f t="shared" si="1"/>
        <v>235.42250000000001</v>
      </c>
      <c r="I15" s="296">
        <f t="shared" si="0"/>
        <v>705.09</v>
      </c>
      <c r="J15" s="297">
        <f t="shared" si="2"/>
        <v>941.69</v>
      </c>
      <c r="K15" s="298">
        <f t="shared" si="3"/>
        <v>1035.8590000000002</v>
      </c>
      <c r="L15" s="295">
        <f>'Tariffs 2016'!AK9</f>
        <v>0</v>
      </c>
      <c r="M15" s="295">
        <f>'Tariffs 2016'!AL9</f>
        <v>0</v>
      </c>
      <c r="N15" s="295">
        <f>'Tariffs 2016'!AM9</f>
        <v>0</v>
      </c>
      <c r="O15" s="295">
        <f>'Tariffs 2016'!AN9</f>
        <v>10</v>
      </c>
      <c r="P15" s="297">
        <f t="shared" si="4"/>
        <v>941.69</v>
      </c>
      <c r="Q15" s="299">
        <f t="shared" si="5"/>
        <v>871.18100000000004</v>
      </c>
      <c r="R15" s="300">
        <f t="shared" si="6"/>
        <v>1035.8590000000002</v>
      </c>
      <c r="S15" s="300">
        <f t="shared" si="7"/>
        <v>958.29910000000007</v>
      </c>
      <c r="T15" s="301">
        <f>'Tariffs 2016'!AU9</f>
        <v>0</v>
      </c>
      <c r="U15" s="301" t="str">
        <f>'Tariffs 2016'!AV9</f>
        <v>n</v>
      </c>
      <c r="V15" s="302" t="str">
        <f>'Tariffs 2016'!BB9</f>
        <v>n</v>
      </c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99"/>
      <c r="EZ15" s="99"/>
      <c r="FA15" s="99"/>
      <c r="FB15" s="99"/>
      <c r="FC15" s="99"/>
      <c r="FD15" s="99"/>
    </row>
    <row r="16" spans="1:160" ht="20" customHeight="1" thickTop="1" thickBot="1" x14ac:dyDescent="0.2">
      <c r="A16" s="114" t="str">
        <f>'Tariffs 2016'!F10</f>
        <v>Origin Energy</v>
      </c>
      <c r="B16" s="115" t="str">
        <f>'Tariffs 2016'!D10</f>
        <v>Envestra Riverland</v>
      </c>
      <c r="C16" s="115" t="str">
        <f>'Tariffs 2016'!G10</f>
        <v>Saver</v>
      </c>
      <c r="D16" s="116">
        <f>91*'Tariffs 2016'!H10/100</f>
        <v>59.15</v>
      </c>
      <c r="E16" s="116">
        <f>IF($C$5&gt;='Tariffs 2016'!J10,('Tariffs 2016'!J10*'Tariffs 2016'!O10/100),($C$5*'Tariffs 2016'!O10/100))</f>
        <v>164.02500000000001</v>
      </c>
      <c r="F16" s="116">
        <v>0</v>
      </c>
      <c r="G16" s="116">
        <f>IF(($C$5&lt;'Tariffs 2016'!K10),(0),($C$5-'Tariffs 2016'!K10)*'Tariffs 2016'!P10/100)</f>
        <v>12.2475</v>
      </c>
      <c r="H16" s="116">
        <f t="shared" si="1"/>
        <v>235.42250000000001</v>
      </c>
      <c r="I16" s="116">
        <f t="shared" si="0"/>
        <v>705.09</v>
      </c>
      <c r="J16" s="117">
        <f t="shared" si="2"/>
        <v>941.69</v>
      </c>
      <c r="K16" s="279">
        <f t="shared" si="3"/>
        <v>1035.8590000000002</v>
      </c>
      <c r="L16" s="115">
        <f>'Tariffs 2016'!AK10</f>
        <v>0</v>
      </c>
      <c r="M16" s="115">
        <f>'Tariffs 2016'!AL10</f>
        <v>0</v>
      </c>
      <c r="N16" s="115">
        <f>'Tariffs 2016'!AM10</f>
        <v>0</v>
      </c>
      <c r="O16" s="115">
        <f>'Tariffs 2016'!AN10</f>
        <v>10</v>
      </c>
      <c r="P16" s="117">
        <f t="shared" si="4"/>
        <v>941.69</v>
      </c>
      <c r="Q16" s="118">
        <f t="shared" si="5"/>
        <v>871.18100000000004</v>
      </c>
      <c r="R16" s="119">
        <f t="shared" si="6"/>
        <v>1035.8590000000002</v>
      </c>
      <c r="S16" s="119">
        <f t="shared" si="7"/>
        <v>958.29910000000007</v>
      </c>
      <c r="T16" s="120">
        <f>'Tariffs 2016'!AU10</f>
        <v>0</v>
      </c>
      <c r="U16" s="120" t="str">
        <f>'Tariffs 2016'!AV10</f>
        <v>n</v>
      </c>
      <c r="V16" s="121" t="str">
        <f>'Tariffs 2016'!BB10</f>
        <v>n</v>
      </c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</row>
    <row r="17" s="99" customFormat="1" x14ac:dyDescent="0.15"/>
    <row r="18" s="99" customFormat="1" x14ac:dyDescent="0.15"/>
    <row r="19" s="99" customFormat="1" x14ac:dyDescent="0.15"/>
    <row r="20" s="99" customFormat="1" x14ac:dyDescent="0.15"/>
    <row r="21" s="99" customFormat="1" x14ac:dyDescent="0.15"/>
    <row r="22" s="99" customFormat="1" x14ac:dyDescent="0.15"/>
    <row r="23" s="99" customFormat="1" x14ac:dyDescent="0.15"/>
    <row r="24" s="99" customFormat="1" x14ac:dyDescent="0.15"/>
    <row r="25" s="99" customFormat="1" x14ac:dyDescent="0.15"/>
    <row r="26" s="99" customFormat="1" x14ac:dyDescent="0.15"/>
    <row r="27" s="99" customFormat="1" x14ac:dyDescent="0.15"/>
    <row r="28" s="99" customFormat="1" x14ac:dyDescent="0.15"/>
    <row r="29" s="99" customFormat="1" x14ac:dyDescent="0.15"/>
    <row r="30" s="99" customFormat="1" x14ac:dyDescent="0.15"/>
    <row r="31" s="99" customFormat="1" x14ac:dyDescent="0.15"/>
    <row r="32" s="99" customFormat="1" x14ac:dyDescent="0.15"/>
    <row r="33" s="99" customFormat="1" x14ac:dyDescent="0.15"/>
    <row r="34" s="99" customFormat="1" x14ac:dyDescent="0.15"/>
    <row r="35" s="99" customFormat="1" x14ac:dyDescent="0.15"/>
    <row r="36" s="99" customFormat="1" x14ac:dyDescent="0.15"/>
    <row r="37" s="99" customFormat="1" x14ac:dyDescent="0.15"/>
    <row r="38" s="99" customFormat="1" x14ac:dyDescent="0.15"/>
    <row r="39" s="99" customFormat="1" x14ac:dyDescent="0.15"/>
    <row r="40" s="99" customFormat="1" x14ac:dyDescent="0.15"/>
    <row r="41" s="99" customFormat="1" x14ac:dyDescent="0.15"/>
    <row r="42" s="99" customFormat="1" x14ac:dyDescent="0.15"/>
    <row r="43" s="99" customFormat="1" x14ac:dyDescent="0.15"/>
    <row r="44" s="99" customFormat="1" x14ac:dyDescent="0.15"/>
    <row r="45" s="99" customFormat="1" x14ac:dyDescent="0.15"/>
    <row r="46" s="99" customFormat="1" x14ac:dyDescent="0.15"/>
    <row r="47" s="99" customFormat="1" x14ac:dyDescent="0.15"/>
    <row r="48" s="99" customFormat="1" x14ac:dyDescent="0.15"/>
    <row r="49" s="99" customFormat="1" x14ac:dyDescent="0.15"/>
    <row r="50" s="99" customFormat="1" x14ac:dyDescent="0.15"/>
    <row r="51" s="99" customFormat="1" x14ac:dyDescent="0.15"/>
    <row r="52" s="99" customFormat="1" x14ac:dyDescent="0.15"/>
    <row r="53" s="99" customFormat="1" x14ac:dyDescent="0.15"/>
    <row r="54" s="99" customFormat="1" x14ac:dyDescent="0.15"/>
    <row r="55" s="99" customFormat="1" x14ac:dyDescent="0.15"/>
    <row r="56" s="99" customFormat="1" x14ac:dyDescent="0.15"/>
    <row r="57" s="99" customFormat="1" x14ac:dyDescent="0.15"/>
    <row r="58" s="99" customFormat="1" x14ac:dyDescent="0.15"/>
    <row r="59" s="99" customFormat="1" x14ac:dyDescent="0.15"/>
    <row r="60" s="99" customFormat="1" x14ac:dyDescent="0.15"/>
    <row r="61" s="99" customFormat="1" x14ac:dyDescent="0.15"/>
    <row r="62" s="99" customFormat="1" x14ac:dyDescent="0.15"/>
    <row r="63" s="99" customFormat="1" x14ac:dyDescent="0.15"/>
    <row r="64" s="99" customFormat="1" x14ac:dyDescent="0.15"/>
    <row r="65" s="99" customFormat="1" x14ac:dyDescent="0.15"/>
    <row r="66" s="99" customFormat="1" x14ac:dyDescent="0.15"/>
    <row r="67" s="99" customFormat="1" x14ac:dyDescent="0.15"/>
    <row r="68" s="99" customFormat="1" x14ac:dyDescent="0.15"/>
    <row r="69" s="99" customFormat="1" x14ac:dyDescent="0.15"/>
    <row r="70" s="99" customFormat="1" x14ac:dyDescent="0.15"/>
    <row r="71" s="99" customFormat="1" x14ac:dyDescent="0.15"/>
    <row r="72" s="99" customFormat="1" x14ac:dyDescent="0.15"/>
    <row r="73" s="99" customFormat="1" x14ac:dyDescent="0.15"/>
    <row r="74" s="99" customFormat="1" x14ac:dyDescent="0.15"/>
    <row r="75" s="99" customFormat="1" x14ac:dyDescent="0.15"/>
    <row r="76" s="99" customFormat="1" x14ac:dyDescent="0.15"/>
    <row r="77" s="99" customFormat="1" x14ac:dyDescent="0.15"/>
    <row r="78" s="99" customFormat="1" x14ac:dyDescent="0.15"/>
    <row r="79" s="99" customFormat="1" x14ac:dyDescent="0.15"/>
    <row r="80" s="99" customFormat="1" x14ac:dyDescent="0.15"/>
    <row r="81" s="99" customFormat="1" x14ac:dyDescent="0.15"/>
    <row r="82" s="99" customFormat="1" x14ac:dyDescent="0.15"/>
    <row r="83" s="99" customFormat="1" x14ac:dyDescent="0.15"/>
    <row r="84" s="99" customFormat="1" x14ac:dyDescent="0.15"/>
    <row r="85" s="99" customFormat="1" x14ac:dyDescent="0.15"/>
    <row r="86" s="99" customFormat="1" x14ac:dyDescent="0.15"/>
    <row r="87" s="99" customFormat="1" x14ac:dyDescent="0.15"/>
    <row r="88" s="99" customFormat="1" x14ac:dyDescent="0.15"/>
    <row r="89" s="99" customFormat="1" x14ac:dyDescent="0.15"/>
    <row r="90" s="99" customFormat="1" x14ac:dyDescent="0.15"/>
    <row r="91" s="99" customFormat="1" x14ac:dyDescent="0.15"/>
    <row r="92" s="99" customFormat="1" x14ac:dyDescent="0.15"/>
    <row r="93" s="99" customFormat="1" x14ac:dyDescent="0.15"/>
    <row r="94" s="99" customFormat="1" x14ac:dyDescent="0.15"/>
    <row r="95" s="99" customFormat="1" x14ac:dyDescent="0.15"/>
    <row r="96" s="99" customFormat="1" x14ac:dyDescent="0.15"/>
    <row r="97" s="99" customFormat="1" x14ac:dyDescent="0.15"/>
    <row r="98" s="99" customFormat="1" x14ac:dyDescent="0.15"/>
    <row r="99" s="99" customFormat="1" x14ac:dyDescent="0.15"/>
    <row r="100" s="99" customFormat="1" x14ac:dyDescent="0.15"/>
    <row r="101" s="99" customFormat="1" x14ac:dyDescent="0.15"/>
    <row r="102" s="99" customFormat="1" x14ac:dyDescent="0.15"/>
    <row r="103" s="99" customFormat="1" x14ac:dyDescent="0.15"/>
    <row r="104" s="99" customFormat="1" x14ac:dyDescent="0.15"/>
    <row r="105" s="99" customFormat="1" x14ac:dyDescent="0.15"/>
    <row r="106" s="99" customFormat="1" x14ac:dyDescent="0.15"/>
    <row r="107" s="99" customFormat="1" x14ac:dyDescent="0.15"/>
    <row r="108" s="99" customFormat="1" x14ac:dyDescent="0.15"/>
    <row r="109" s="99" customFormat="1" x14ac:dyDescent="0.15"/>
    <row r="110" s="99" customFormat="1" x14ac:dyDescent="0.15"/>
    <row r="111" s="99" customFormat="1" x14ac:dyDescent="0.15"/>
    <row r="112" s="99" customFormat="1" x14ac:dyDescent="0.15"/>
    <row r="113" s="99" customFormat="1" x14ac:dyDescent="0.15"/>
    <row r="114" s="99" customFormat="1" x14ac:dyDescent="0.15"/>
    <row r="115" s="99" customFormat="1" x14ac:dyDescent="0.15"/>
    <row r="116" s="99" customFormat="1" x14ac:dyDescent="0.15"/>
    <row r="117" s="99" customFormat="1" x14ac:dyDescent="0.15"/>
    <row r="118" s="99" customFormat="1" x14ac:dyDescent="0.15"/>
    <row r="119" s="99" customFormat="1" x14ac:dyDescent="0.15"/>
    <row r="120" s="99" customFormat="1" x14ac:dyDescent="0.15"/>
    <row r="121" s="99" customFormat="1" x14ac:dyDescent="0.15"/>
    <row r="122" s="99" customFormat="1" x14ac:dyDescent="0.15"/>
    <row r="123" s="99" customFormat="1" x14ac:dyDescent="0.15"/>
    <row r="124" s="99" customFormat="1" x14ac:dyDescent="0.15"/>
    <row r="125" s="99" customFormat="1" x14ac:dyDescent="0.15"/>
    <row r="126" s="99" customFormat="1" x14ac:dyDescent="0.15"/>
    <row r="127" s="99" customFormat="1" x14ac:dyDescent="0.15"/>
    <row r="128" s="99" customFormat="1" x14ac:dyDescent="0.15"/>
    <row r="129" s="99" customFormat="1" x14ac:dyDescent="0.15"/>
    <row r="130" s="99" customFormat="1" x14ac:dyDescent="0.15"/>
    <row r="131" s="99" customFormat="1" x14ac:dyDescent="0.15"/>
    <row r="132" s="99" customFormat="1" x14ac:dyDescent="0.15"/>
    <row r="133" s="99" customFormat="1" x14ac:dyDescent="0.15"/>
    <row r="134" s="99" customFormat="1" x14ac:dyDescent="0.15"/>
    <row r="135" s="99" customFormat="1" x14ac:dyDescent="0.15"/>
    <row r="136" s="99" customFormat="1" x14ac:dyDescent="0.15"/>
    <row r="137" s="99" customFormat="1" x14ac:dyDescent="0.15"/>
    <row r="138" s="99" customFormat="1" x14ac:dyDescent="0.15"/>
    <row r="139" s="99" customFormat="1" x14ac:dyDescent="0.15"/>
    <row r="140" s="99" customFormat="1" x14ac:dyDescent="0.15"/>
    <row r="141" s="99" customFormat="1" x14ac:dyDescent="0.15"/>
    <row r="142" s="99" customFormat="1" x14ac:dyDescent="0.15"/>
    <row r="143" s="99" customFormat="1" x14ac:dyDescent="0.15"/>
    <row r="144" s="99" customFormat="1" x14ac:dyDescent="0.15"/>
    <row r="145" s="99" customFormat="1" x14ac:dyDescent="0.15"/>
    <row r="146" s="99" customFormat="1" x14ac:dyDescent="0.15"/>
    <row r="147" s="99" customFormat="1" x14ac:dyDescent="0.15"/>
    <row r="148" s="99" customFormat="1" x14ac:dyDescent="0.15"/>
    <row r="149" s="99" customFormat="1" x14ac:dyDescent="0.15"/>
    <row r="150" s="99" customFormat="1" x14ac:dyDescent="0.15"/>
    <row r="151" s="99" customFormat="1" x14ac:dyDescent="0.15"/>
    <row r="152" s="99" customFormat="1" x14ac:dyDescent="0.15"/>
    <row r="153" s="99" customFormat="1" x14ac:dyDescent="0.15"/>
    <row r="154" s="99" customFormat="1" x14ac:dyDescent="0.15"/>
    <row r="155" s="99" customFormat="1" x14ac:dyDescent="0.15"/>
    <row r="156" s="99" customFormat="1" x14ac:dyDescent="0.15"/>
    <row r="157" s="99" customFormat="1" x14ac:dyDescent="0.15"/>
    <row r="158" s="99" customFormat="1" x14ac:dyDescent="0.15"/>
    <row r="159" s="99" customFormat="1" x14ac:dyDescent="0.15"/>
    <row r="160" s="99" customFormat="1" x14ac:dyDescent="0.15"/>
    <row r="161" s="99" customFormat="1" x14ac:dyDescent="0.15"/>
    <row r="162" s="99" customFormat="1" x14ac:dyDescent="0.15"/>
    <row r="163" s="99" customFormat="1" x14ac:dyDescent="0.15"/>
    <row r="164" s="99" customFormat="1" x14ac:dyDescent="0.15"/>
    <row r="165" s="99" customFormat="1" x14ac:dyDescent="0.15"/>
    <row r="166" s="99" customFormat="1" x14ac:dyDescent="0.15"/>
    <row r="167" s="99" customFormat="1" x14ac:dyDescent="0.15"/>
    <row r="168" s="99" customFormat="1" x14ac:dyDescent="0.15"/>
    <row r="169" s="99" customFormat="1" x14ac:dyDescent="0.15"/>
    <row r="170" s="99" customFormat="1" x14ac:dyDescent="0.15"/>
    <row r="171" s="99" customFormat="1" x14ac:dyDescent="0.15"/>
    <row r="172" s="99" customFormat="1" x14ac:dyDescent="0.15"/>
    <row r="173" s="99" customFormat="1" x14ac:dyDescent="0.15"/>
    <row r="174" s="99" customFormat="1" x14ac:dyDescent="0.15"/>
    <row r="175" s="99" customFormat="1" x14ac:dyDescent="0.15"/>
    <row r="176" s="99" customFormat="1" x14ac:dyDescent="0.15"/>
    <row r="177" s="99" customFormat="1" x14ac:dyDescent="0.15"/>
    <row r="178" s="99" customFormat="1" x14ac:dyDescent="0.15"/>
    <row r="179" s="99" customFormat="1" x14ac:dyDescent="0.15"/>
    <row r="180" s="99" customFormat="1" x14ac:dyDescent="0.15"/>
    <row r="181" s="99" customFormat="1" x14ac:dyDescent="0.15"/>
    <row r="182" s="99" customFormat="1" x14ac:dyDescent="0.15"/>
    <row r="183" s="99" customFormat="1" x14ac:dyDescent="0.15"/>
    <row r="184" s="99" customFormat="1" x14ac:dyDescent="0.15"/>
    <row r="185" s="99" customFormat="1" x14ac:dyDescent="0.15"/>
    <row r="186" s="99" customFormat="1" x14ac:dyDescent="0.15"/>
  </sheetData>
  <sheetProtection algorithmName="SHA-512" hashValue="aX2TaU5nVH1/KJBe2JmkmiNLGCC+cGRG6YSH026RfHu/qwVtpLKfmsY2FCUB+JaQMN5tem4dosptFmkglIFraw==" saltValue="ZWeAfqT3nioJxEN1HPLduA==" spinCount="100000" sheet="1" objects="1" scenarios="1"/>
  <phoneticPr fontId="7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C02AE3-80DA-44ED-81B0-5A2C62FBCABA}"/>
</file>

<file path=customXml/itemProps2.xml><?xml version="1.0" encoding="utf-8"?>
<ds:datastoreItem xmlns:ds="http://schemas.openxmlformats.org/officeDocument/2006/customXml" ds:itemID="{13AEB6AC-345C-44B0-8736-9347ABE87A2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Summary</vt:lpstr>
      <vt:lpstr>Bills Jul'23</vt:lpstr>
      <vt:lpstr>Bills Jul'22</vt:lpstr>
      <vt:lpstr>Bills Jul'21</vt:lpstr>
      <vt:lpstr>Bills Jul'20</vt:lpstr>
      <vt:lpstr>Bills Jul'19</vt:lpstr>
      <vt:lpstr>Bills Jul'18</vt:lpstr>
      <vt:lpstr>Bills Jul'17</vt:lpstr>
      <vt:lpstr>Bills Jul'16</vt:lpstr>
      <vt:lpstr>Bills Jul'15</vt:lpstr>
      <vt:lpstr>Bills Jul'14</vt:lpstr>
      <vt:lpstr>Bills Jul'13</vt:lpstr>
      <vt:lpstr>Bills Jul'12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Tariffs Jul'15</vt:lpstr>
      <vt:lpstr>Tariffs Jul'14</vt:lpstr>
      <vt:lpstr>Tariffs Jul'13</vt:lpstr>
      <vt:lpstr>Tariffs Jul'12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Johnston</dc:creator>
  <cp:lastModifiedBy>May Mauseth</cp:lastModifiedBy>
  <dcterms:created xsi:type="dcterms:W3CDTF">2012-06-21T07:11:50Z</dcterms:created>
  <dcterms:modified xsi:type="dcterms:W3CDTF">2023-09-04T03:30:28Z</dcterms:modified>
</cp:coreProperties>
</file>